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omments7.xml" ContentType="application/vnd.openxmlformats-officedocument.spreadsheetml.comments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Dropbox\1. Bookings\"/>
    </mc:Choice>
  </mc:AlternateContent>
  <xr:revisionPtr revIDLastSave="0" documentId="13_ncr:1_{01D9BFAB-9238-4B90-B92C-884D6CC66CB5}" xr6:coauthVersionLast="47" xr6:coauthVersionMax="47" xr10:uidLastSave="{00000000-0000-0000-0000-000000000000}"/>
  <bookViews>
    <workbookView xWindow="-98" yWindow="-98" windowWidth="38596" windowHeight="21075" tabRatio="972" activeTab="5" xr2:uid="{00000000-000D-0000-FFFF-FFFF00000000}"/>
  </bookViews>
  <sheets>
    <sheet name="Calendar Ruby " sheetId="1" r:id="rId1"/>
    <sheet name="Calendar 2018" sheetId="2" state="hidden" r:id="rId2"/>
    <sheet name="Calendar 2019" sheetId="3" state="hidden" r:id="rId3"/>
    <sheet name="Ireland" sheetId="4" r:id="rId4"/>
    <sheet name="Boot Camp" sheetId="5" r:id="rId5"/>
    <sheet name="Sales 2026" sheetId="6" r:id="rId6"/>
    <sheet name="Sales 2025" sheetId="7" r:id="rId7"/>
    <sheet name="Sales 2024" sheetId="8" r:id="rId8"/>
    <sheet name="Sales 2023" sheetId="9" state="hidden" r:id="rId9"/>
    <sheet name="Sales 2022" sheetId="10" state="hidden" r:id="rId10"/>
    <sheet name="Sales 2021" sheetId="11" state="hidden" r:id="rId11"/>
    <sheet name="Sales 2020" sheetId="12" state="hidden" r:id="rId12"/>
    <sheet name="Sales 2019" sheetId="13" state="hidden" r:id="rId13"/>
    <sheet name="2018 Pivots" sheetId="14" state="hidden" r:id="rId14"/>
    <sheet name="Sales 2018" sheetId="15" state="hidden" r:id="rId15"/>
    <sheet name="2017 Pivots" sheetId="16" state="hidden" r:id="rId16"/>
    <sheet name="Sales 2017" sheetId="17" state="hidden" r:id="rId17"/>
    <sheet name="Jo" sheetId="18" r:id="rId18"/>
    <sheet name="Ruby" sheetId="19" r:id="rId19"/>
    <sheet name="Inc-Exp" sheetId="20" r:id="rId20"/>
    <sheet name="Profitability" sheetId="21" r:id="rId21"/>
    <sheet name="Payments" sheetId="22" r:id="rId22"/>
    <sheet name="Commercial" sheetId="23" r:id="rId23"/>
    <sheet name="Workshop Costs" sheetId="24" r:id="rId24"/>
    <sheet name="xmas list" sheetId="25" r:id="rId25"/>
    <sheet name="Mentoring " sheetId="26" r:id="rId26"/>
    <sheet name="Gift Vouchers" sheetId="27" r:id="rId27"/>
    <sheet name="Poppies" sheetId="28" r:id="rId28"/>
    <sheet name="workshop pivot" sheetId="29" r:id="rId29"/>
    <sheet name="1-2-1's" sheetId="30" r:id="rId30"/>
    <sheet name="Courses-Classes" sheetId="31" r:id="rId31"/>
    <sheet name="Workshops" sheetId="32" r:id="rId32"/>
    <sheet name="JLR Bookings" sheetId="33" r:id="rId33"/>
    <sheet name="Attendance JLR" sheetId="34" r:id="rId34"/>
    <sheet name="Bluebells" sheetId="35" r:id="rId35"/>
    <sheet name="course pivot" sheetId="36" r:id="rId36"/>
    <sheet name="RPS Course" sheetId="37" r:id="rId37"/>
    <sheet name="Master Classes" sheetId="38" r:id="rId38"/>
    <sheet name="Intentions Nov 2018" sheetId="39" r:id="rId39"/>
    <sheet name="Intentions Feb 2018" sheetId="40" r:id="rId40"/>
    <sheet name="ProductMap" sheetId="41" r:id="rId41"/>
    <sheet name="ProductList" sheetId="42" r:id="rId42"/>
  </sheets>
  <definedNames>
    <definedName name="_12._Academy" localSheetId="5">'Sales 2026'!#REF!</definedName>
    <definedName name="_12._Academy">'Sales 2025'!$C$400</definedName>
    <definedName name="_2_Day_Location_Workshop__inc" localSheetId="13">#REF!</definedName>
    <definedName name="_2_Day_Location_Workshop__inc" localSheetId="1">#REF!</definedName>
    <definedName name="_2_Day_Location_Workshop__inc" localSheetId="2">#REF!</definedName>
    <definedName name="_2_Day_Location_Workshop__inc" localSheetId="0">#REF!</definedName>
    <definedName name="_2_Day_Location_Workshop__inc" localSheetId="30">#REF!</definedName>
    <definedName name="_2_Day_Location_Workshop__inc" localSheetId="26">#REF!</definedName>
    <definedName name="_2_Day_Location_Workshop__inc" localSheetId="39">#REF!</definedName>
    <definedName name="_2_Day_Location_Workshop__inc" localSheetId="38">#REF!</definedName>
    <definedName name="_2_Day_Location_Workshop__inc" localSheetId="37">#REF!</definedName>
    <definedName name="_2_Day_Location_Workshop__inc" localSheetId="20">#REF!</definedName>
    <definedName name="_2_Day_Location_Workshop__inc" localSheetId="36">#REF!</definedName>
    <definedName name="_2_Day_Location_Workshop__inc" localSheetId="14">#REF!</definedName>
    <definedName name="_2_Day_Location_Workshop__inc" localSheetId="12">#REF!</definedName>
    <definedName name="_2_Day_Location_Workshop__inc" localSheetId="11">#REF!</definedName>
    <definedName name="_2_Day_Location_Workshop__inc" localSheetId="10">#REF!</definedName>
    <definedName name="_2_Day_Location_Workshop__inc" localSheetId="9">#REF!</definedName>
    <definedName name="_2_Day_Location_Workshop__inc" localSheetId="8">#REF!</definedName>
    <definedName name="_2_Day_Location_Workshop__inc" localSheetId="7">#REF!</definedName>
    <definedName name="_2_Day_Location_Workshop__inc" localSheetId="6">#REF!</definedName>
    <definedName name="_2_Day_Location_Workshop__inc" localSheetId="5">#REF!</definedName>
    <definedName name="_2_Day_Location_Workshop__inc">#REF!</definedName>
    <definedName name="_xlnm._FilterDatabase" localSheetId="30" hidden="1">'Courses-Classes'!$C$2:$S$136</definedName>
    <definedName name="_xlnm._FilterDatabase" localSheetId="26" hidden="1">'Gift Vouchers'!$B$2:$X$192</definedName>
    <definedName name="_xlnm._FilterDatabase" localSheetId="37" hidden="1">'Master Classes'!$A$2:$V$116</definedName>
    <definedName name="_xlnm._FilterDatabase" localSheetId="31" hidden="1">Workshops!$B$2:$S$585</definedName>
    <definedName name="_xleta.N" hidden="1" xlm="1">#NAME?</definedName>
    <definedName name="_xleta.SUM" hidden="1" xlm="1">#NAME?</definedName>
    <definedName name="_xleta.T" hidden="1" xlm="1">#NAME?</definedName>
    <definedName name="options" localSheetId="13">#REF!</definedName>
    <definedName name="options" localSheetId="1">#REF!</definedName>
    <definedName name="options" localSheetId="2">#REF!</definedName>
    <definedName name="options" localSheetId="0">#REF!</definedName>
    <definedName name="options" localSheetId="30">#REF!</definedName>
    <definedName name="options" localSheetId="26">#REF!</definedName>
    <definedName name="options" localSheetId="39">#REF!</definedName>
    <definedName name="options" localSheetId="38">#REF!</definedName>
    <definedName name="options" localSheetId="37">#REF!</definedName>
    <definedName name="options" localSheetId="20">#REF!</definedName>
    <definedName name="options" localSheetId="36">#REF!</definedName>
    <definedName name="options" localSheetId="14">#REF!</definedName>
    <definedName name="options" localSheetId="12">#REF!</definedName>
    <definedName name="options" localSheetId="11">#REF!</definedName>
    <definedName name="options" localSheetId="10">#REF!</definedName>
    <definedName name="options" localSheetId="9">#REF!</definedName>
    <definedName name="options" localSheetId="8">#REF!</definedName>
    <definedName name="options" localSheetId="7">#REF!</definedName>
    <definedName name="options" localSheetId="6">#REF!</definedName>
    <definedName name="options" localSheetId="5">#REF!</definedName>
    <definedName name="options">#REF!</definedName>
    <definedName name="_xlnm.Print_Titles" localSheetId="1">'Calendar 2018'!$3:$3</definedName>
    <definedName name="tuition" localSheetId="13">#REF!</definedName>
    <definedName name="tuition" localSheetId="1">#REF!</definedName>
    <definedName name="tuition" localSheetId="2">#REF!</definedName>
    <definedName name="tuition" localSheetId="0">#REF!</definedName>
    <definedName name="tuition" localSheetId="30">#REF!</definedName>
    <definedName name="tuition" localSheetId="26">#REF!</definedName>
    <definedName name="tuition" localSheetId="39">#REF!</definedName>
    <definedName name="tuition" localSheetId="38">#REF!</definedName>
    <definedName name="tuition" localSheetId="37">#REF!</definedName>
    <definedName name="tuition" localSheetId="20">#REF!</definedName>
    <definedName name="tuition" localSheetId="36">#REF!</definedName>
    <definedName name="tuition" localSheetId="14">#REF!</definedName>
    <definedName name="tuition" localSheetId="12">#REF!</definedName>
    <definedName name="tuition" localSheetId="11">#REF!</definedName>
    <definedName name="tuition" localSheetId="10">#REF!</definedName>
    <definedName name="tuition" localSheetId="9">#REF!</definedName>
    <definedName name="tuition" localSheetId="8">#REF!</definedName>
    <definedName name="tuition" localSheetId="7">#REF!</definedName>
    <definedName name="tuition" localSheetId="6">#REF!</definedName>
    <definedName name="tuition" localSheetId="5">#REF!</definedName>
    <definedName name="tuition">#REF!</definedName>
    <definedName name="tuitionoptions" localSheetId="13">#REF!</definedName>
    <definedName name="tuitionoptions" localSheetId="1">#REF!</definedName>
    <definedName name="tuitionoptions" localSheetId="2">#REF!</definedName>
    <definedName name="tuitionoptions" localSheetId="0">#REF!</definedName>
    <definedName name="tuitionoptions" localSheetId="30">#REF!</definedName>
    <definedName name="tuitionoptions" localSheetId="26">#REF!</definedName>
    <definedName name="tuitionoptions" localSheetId="39">#REF!</definedName>
    <definedName name="tuitionoptions" localSheetId="38">#REF!</definedName>
    <definedName name="tuitionoptions" localSheetId="37">#REF!</definedName>
    <definedName name="tuitionoptions" localSheetId="20">#REF!</definedName>
    <definedName name="tuitionoptions" localSheetId="36">#REF!</definedName>
    <definedName name="tuitionoptions" localSheetId="14">#REF!</definedName>
    <definedName name="tuitionoptions" localSheetId="12">#REF!</definedName>
    <definedName name="tuitionoptions" localSheetId="11">#REF!</definedName>
    <definedName name="tuitionoptions" localSheetId="10">#REF!</definedName>
    <definedName name="tuitionoptions" localSheetId="9">#REF!</definedName>
    <definedName name="tuitionoptions" localSheetId="8">#REF!</definedName>
    <definedName name="tuitionoptions" localSheetId="7">#REF!</definedName>
    <definedName name="tuitionoptions" localSheetId="6">#REF!</definedName>
    <definedName name="tuitionoptions" localSheetId="5">#REF!</definedName>
    <definedName name="tuitionoptions">#REF!</definedName>
  </definedNames>
  <calcPr calcId="191029"/>
  <pivotCaches>
    <pivotCache cacheId="0" r:id="rId43"/>
    <pivotCache cacheId="1" r:id="rId44"/>
    <pivotCache cacheId="2" r:id="rId45"/>
    <pivotCache cacheId="3" r:id="rId46"/>
    <pivotCache cacheId="4" r:id="rId4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8" i="19" l="1"/>
  <c r="W273" i="33"/>
  <c r="D2" i="6"/>
  <c r="D38" i="40"/>
  <c r="D35" i="40"/>
  <c r="D34" i="40"/>
  <c r="D30" i="40"/>
  <c r="C30" i="40"/>
  <c r="D27" i="40"/>
  <c r="C27" i="40"/>
  <c r="D39" i="40" s="1"/>
  <c r="B27" i="40"/>
  <c r="D37" i="40" s="1"/>
  <c r="D38" i="39"/>
  <c r="D35" i="39"/>
  <c r="D34" i="39"/>
  <c r="E30" i="39"/>
  <c r="D30" i="39"/>
  <c r="C30" i="39"/>
  <c r="D27" i="39"/>
  <c r="C27" i="39"/>
  <c r="D39" i="39" s="1"/>
  <c r="B27" i="39"/>
  <c r="D37" i="39" s="1"/>
  <c r="H115" i="38"/>
  <c r="G109" i="38"/>
  <c r="G115" i="38" s="1"/>
  <c r="G108" i="38"/>
  <c r="G97" i="38"/>
  <c r="G84" i="38"/>
  <c r="G83" i="38"/>
  <c r="G35" i="38"/>
  <c r="G19" i="38"/>
  <c r="G18" i="38"/>
  <c r="G14" i="38"/>
  <c r="D74" i="37"/>
  <c r="D72" i="37"/>
  <c r="D71" i="37"/>
  <c r="D70" i="37"/>
  <c r="D66" i="37"/>
  <c r="E66" i="37" s="1"/>
  <c r="D63" i="37"/>
  <c r="B63" i="37"/>
  <c r="D69" i="37" s="1"/>
  <c r="M62" i="37"/>
  <c r="O59" i="37"/>
  <c r="O58" i="37"/>
  <c r="O57" i="37"/>
  <c r="O56" i="37"/>
  <c r="O55" i="37"/>
  <c r="O54" i="37"/>
  <c r="O53" i="37"/>
  <c r="O52" i="37"/>
  <c r="O46" i="37"/>
  <c r="O45" i="37"/>
  <c r="O44" i="37"/>
  <c r="O43" i="37"/>
  <c r="O42" i="37"/>
  <c r="O41" i="37"/>
  <c r="O40" i="37"/>
  <c r="O39" i="37"/>
  <c r="O38" i="37"/>
  <c r="O37" i="37"/>
  <c r="O36" i="37"/>
  <c r="C36" i="37"/>
  <c r="C66" i="37" s="1"/>
  <c r="O35" i="37"/>
  <c r="O34" i="37"/>
  <c r="O33" i="37"/>
  <c r="O32" i="37"/>
  <c r="O31" i="37"/>
  <c r="ED28" i="37"/>
  <c r="EC28" i="37"/>
  <c r="EB28" i="37"/>
  <c r="EA28" i="37"/>
  <c r="DZ28" i="37"/>
  <c r="DY28" i="37"/>
  <c r="DX28" i="37"/>
  <c r="DW28" i="37"/>
  <c r="DV28" i="37"/>
  <c r="DU28" i="37"/>
  <c r="DT28" i="37"/>
  <c r="DS28" i="37"/>
  <c r="DR28" i="37"/>
  <c r="DQ28" i="37"/>
  <c r="DP28" i="37"/>
  <c r="DO28" i="37"/>
  <c r="DN28" i="37"/>
  <c r="DM28" i="37"/>
  <c r="DL28" i="37"/>
  <c r="DK28" i="37"/>
  <c r="DJ28" i="37"/>
  <c r="DI28" i="37"/>
  <c r="DH28" i="37"/>
  <c r="DG28" i="37"/>
  <c r="DF28" i="37"/>
  <c r="DE28" i="37"/>
  <c r="DD28" i="37"/>
  <c r="DC28" i="37"/>
  <c r="DB28" i="37"/>
  <c r="DA28" i="37"/>
  <c r="CZ28" i="37"/>
  <c r="CY28" i="37"/>
  <c r="CX28" i="37"/>
  <c r="CW28" i="37"/>
  <c r="CV28" i="37"/>
  <c r="CU28" i="37"/>
  <c r="CT28" i="37"/>
  <c r="CS28" i="37"/>
  <c r="CR28" i="37"/>
  <c r="CQ28" i="37"/>
  <c r="CP28" i="37"/>
  <c r="CO28" i="37"/>
  <c r="CN28" i="37"/>
  <c r="CM28" i="37"/>
  <c r="CL28" i="37"/>
  <c r="CK28" i="37"/>
  <c r="CJ28" i="37"/>
  <c r="CI28" i="37"/>
  <c r="CH28" i="37"/>
  <c r="CG28" i="37"/>
  <c r="CF28" i="37"/>
  <c r="CE28" i="37"/>
  <c r="CD28" i="37"/>
  <c r="CC28" i="37"/>
  <c r="CB28" i="37"/>
  <c r="CA28" i="37"/>
  <c r="BZ28" i="37"/>
  <c r="BY28" i="37"/>
  <c r="BX28" i="37"/>
  <c r="BW28" i="37"/>
  <c r="BV28" i="37"/>
  <c r="BU28" i="37"/>
  <c r="BT28" i="37"/>
  <c r="BS28" i="37"/>
  <c r="BR28" i="37"/>
  <c r="BQ28" i="37"/>
  <c r="BP28" i="37"/>
  <c r="BO28" i="37"/>
  <c r="BN28" i="37"/>
  <c r="BM28" i="37"/>
  <c r="BL28" i="37"/>
  <c r="BK28" i="37"/>
  <c r="BJ28" i="37"/>
  <c r="BI28" i="37"/>
  <c r="BH28" i="37"/>
  <c r="BG28" i="37"/>
  <c r="BF28" i="37"/>
  <c r="BE28" i="37"/>
  <c r="BD28" i="37"/>
  <c r="BC28" i="37"/>
  <c r="BB28" i="37"/>
  <c r="BA28" i="37"/>
  <c r="AZ28" i="37"/>
  <c r="AY28" i="37"/>
  <c r="AX28" i="37"/>
  <c r="AW28" i="37"/>
  <c r="AV28" i="37"/>
  <c r="AU28" i="37"/>
  <c r="AT28" i="37"/>
  <c r="AS28" i="37"/>
  <c r="AR28" i="37"/>
  <c r="AQ28" i="37"/>
  <c r="AP28" i="37"/>
  <c r="AO28" i="37"/>
  <c r="AN28" i="37"/>
  <c r="AM28" i="37"/>
  <c r="AL28" i="37"/>
  <c r="AK28" i="37"/>
  <c r="AJ28" i="37"/>
  <c r="AI28" i="37"/>
  <c r="AH28" i="37"/>
  <c r="AG28" i="37"/>
  <c r="AF28" i="37"/>
  <c r="AE28" i="37"/>
  <c r="AD28" i="37"/>
  <c r="AC28" i="37"/>
  <c r="AB28" i="37"/>
  <c r="AA28" i="37"/>
  <c r="Z28" i="37"/>
  <c r="Y28" i="37"/>
  <c r="X28" i="37"/>
  <c r="W28" i="37"/>
  <c r="V28" i="37"/>
  <c r="U28" i="37"/>
  <c r="T28" i="37"/>
  <c r="S28" i="37"/>
  <c r="O28" i="37" s="1"/>
  <c r="Q28" i="37"/>
  <c r="P28" i="37"/>
  <c r="O21" i="37"/>
  <c r="O20" i="37"/>
  <c r="O19" i="37"/>
  <c r="O18" i="37"/>
  <c r="O17" i="37"/>
  <c r="O16" i="37"/>
  <c r="O15" i="37"/>
  <c r="O14" i="37"/>
  <c r="O13" i="37"/>
  <c r="O12" i="37"/>
  <c r="O11" i="37"/>
  <c r="AD94" i="35"/>
  <c r="AD93" i="35"/>
  <c r="AD92" i="35"/>
  <c r="AD91" i="35"/>
  <c r="AD90" i="35"/>
  <c r="AD89" i="35"/>
  <c r="AD88" i="35"/>
  <c r="AD84" i="35"/>
  <c r="AD83" i="35"/>
  <c r="AD82" i="35"/>
  <c r="AD81" i="35"/>
  <c r="AD80" i="35"/>
  <c r="AD77" i="35"/>
  <c r="AD76" i="35"/>
  <c r="AD75" i="35"/>
  <c r="AD74" i="35"/>
  <c r="AD71" i="35"/>
  <c r="AD70" i="35"/>
  <c r="AD69" i="35"/>
  <c r="AD68" i="35"/>
  <c r="AD67" i="35"/>
  <c r="AD66" i="35"/>
  <c r="AC55" i="35"/>
  <c r="AB55" i="35"/>
  <c r="AA55" i="35"/>
  <c r="Z55" i="35"/>
  <c r="Y55" i="35"/>
  <c r="X55" i="35"/>
  <c r="W55" i="35"/>
  <c r="V55" i="35"/>
  <c r="U55" i="35"/>
  <c r="T55" i="35"/>
  <c r="S55" i="35"/>
  <c r="R55" i="35"/>
  <c r="Q55" i="35"/>
  <c r="P55" i="35"/>
  <c r="AD54" i="35"/>
  <c r="H27" i="35"/>
  <c r="AC26" i="35"/>
  <c r="AB26" i="35"/>
  <c r="AA26" i="35"/>
  <c r="Z26" i="35"/>
  <c r="Y26" i="35"/>
  <c r="X26" i="35"/>
  <c r="W26" i="35"/>
  <c r="V26" i="35"/>
  <c r="U26" i="35"/>
  <c r="T26" i="35"/>
  <c r="S26" i="35"/>
  <c r="R26" i="35"/>
  <c r="Q26" i="35"/>
  <c r="P26" i="35"/>
  <c r="AD25" i="35"/>
  <c r="AD24" i="35"/>
  <c r="AD23" i="35"/>
  <c r="AD22" i="35"/>
  <c r="AD21" i="35"/>
  <c r="AD20" i="35"/>
  <c r="AD19" i="35"/>
  <c r="AD18" i="35"/>
  <c r="AD17" i="35"/>
  <c r="AD16" i="35"/>
  <c r="AD15" i="35"/>
  <c r="AD14" i="35"/>
  <c r="AD13" i="35"/>
  <c r="AD12" i="35"/>
  <c r="AD11" i="35"/>
  <c r="AD10" i="35"/>
  <c r="AD9" i="35"/>
  <c r="AD8" i="35"/>
  <c r="AD7" i="35"/>
  <c r="AD6" i="35"/>
  <c r="AD5" i="35"/>
  <c r="AD4" i="35"/>
  <c r="R297" i="33"/>
  <c r="Q297" i="33"/>
  <c r="V291" i="33"/>
  <c r="R273" i="33"/>
  <c r="Q273" i="33"/>
  <c r="O273" i="33"/>
  <c r="Y272" i="33"/>
  <c r="Y270" i="33"/>
  <c r="V270" i="33"/>
  <c r="S270" i="33"/>
  <c r="Y269" i="33"/>
  <c r="V269" i="33"/>
  <c r="S269" i="33"/>
  <c r="Y268" i="33"/>
  <c r="V268" i="33"/>
  <c r="S268" i="33"/>
  <c r="Y267" i="33"/>
  <c r="V267" i="33"/>
  <c r="S267" i="33"/>
  <c r="Y266" i="33"/>
  <c r="V266" i="33"/>
  <c r="F59" i="7" s="1"/>
  <c r="S266" i="33"/>
  <c r="Y265" i="33"/>
  <c r="V265" i="33"/>
  <c r="S265" i="33"/>
  <c r="Y264" i="33"/>
  <c r="V264" i="33"/>
  <c r="S264" i="33"/>
  <c r="Y263" i="33"/>
  <c r="V263" i="33"/>
  <c r="S263" i="33"/>
  <c r="Y262" i="33"/>
  <c r="V262" i="33"/>
  <c r="S262" i="33"/>
  <c r="Y261" i="33"/>
  <c r="V261" i="33"/>
  <c r="S261" i="33"/>
  <c r="Y260" i="33"/>
  <c r="V260" i="33"/>
  <c r="S260" i="33"/>
  <c r="Y259" i="33"/>
  <c r="V259" i="33"/>
  <c r="S259" i="33"/>
  <c r="Y258" i="33"/>
  <c r="V258" i="33"/>
  <c r="S258" i="33"/>
  <c r="Y257" i="33"/>
  <c r="V257" i="33"/>
  <c r="S257" i="33"/>
  <c r="Y256" i="33"/>
  <c r="V256" i="33"/>
  <c r="S256" i="33"/>
  <c r="Y255" i="33"/>
  <c r="V255" i="33"/>
  <c r="S255" i="33"/>
  <c r="Y254" i="33"/>
  <c r="V254" i="33"/>
  <c r="S254" i="33"/>
  <c r="Y253" i="33"/>
  <c r="V253" i="33"/>
  <c r="S253" i="33"/>
  <c r="Y252" i="33"/>
  <c r="V252" i="33"/>
  <c r="S252" i="33"/>
  <c r="Y251" i="33"/>
  <c r="V251" i="33"/>
  <c r="S251" i="33"/>
  <c r="Y250" i="33"/>
  <c r="V250" i="33"/>
  <c r="S250" i="33"/>
  <c r="Y249" i="33"/>
  <c r="V249" i="33"/>
  <c r="S249" i="33"/>
  <c r="Y248" i="33"/>
  <c r="V248" i="33"/>
  <c r="S248" i="33"/>
  <c r="Y247" i="33"/>
  <c r="V247" i="33"/>
  <c r="S247" i="33"/>
  <c r="Y246" i="33"/>
  <c r="V246" i="33"/>
  <c r="S246" i="33"/>
  <c r="Y245" i="33"/>
  <c r="V245" i="33"/>
  <c r="S245" i="33"/>
  <c r="Y244" i="33"/>
  <c r="V244" i="33"/>
  <c r="S244" i="33"/>
  <c r="Y243" i="33"/>
  <c r="V243" i="33"/>
  <c r="S243" i="33"/>
  <c r="Y242" i="33"/>
  <c r="V242" i="33"/>
  <c r="S242" i="33"/>
  <c r="Y241" i="33"/>
  <c r="V241" i="33"/>
  <c r="S241" i="33"/>
  <c r="Y240" i="33"/>
  <c r="V240" i="33"/>
  <c r="S240" i="33"/>
  <c r="Y239" i="33"/>
  <c r="V239" i="33"/>
  <c r="S239" i="33"/>
  <c r="Y238" i="33"/>
  <c r="V238" i="33"/>
  <c r="S238" i="33"/>
  <c r="Y237" i="33"/>
  <c r="V237" i="33"/>
  <c r="S237" i="33"/>
  <c r="Y236" i="33"/>
  <c r="V236" i="33"/>
  <c r="S236" i="33"/>
  <c r="Y235" i="33"/>
  <c r="V235" i="33"/>
  <c r="S235" i="33"/>
  <c r="Y234" i="33"/>
  <c r="V234" i="33"/>
  <c r="S234" i="33"/>
  <c r="Y233" i="33"/>
  <c r="V233" i="33"/>
  <c r="S233" i="33"/>
  <c r="Y232" i="33"/>
  <c r="V232" i="33"/>
  <c r="S232" i="33"/>
  <c r="Y231" i="33"/>
  <c r="V231" i="33"/>
  <c r="S231" i="33"/>
  <c r="Y230" i="33"/>
  <c r="V230" i="33"/>
  <c r="S230" i="33"/>
  <c r="Y229" i="33"/>
  <c r="V229" i="33"/>
  <c r="S229" i="33"/>
  <c r="Y228" i="33"/>
  <c r="V228" i="33"/>
  <c r="S228" i="33"/>
  <c r="Y227" i="33"/>
  <c r="V227" i="33"/>
  <c r="S227" i="33"/>
  <c r="Y226" i="33"/>
  <c r="V226" i="33"/>
  <c r="S226" i="33"/>
  <c r="C226" i="33"/>
  <c r="B226" i="33"/>
  <c r="Y225" i="33"/>
  <c r="V225" i="33"/>
  <c r="S225" i="33"/>
  <c r="C225" i="33"/>
  <c r="B225" i="33"/>
  <c r="Y224" i="33"/>
  <c r="V224" i="33"/>
  <c r="S224" i="33"/>
  <c r="C224" i="33"/>
  <c r="B224" i="33"/>
  <c r="Y223" i="33"/>
  <c r="V223" i="33"/>
  <c r="S223" i="33"/>
  <c r="C223" i="33"/>
  <c r="B223" i="33"/>
  <c r="Y222" i="33"/>
  <c r="V222" i="33"/>
  <c r="S222" i="33"/>
  <c r="C222" i="33"/>
  <c r="B222" i="33"/>
  <c r="Y221" i="33"/>
  <c r="V221" i="33"/>
  <c r="S221" i="33"/>
  <c r="C221" i="33"/>
  <c r="B221" i="33"/>
  <c r="Y220" i="33"/>
  <c r="V220" i="33"/>
  <c r="S220" i="33"/>
  <c r="C220" i="33"/>
  <c r="B220" i="33"/>
  <c r="Y219" i="33"/>
  <c r="V219" i="33"/>
  <c r="S219" i="33"/>
  <c r="C219" i="33"/>
  <c r="B219" i="33"/>
  <c r="Y218" i="33"/>
  <c r="V218" i="33"/>
  <c r="S218" i="33"/>
  <c r="C218" i="33"/>
  <c r="B218" i="33"/>
  <c r="Y217" i="33"/>
  <c r="V217" i="33"/>
  <c r="S217" i="33"/>
  <c r="C217" i="33"/>
  <c r="B217" i="33"/>
  <c r="Y216" i="33"/>
  <c r="V216" i="33"/>
  <c r="S216" i="33"/>
  <c r="C216" i="33"/>
  <c r="B216" i="33"/>
  <c r="Y215" i="33"/>
  <c r="V215" i="33"/>
  <c r="S215" i="33"/>
  <c r="C215" i="33"/>
  <c r="B215" i="33"/>
  <c r="Y214" i="33"/>
  <c r="V214" i="33"/>
  <c r="S214" i="33"/>
  <c r="C214" i="33"/>
  <c r="B214" i="33"/>
  <c r="Y213" i="33"/>
  <c r="V213" i="33"/>
  <c r="S213" i="33"/>
  <c r="C213" i="33"/>
  <c r="B213" i="33"/>
  <c r="Y212" i="33"/>
  <c r="V212" i="33"/>
  <c r="S212" i="33"/>
  <c r="C212" i="33"/>
  <c r="B212" i="33"/>
  <c r="Y211" i="33"/>
  <c r="V211" i="33"/>
  <c r="S211" i="33"/>
  <c r="C211" i="33"/>
  <c r="B211" i="33"/>
  <c r="Y210" i="33"/>
  <c r="V210" i="33"/>
  <c r="S210" i="33"/>
  <c r="C210" i="33"/>
  <c r="B210" i="33"/>
  <c r="Y209" i="33"/>
  <c r="V209" i="33"/>
  <c r="S209" i="33"/>
  <c r="C209" i="33"/>
  <c r="B209" i="33"/>
  <c r="Y208" i="33"/>
  <c r="V208" i="33"/>
  <c r="S208" i="33"/>
  <c r="C208" i="33"/>
  <c r="B208" i="33"/>
  <c r="Y207" i="33"/>
  <c r="V207" i="33"/>
  <c r="S207" i="33"/>
  <c r="C207" i="33"/>
  <c r="B207" i="33"/>
  <c r="Y206" i="33"/>
  <c r="V206" i="33"/>
  <c r="S206" i="33"/>
  <c r="C206" i="33"/>
  <c r="B206" i="33"/>
  <c r="Y205" i="33"/>
  <c r="V205" i="33"/>
  <c r="S205" i="33"/>
  <c r="C205" i="33"/>
  <c r="B205" i="33"/>
  <c r="Y204" i="33"/>
  <c r="V204" i="33"/>
  <c r="S204" i="33"/>
  <c r="C204" i="33"/>
  <c r="B204" i="33"/>
  <c r="Y203" i="33"/>
  <c r="V203" i="33"/>
  <c r="S203" i="33"/>
  <c r="C203" i="33"/>
  <c r="B203" i="33"/>
  <c r="Y202" i="33"/>
  <c r="V202" i="33"/>
  <c r="S202" i="33"/>
  <c r="C202" i="33"/>
  <c r="B202" i="33"/>
  <c r="Y201" i="33"/>
  <c r="V201" i="33"/>
  <c r="S201" i="33"/>
  <c r="C201" i="33"/>
  <c r="B201" i="33"/>
  <c r="Y200" i="33"/>
  <c r="V200" i="33"/>
  <c r="S200" i="33"/>
  <c r="C200" i="33"/>
  <c r="B200" i="33"/>
  <c r="Y199" i="33"/>
  <c r="V199" i="33"/>
  <c r="S199" i="33"/>
  <c r="C199" i="33"/>
  <c r="B199" i="33"/>
  <c r="Y198" i="33"/>
  <c r="V198" i="33"/>
  <c r="S198" i="33"/>
  <c r="C198" i="33"/>
  <c r="B198" i="33"/>
  <c r="Y197" i="33"/>
  <c r="V197" i="33"/>
  <c r="S197" i="33"/>
  <c r="C197" i="33"/>
  <c r="B197" i="33"/>
  <c r="Y196" i="33"/>
  <c r="V196" i="33"/>
  <c r="S196" i="33"/>
  <c r="C196" i="33"/>
  <c r="B196" i="33"/>
  <c r="Y195" i="33"/>
  <c r="V195" i="33"/>
  <c r="S195" i="33"/>
  <c r="C195" i="33"/>
  <c r="B195" i="33"/>
  <c r="Y194" i="33"/>
  <c r="V194" i="33"/>
  <c r="S194" i="33"/>
  <c r="C194" i="33"/>
  <c r="B194" i="33"/>
  <c r="Y193" i="33"/>
  <c r="V193" i="33"/>
  <c r="S193" i="33"/>
  <c r="C193" i="33"/>
  <c r="B193" i="33"/>
  <c r="Y192" i="33"/>
  <c r="V192" i="33"/>
  <c r="S192" i="33"/>
  <c r="C192" i="33"/>
  <c r="B192" i="33"/>
  <c r="Y191" i="33"/>
  <c r="V191" i="33"/>
  <c r="S191" i="33"/>
  <c r="C191" i="33"/>
  <c r="B191" i="33"/>
  <c r="Y190" i="33"/>
  <c r="V190" i="33"/>
  <c r="S190" i="33"/>
  <c r="C190" i="33"/>
  <c r="B190" i="33"/>
  <c r="Y189" i="33"/>
  <c r="V189" i="33"/>
  <c r="S189" i="33"/>
  <c r="C189" i="33"/>
  <c r="B189" i="33"/>
  <c r="Y188" i="33"/>
  <c r="V188" i="33"/>
  <c r="S188" i="33"/>
  <c r="C188" i="33"/>
  <c r="B188" i="33"/>
  <c r="Y187" i="33"/>
  <c r="V187" i="33"/>
  <c r="S187" i="33"/>
  <c r="C187" i="33"/>
  <c r="B187" i="33"/>
  <c r="Y186" i="33"/>
  <c r="V186" i="33"/>
  <c r="S186" i="33"/>
  <c r="C186" i="33"/>
  <c r="B186" i="33"/>
  <c r="Y185" i="33"/>
  <c r="V185" i="33"/>
  <c r="S185" i="33"/>
  <c r="C185" i="33"/>
  <c r="B185" i="33"/>
  <c r="Y184" i="33"/>
  <c r="V184" i="33"/>
  <c r="S184" i="33"/>
  <c r="C184" i="33"/>
  <c r="B184" i="33"/>
  <c r="Y183" i="33"/>
  <c r="V183" i="33"/>
  <c r="S183" i="33"/>
  <c r="C183" i="33"/>
  <c r="B183" i="33"/>
  <c r="Y182" i="33"/>
  <c r="V182" i="33"/>
  <c r="S182" i="33"/>
  <c r="C182" i="33"/>
  <c r="B182" i="33"/>
  <c r="Y181" i="33"/>
  <c r="V181" i="33"/>
  <c r="S181" i="33"/>
  <c r="C181" i="33"/>
  <c r="B181" i="33"/>
  <c r="Y180" i="33"/>
  <c r="V180" i="33"/>
  <c r="S180" i="33"/>
  <c r="C180" i="33"/>
  <c r="B180" i="33"/>
  <c r="Y179" i="33"/>
  <c r="V179" i="33"/>
  <c r="S179" i="33"/>
  <c r="C179" i="33"/>
  <c r="B179" i="33"/>
  <c r="Y178" i="33"/>
  <c r="V178" i="33"/>
  <c r="S178" i="33"/>
  <c r="C178" i="33"/>
  <c r="B178" i="33"/>
  <c r="Y177" i="33"/>
  <c r="V177" i="33"/>
  <c r="S177" i="33"/>
  <c r="C177" i="33"/>
  <c r="B177" i="33"/>
  <c r="Y176" i="33"/>
  <c r="V176" i="33"/>
  <c r="S176" i="33"/>
  <c r="C176" i="33"/>
  <c r="B176" i="33"/>
  <c r="Y175" i="33"/>
  <c r="V175" i="33"/>
  <c r="S175" i="33"/>
  <c r="C175" i="33"/>
  <c r="B175" i="33"/>
  <c r="Y174" i="33"/>
  <c r="V174" i="33"/>
  <c r="S174" i="33"/>
  <c r="C174" i="33"/>
  <c r="B174" i="33"/>
  <c r="Y173" i="33"/>
  <c r="V173" i="33"/>
  <c r="S173" i="33"/>
  <c r="C173" i="33"/>
  <c r="B173" i="33"/>
  <c r="Y172" i="33"/>
  <c r="V172" i="33"/>
  <c r="S172" i="33"/>
  <c r="C172" i="33"/>
  <c r="B172" i="33"/>
  <c r="Y171" i="33"/>
  <c r="V171" i="33"/>
  <c r="S171" i="33"/>
  <c r="C171" i="33"/>
  <c r="B171" i="33"/>
  <c r="Y170" i="33"/>
  <c r="V170" i="33"/>
  <c r="S170" i="33"/>
  <c r="C170" i="33"/>
  <c r="B170" i="33"/>
  <c r="Y169" i="33"/>
  <c r="V169" i="33"/>
  <c r="S169" i="33"/>
  <c r="C169" i="33"/>
  <c r="B169" i="33"/>
  <c r="Y168" i="33"/>
  <c r="V168" i="33"/>
  <c r="S168" i="33"/>
  <c r="C168" i="33"/>
  <c r="B168" i="33"/>
  <c r="Y167" i="33"/>
  <c r="V167" i="33"/>
  <c r="S167" i="33"/>
  <c r="C167" i="33"/>
  <c r="B167" i="33"/>
  <c r="Y166" i="33"/>
  <c r="V166" i="33"/>
  <c r="S166" i="33"/>
  <c r="C166" i="33"/>
  <c r="B166" i="33"/>
  <c r="Y165" i="33"/>
  <c r="V165" i="33"/>
  <c r="S165" i="33"/>
  <c r="C165" i="33"/>
  <c r="B165" i="33"/>
  <c r="Y164" i="33"/>
  <c r="V164" i="33"/>
  <c r="S164" i="33"/>
  <c r="C164" i="33"/>
  <c r="B164" i="33"/>
  <c r="Y163" i="33"/>
  <c r="V163" i="33"/>
  <c r="S163" i="33"/>
  <c r="C163" i="33"/>
  <c r="B163" i="33"/>
  <c r="Y162" i="33"/>
  <c r="V162" i="33"/>
  <c r="S162" i="33"/>
  <c r="C162" i="33"/>
  <c r="B162" i="33"/>
  <c r="Y161" i="33"/>
  <c r="V161" i="33"/>
  <c r="S161" i="33"/>
  <c r="C161" i="33"/>
  <c r="B161" i="33"/>
  <c r="Y160" i="33"/>
  <c r="V160" i="33"/>
  <c r="S160" i="33"/>
  <c r="C160" i="33"/>
  <c r="B160" i="33"/>
  <c r="Y159" i="33"/>
  <c r="V159" i="33"/>
  <c r="S159" i="33"/>
  <c r="C159" i="33"/>
  <c r="B159" i="33"/>
  <c r="Y158" i="33"/>
  <c r="V158" i="33"/>
  <c r="S158" i="33"/>
  <c r="C158" i="33"/>
  <c r="B158" i="33"/>
  <c r="Y157" i="33"/>
  <c r="V157" i="33"/>
  <c r="S157" i="33"/>
  <c r="C157" i="33"/>
  <c r="B157" i="33"/>
  <c r="Y156" i="33"/>
  <c r="V156" i="33"/>
  <c r="S156" i="33"/>
  <c r="C156" i="33"/>
  <c r="B156" i="33"/>
  <c r="Y155" i="33"/>
  <c r="V155" i="33"/>
  <c r="S155" i="33"/>
  <c r="C155" i="33"/>
  <c r="B155" i="33"/>
  <c r="Y154" i="33"/>
  <c r="V154" i="33"/>
  <c r="S154" i="33"/>
  <c r="C154" i="33"/>
  <c r="B154" i="33"/>
  <c r="Y153" i="33"/>
  <c r="V153" i="33"/>
  <c r="S153" i="33"/>
  <c r="C153" i="33"/>
  <c r="B153" i="33"/>
  <c r="Y152" i="33"/>
  <c r="V152" i="33"/>
  <c r="S152" i="33"/>
  <c r="C152" i="33"/>
  <c r="B152" i="33"/>
  <c r="Y151" i="33"/>
  <c r="V151" i="33"/>
  <c r="S151" i="33"/>
  <c r="C151" i="33"/>
  <c r="B151" i="33"/>
  <c r="Y150" i="33"/>
  <c r="V150" i="33"/>
  <c r="S150" i="33"/>
  <c r="C150" i="33"/>
  <c r="B150" i="33"/>
  <c r="Y149" i="33"/>
  <c r="V149" i="33"/>
  <c r="S149" i="33"/>
  <c r="C149" i="33"/>
  <c r="B149" i="33"/>
  <c r="Y148" i="33"/>
  <c r="V148" i="33"/>
  <c r="S148" i="33"/>
  <c r="C148" i="33"/>
  <c r="B148" i="33"/>
  <c r="Y147" i="33"/>
  <c r="V147" i="33"/>
  <c r="S147" i="33"/>
  <c r="C147" i="33"/>
  <c r="B147" i="33"/>
  <c r="Y146" i="33"/>
  <c r="V146" i="33"/>
  <c r="S146" i="33"/>
  <c r="C146" i="33"/>
  <c r="B146" i="33"/>
  <c r="Y145" i="33"/>
  <c r="V145" i="33"/>
  <c r="S145" i="33"/>
  <c r="C145" i="33"/>
  <c r="B145" i="33"/>
  <c r="Y144" i="33"/>
  <c r="V144" i="33"/>
  <c r="S144" i="33"/>
  <c r="C144" i="33"/>
  <c r="B144" i="33"/>
  <c r="Y143" i="33"/>
  <c r="V143" i="33"/>
  <c r="S143" i="33"/>
  <c r="C143" i="33"/>
  <c r="B143" i="33"/>
  <c r="Y142" i="33"/>
  <c r="V142" i="33"/>
  <c r="S142" i="33"/>
  <c r="C142" i="33"/>
  <c r="B142" i="33"/>
  <c r="Y141" i="33"/>
  <c r="V141" i="33"/>
  <c r="S141" i="33"/>
  <c r="C141" i="33"/>
  <c r="B141" i="33"/>
  <c r="Y140" i="33"/>
  <c r="V140" i="33"/>
  <c r="S140" i="33"/>
  <c r="C140" i="33"/>
  <c r="B140" i="33"/>
  <c r="Y139" i="33"/>
  <c r="V139" i="33"/>
  <c r="S139" i="33"/>
  <c r="C139" i="33"/>
  <c r="B139" i="33"/>
  <c r="Y138" i="33"/>
  <c r="V138" i="33"/>
  <c r="S138" i="33"/>
  <c r="C138" i="33"/>
  <c r="B138" i="33"/>
  <c r="Y137" i="33"/>
  <c r="V137" i="33"/>
  <c r="S137" i="33"/>
  <c r="C137" i="33"/>
  <c r="B137" i="33"/>
  <c r="Y136" i="33"/>
  <c r="V136" i="33"/>
  <c r="S136" i="33"/>
  <c r="C136" i="33"/>
  <c r="B136" i="33"/>
  <c r="Y135" i="33"/>
  <c r="V135" i="33"/>
  <c r="S135" i="33"/>
  <c r="C135" i="33"/>
  <c r="B135" i="33"/>
  <c r="Y134" i="33"/>
  <c r="V134" i="33"/>
  <c r="S134" i="33"/>
  <c r="C134" i="33"/>
  <c r="B134" i="33"/>
  <c r="Y133" i="33"/>
  <c r="V133" i="33"/>
  <c r="S133" i="33"/>
  <c r="C133" i="33"/>
  <c r="B133" i="33"/>
  <c r="Y132" i="33"/>
  <c r="V132" i="33"/>
  <c r="S132" i="33"/>
  <c r="C132" i="33"/>
  <c r="B132" i="33"/>
  <c r="Y131" i="33"/>
  <c r="V131" i="33"/>
  <c r="S131" i="33"/>
  <c r="C131" i="33"/>
  <c r="B131" i="33"/>
  <c r="Y130" i="33"/>
  <c r="V130" i="33"/>
  <c r="S130" i="33"/>
  <c r="C130" i="33"/>
  <c r="B130" i="33"/>
  <c r="Y129" i="33"/>
  <c r="V129" i="33"/>
  <c r="S129" i="33"/>
  <c r="C129" i="33"/>
  <c r="B129" i="33"/>
  <c r="Y128" i="33"/>
  <c r="V128" i="33"/>
  <c r="S128" i="33"/>
  <c r="C128" i="33"/>
  <c r="B128" i="33"/>
  <c r="Y127" i="33"/>
  <c r="V127" i="33"/>
  <c r="S127" i="33"/>
  <c r="C127" i="33"/>
  <c r="B127" i="33"/>
  <c r="Y126" i="33"/>
  <c r="V126" i="33"/>
  <c r="S126" i="33"/>
  <c r="C126" i="33"/>
  <c r="B126" i="33"/>
  <c r="Y125" i="33"/>
  <c r="V125" i="33"/>
  <c r="S125" i="33"/>
  <c r="C125" i="33"/>
  <c r="B125" i="33"/>
  <c r="Y124" i="33"/>
  <c r="V124" i="33"/>
  <c r="S124" i="33"/>
  <c r="C124" i="33"/>
  <c r="B124" i="33"/>
  <c r="Y123" i="33"/>
  <c r="V123" i="33"/>
  <c r="S123" i="33"/>
  <c r="C123" i="33"/>
  <c r="B123" i="33"/>
  <c r="Y122" i="33"/>
  <c r="V122" i="33"/>
  <c r="S122" i="33"/>
  <c r="C122" i="33"/>
  <c r="B122" i="33"/>
  <c r="Y121" i="33"/>
  <c r="V121" i="33"/>
  <c r="S121" i="33"/>
  <c r="C121" i="33"/>
  <c r="B121" i="33"/>
  <c r="Y120" i="33"/>
  <c r="V120" i="33"/>
  <c r="S120" i="33"/>
  <c r="C120" i="33"/>
  <c r="B120" i="33"/>
  <c r="Y119" i="33"/>
  <c r="V119" i="33"/>
  <c r="S119" i="33"/>
  <c r="C119" i="33"/>
  <c r="B119" i="33"/>
  <c r="Y118" i="33"/>
  <c r="V118" i="33"/>
  <c r="S118" i="33"/>
  <c r="C118" i="33"/>
  <c r="B118" i="33"/>
  <c r="Y117" i="33"/>
  <c r="V117" i="33"/>
  <c r="S117" i="33"/>
  <c r="C117" i="33"/>
  <c r="B117" i="33"/>
  <c r="Y116" i="33"/>
  <c r="V116" i="33"/>
  <c r="S116" i="33"/>
  <c r="C116" i="33"/>
  <c r="B116" i="33"/>
  <c r="Y115" i="33"/>
  <c r="V115" i="33"/>
  <c r="S115" i="33"/>
  <c r="C115" i="33"/>
  <c r="B115" i="33"/>
  <c r="Y114" i="33"/>
  <c r="V114" i="33"/>
  <c r="S114" i="33"/>
  <c r="C114" i="33"/>
  <c r="B114" i="33"/>
  <c r="Y113" i="33"/>
  <c r="V113" i="33"/>
  <c r="S113" i="33"/>
  <c r="C113" i="33"/>
  <c r="B113" i="33"/>
  <c r="Y112" i="33"/>
  <c r="V112" i="33"/>
  <c r="S112" i="33"/>
  <c r="C112" i="33"/>
  <c r="B112" i="33"/>
  <c r="Y111" i="33"/>
  <c r="V111" i="33"/>
  <c r="S111" i="33"/>
  <c r="C111" i="33"/>
  <c r="B111" i="33"/>
  <c r="Y110" i="33"/>
  <c r="V110" i="33"/>
  <c r="S110" i="33"/>
  <c r="C110" i="33"/>
  <c r="B110" i="33"/>
  <c r="Y109" i="33"/>
  <c r="V109" i="33"/>
  <c r="S109" i="33"/>
  <c r="C109" i="33"/>
  <c r="B109" i="33"/>
  <c r="Y108" i="33"/>
  <c r="V108" i="33"/>
  <c r="S108" i="33"/>
  <c r="C108" i="33"/>
  <c r="B108" i="33"/>
  <c r="Y107" i="33"/>
  <c r="V107" i="33"/>
  <c r="S107" i="33"/>
  <c r="C107" i="33"/>
  <c r="B107" i="33"/>
  <c r="Y106" i="33"/>
  <c r="V106" i="33"/>
  <c r="S106" i="33"/>
  <c r="C106" i="33"/>
  <c r="B106" i="33"/>
  <c r="Y105" i="33"/>
  <c r="V105" i="33"/>
  <c r="S105" i="33"/>
  <c r="C105" i="33"/>
  <c r="B105" i="33"/>
  <c r="Y104" i="33"/>
  <c r="V104" i="33"/>
  <c r="S104" i="33"/>
  <c r="C104" i="33"/>
  <c r="B104" i="33"/>
  <c r="Y103" i="33"/>
  <c r="V103" i="33"/>
  <c r="S103" i="33"/>
  <c r="C103" i="33"/>
  <c r="B103" i="33"/>
  <c r="Y102" i="33"/>
  <c r="V102" i="33"/>
  <c r="S102" i="33"/>
  <c r="C102" i="33"/>
  <c r="B102" i="33"/>
  <c r="Y101" i="33"/>
  <c r="V101" i="33"/>
  <c r="S101" i="33"/>
  <c r="C101" i="33"/>
  <c r="B101" i="33"/>
  <c r="Y100" i="33"/>
  <c r="V100" i="33"/>
  <c r="S100" i="33"/>
  <c r="C100" i="33"/>
  <c r="B100" i="33"/>
  <c r="Y99" i="33"/>
  <c r="V99" i="33"/>
  <c r="S99" i="33"/>
  <c r="C99" i="33"/>
  <c r="B99" i="33"/>
  <c r="Y98" i="33"/>
  <c r="V98" i="33"/>
  <c r="S98" i="33"/>
  <c r="C98" i="33"/>
  <c r="B98" i="33"/>
  <c r="Y97" i="33"/>
  <c r="V97" i="33"/>
  <c r="S97" i="33"/>
  <c r="C97" i="33"/>
  <c r="B97" i="33"/>
  <c r="Y96" i="33"/>
  <c r="V96" i="33"/>
  <c r="S96" i="33"/>
  <c r="C96" i="33"/>
  <c r="B96" i="33"/>
  <c r="Y95" i="33"/>
  <c r="V95" i="33"/>
  <c r="S95" i="33"/>
  <c r="C95" i="33"/>
  <c r="B95" i="33"/>
  <c r="Y94" i="33"/>
  <c r="V94" i="33"/>
  <c r="S94" i="33"/>
  <c r="C94" i="33"/>
  <c r="B94" i="33"/>
  <c r="Y93" i="33"/>
  <c r="V93" i="33"/>
  <c r="S93" i="33"/>
  <c r="C93" i="33"/>
  <c r="B93" i="33"/>
  <c r="Y92" i="33"/>
  <c r="V92" i="33"/>
  <c r="S92" i="33"/>
  <c r="C92" i="33"/>
  <c r="B92" i="33"/>
  <c r="Y91" i="33"/>
  <c r="V91" i="33"/>
  <c r="S91" i="33"/>
  <c r="C91" i="33"/>
  <c r="B91" i="33"/>
  <c r="Y90" i="33"/>
  <c r="V90" i="33"/>
  <c r="S90" i="33"/>
  <c r="C90" i="33"/>
  <c r="B90" i="33"/>
  <c r="Y89" i="33"/>
  <c r="V89" i="33"/>
  <c r="S89" i="33"/>
  <c r="C89" i="33"/>
  <c r="B89" i="33"/>
  <c r="Y88" i="33"/>
  <c r="V88" i="33"/>
  <c r="S88" i="33"/>
  <c r="C88" i="33"/>
  <c r="B88" i="33"/>
  <c r="Y87" i="33"/>
  <c r="V87" i="33"/>
  <c r="S87" i="33"/>
  <c r="C87" i="33"/>
  <c r="B87" i="33"/>
  <c r="Y86" i="33"/>
  <c r="V86" i="33"/>
  <c r="S86" i="33"/>
  <c r="C86" i="33"/>
  <c r="B86" i="33"/>
  <c r="Y85" i="33"/>
  <c r="V85" i="33"/>
  <c r="S85" i="33"/>
  <c r="C85" i="33"/>
  <c r="B85" i="33"/>
  <c r="Y84" i="33"/>
  <c r="V84" i="33"/>
  <c r="S84" i="33"/>
  <c r="C84" i="33"/>
  <c r="B84" i="33"/>
  <c r="Y83" i="33"/>
  <c r="V83" i="33"/>
  <c r="S83" i="33"/>
  <c r="C83" i="33"/>
  <c r="B83" i="33"/>
  <c r="Y82" i="33"/>
  <c r="V82" i="33"/>
  <c r="S82" i="33"/>
  <c r="C82" i="33"/>
  <c r="B82" i="33"/>
  <c r="Y81" i="33"/>
  <c r="V81" i="33"/>
  <c r="S81" i="33"/>
  <c r="C81" i="33"/>
  <c r="B81" i="33"/>
  <c r="Y80" i="33"/>
  <c r="V80" i="33"/>
  <c r="S80" i="33"/>
  <c r="C80" i="33"/>
  <c r="B80" i="33"/>
  <c r="Y79" i="33"/>
  <c r="V79" i="33"/>
  <c r="S79" i="33"/>
  <c r="C79" i="33"/>
  <c r="B79" i="33"/>
  <c r="Y78" i="33"/>
  <c r="V78" i="33"/>
  <c r="S78" i="33"/>
  <c r="C78" i="33"/>
  <c r="B78" i="33"/>
  <c r="Y77" i="33"/>
  <c r="V77" i="33"/>
  <c r="S77" i="33"/>
  <c r="C77" i="33"/>
  <c r="B77" i="33"/>
  <c r="Y76" i="33"/>
  <c r="V76" i="33"/>
  <c r="S76" i="33"/>
  <c r="C76" i="33"/>
  <c r="B76" i="33"/>
  <c r="Y75" i="33"/>
  <c r="V75" i="33"/>
  <c r="S75" i="33"/>
  <c r="C75" i="33"/>
  <c r="B75" i="33"/>
  <c r="Y74" i="33"/>
  <c r="V74" i="33"/>
  <c r="S74" i="33"/>
  <c r="C74" i="33"/>
  <c r="B74" i="33"/>
  <c r="Y73" i="33"/>
  <c r="V73" i="33"/>
  <c r="S73" i="33"/>
  <c r="C73" i="33"/>
  <c r="B73" i="33"/>
  <c r="Y72" i="33"/>
  <c r="V72" i="33"/>
  <c r="S72" i="33"/>
  <c r="C72" i="33"/>
  <c r="B72" i="33"/>
  <c r="Y71" i="33"/>
  <c r="V71" i="33"/>
  <c r="S71" i="33"/>
  <c r="C71" i="33"/>
  <c r="B71" i="33"/>
  <c r="Y70" i="33"/>
  <c r="V70" i="33"/>
  <c r="S70" i="33"/>
  <c r="C70" i="33"/>
  <c r="B70" i="33"/>
  <c r="Y69" i="33"/>
  <c r="V69" i="33"/>
  <c r="S69" i="33"/>
  <c r="C69" i="33"/>
  <c r="B69" i="33"/>
  <c r="Y68" i="33"/>
  <c r="V68" i="33"/>
  <c r="S68" i="33"/>
  <c r="C68" i="33"/>
  <c r="B68" i="33"/>
  <c r="Y67" i="33"/>
  <c r="V67" i="33"/>
  <c r="S67" i="33"/>
  <c r="C67" i="33"/>
  <c r="B67" i="33"/>
  <c r="Y66" i="33"/>
  <c r="V66" i="33"/>
  <c r="S66" i="33"/>
  <c r="C66" i="33"/>
  <c r="B66" i="33"/>
  <c r="Y65" i="33"/>
  <c r="V65" i="33"/>
  <c r="S65" i="33"/>
  <c r="C65" i="33"/>
  <c r="B65" i="33"/>
  <c r="Y64" i="33"/>
  <c r="V64" i="33"/>
  <c r="S64" i="33"/>
  <c r="C64" i="33"/>
  <c r="B64" i="33"/>
  <c r="Y63" i="33"/>
  <c r="V63" i="33"/>
  <c r="S63" i="33"/>
  <c r="C63" i="33"/>
  <c r="B63" i="33"/>
  <c r="Y62" i="33"/>
  <c r="V62" i="33"/>
  <c r="S62" i="33"/>
  <c r="C62" i="33"/>
  <c r="B62" i="33"/>
  <c r="Y61" i="33"/>
  <c r="V61" i="33"/>
  <c r="S61" i="33"/>
  <c r="C61" i="33"/>
  <c r="B61" i="33"/>
  <c r="Y60" i="33"/>
  <c r="V60" i="33"/>
  <c r="S60" i="33"/>
  <c r="C60" i="33"/>
  <c r="B60" i="33"/>
  <c r="Y59" i="33"/>
  <c r="V59" i="33"/>
  <c r="S59" i="33"/>
  <c r="C59" i="33"/>
  <c r="B59" i="33"/>
  <c r="Y58" i="33"/>
  <c r="V58" i="33"/>
  <c r="S58" i="33"/>
  <c r="C58" i="33"/>
  <c r="B58" i="33"/>
  <c r="Y57" i="33"/>
  <c r="V57" i="33"/>
  <c r="S57" i="33"/>
  <c r="C57" i="33"/>
  <c r="B57" i="33"/>
  <c r="Y56" i="33"/>
  <c r="V56" i="33"/>
  <c r="S56" i="33"/>
  <c r="C56" i="33"/>
  <c r="B56" i="33"/>
  <c r="Y55" i="33"/>
  <c r="V55" i="33"/>
  <c r="S55" i="33"/>
  <c r="C55" i="33"/>
  <c r="B55" i="33"/>
  <c r="Y54" i="33"/>
  <c r="V54" i="33"/>
  <c r="S54" i="33"/>
  <c r="C54" i="33"/>
  <c r="B54" i="33"/>
  <c r="Y53" i="33"/>
  <c r="V53" i="33"/>
  <c r="S53" i="33"/>
  <c r="C53" i="33"/>
  <c r="B53" i="33"/>
  <c r="Y52" i="33"/>
  <c r="V52" i="33"/>
  <c r="S52" i="33"/>
  <c r="C52" i="33"/>
  <c r="B52" i="33"/>
  <c r="Y51" i="33"/>
  <c r="V51" i="33"/>
  <c r="S51" i="33"/>
  <c r="C51" i="33"/>
  <c r="B51" i="33"/>
  <c r="Y50" i="33"/>
  <c r="V50" i="33"/>
  <c r="S50" i="33"/>
  <c r="C50" i="33"/>
  <c r="B50" i="33"/>
  <c r="Y49" i="33"/>
  <c r="V49" i="33"/>
  <c r="S49" i="33"/>
  <c r="C49" i="33"/>
  <c r="B49" i="33"/>
  <c r="Y48" i="33"/>
  <c r="V48" i="33"/>
  <c r="S48" i="33"/>
  <c r="C48" i="33"/>
  <c r="B48" i="33"/>
  <c r="Y47" i="33"/>
  <c r="V47" i="33"/>
  <c r="S47" i="33"/>
  <c r="C47" i="33"/>
  <c r="B47" i="33"/>
  <c r="Y46" i="33"/>
  <c r="V46" i="33"/>
  <c r="S46" i="33"/>
  <c r="C46" i="33"/>
  <c r="B46" i="33"/>
  <c r="Y45" i="33"/>
  <c r="V45" i="33"/>
  <c r="S45" i="33"/>
  <c r="C45" i="33"/>
  <c r="B45" i="33"/>
  <c r="Y44" i="33"/>
  <c r="V44" i="33"/>
  <c r="S44" i="33"/>
  <c r="C44" i="33"/>
  <c r="B44" i="33"/>
  <c r="Y43" i="33"/>
  <c r="V43" i="33"/>
  <c r="S43" i="33"/>
  <c r="C43" i="33"/>
  <c r="B43" i="33"/>
  <c r="Y42" i="33"/>
  <c r="V42" i="33"/>
  <c r="S42" i="33"/>
  <c r="C42" i="33"/>
  <c r="B42" i="33"/>
  <c r="Y41" i="33"/>
  <c r="V41" i="33"/>
  <c r="S41" i="33"/>
  <c r="C41" i="33"/>
  <c r="B41" i="33"/>
  <c r="Y40" i="33"/>
  <c r="V40" i="33"/>
  <c r="S40" i="33"/>
  <c r="C40" i="33"/>
  <c r="B40" i="33"/>
  <c r="Y39" i="33"/>
  <c r="V39" i="33"/>
  <c r="S39" i="33"/>
  <c r="C39" i="33"/>
  <c r="B39" i="33"/>
  <c r="Y38" i="33"/>
  <c r="V38" i="33"/>
  <c r="S38" i="33"/>
  <c r="C38" i="33"/>
  <c r="B38" i="33"/>
  <c r="Y37" i="33"/>
  <c r="V37" i="33"/>
  <c r="S37" i="33"/>
  <c r="C37" i="33"/>
  <c r="B37" i="33"/>
  <c r="Y36" i="33"/>
  <c r="V36" i="33"/>
  <c r="S36" i="33"/>
  <c r="C36" i="33"/>
  <c r="B36" i="33"/>
  <c r="Y35" i="33"/>
  <c r="V35" i="33"/>
  <c r="S35" i="33"/>
  <c r="C35" i="33"/>
  <c r="B35" i="33"/>
  <c r="Y34" i="33"/>
  <c r="V34" i="33"/>
  <c r="S34" i="33"/>
  <c r="C34" i="33"/>
  <c r="B34" i="33"/>
  <c r="Y33" i="33"/>
  <c r="V33" i="33"/>
  <c r="S33" i="33"/>
  <c r="C33" i="33"/>
  <c r="B33" i="33"/>
  <c r="Y32" i="33"/>
  <c r="V32" i="33"/>
  <c r="S32" i="33"/>
  <c r="C32" i="33"/>
  <c r="B32" i="33"/>
  <c r="Y31" i="33"/>
  <c r="V31" i="33"/>
  <c r="S31" i="33"/>
  <c r="C31" i="33"/>
  <c r="B31" i="33"/>
  <c r="Y30" i="33"/>
  <c r="V30" i="33"/>
  <c r="S30" i="33"/>
  <c r="C30" i="33"/>
  <c r="B30" i="33"/>
  <c r="Y29" i="33"/>
  <c r="V29" i="33"/>
  <c r="S29" i="33"/>
  <c r="C29" i="33"/>
  <c r="B29" i="33"/>
  <c r="Y28" i="33"/>
  <c r="V28" i="33"/>
  <c r="S28" i="33"/>
  <c r="C28" i="33"/>
  <c r="B28" i="33"/>
  <c r="Y27" i="33"/>
  <c r="V27" i="33"/>
  <c r="S27" i="33"/>
  <c r="C27" i="33"/>
  <c r="B27" i="33"/>
  <c r="Y26" i="33"/>
  <c r="V26" i="33"/>
  <c r="S26" i="33"/>
  <c r="C26" i="33"/>
  <c r="B26" i="33"/>
  <c r="Y25" i="33"/>
  <c r="V25" i="33"/>
  <c r="S25" i="33"/>
  <c r="C25" i="33"/>
  <c r="B25" i="33"/>
  <c r="Y24" i="33"/>
  <c r="V24" i="33"/>
  <c r="S24" i="33"/>
  <c r="C24" i="33"/>
  <c r="B24" i="33"/>
  <c r="Y23" i="33"/>
  <c r="V23" i="33"/>
  <c r="S23" i="33"/>
  <c r="C23" i="33"/>
  <c r="B23" i="33"/>
  <c r="Y22" i="33"/>
  <c r="V22" i="33"/>
  <c r="S22" i="33"/>
  <c r="C22" i="33"/>
  <c r="B22" i="33"/>
  <c r="Y21" i="33"/>
  <c r="V21" i="33"/>
  <c r="S21" i="33"/>
  <c r="C21" i="33"/>
  <c r="B21" i="33"/>
  <c r="Y20" i="33"/>
  <c r="V20" i="33"/>
  <c r="S20" i="33"/>
  <c r="C20" i="33"/>
  <c r="B20" i="33"/>
  <c r="Y19" i="33"/>
  <c r="V19" i="33"/>
  <c r="S19" i="33"/>
  <c r="C19" i="33"/>
  <c r="B19" i="33"/>
  <c r="Y18" i="33"/>
  <c r="V18" i="33"/>
  <c r="S18" i="33"/>
  <c r="C18" i="33"/>
  <c r="B18" i="33"/>
  <c r="Y17" i="33"/>
  <c r="V17" i="33"/>
  <c r="S17" i="33"/>
  <c r="C17" i="33"/>
  <c r="B17" i="33"/>
  <c r="Y16" i="33"/>
  <c r="V16" i="33"/>
  <c r="S16" i="33"/>
  <c r="C16" i="33"/>
  <c r="B16" i="33"/>
  <c r="Y15" i="33"/>
  <c r="V15" i="33"/>
  <c r="S15" i="33"/>
  <c r="C15" i="33"/>
  <c r="B15" i="33"/>
  <c r="Y14" i="33"/>
  <c r="V14" i="33"/>
  <c r="S14" i="33"/>
  <c r="C14" i="33"/>
  <c r="B14" i="33"/>
  <c r="Y13" i="33"/>
  <c r="V13" i="33"/>
  <c r="S13" i="33"/>
  <c r="C13" i="33"/>
  <c r="B13" i="33"/>
  <c r="Y12" i="33"/>
  <c r="V12" i="33"/>
  <c r="S12" i="33"/>
  <c r="C12" i="33"/>
  <c r="B12" i="33"/>
  <c r="Y11" i="33"/>
  <c r="V11" i="33"/>
  <c r="S11" i="33"/>
  <c r="C11" i="33"/>
  <c r="B11" i="33"/>
  <c r="Y10" i="33"/>
  <c r="V10" i="33"/>
  <c r="S10" i="33"/>
  <c r="C10" i="33"/>
  <c r="B10" i="33"/>
  <c r="Y9" i="33"/>
  <c r="V9" i="33"/>
  <c r="S9" i="33"/>
  <c r="C9" i="33"/>
  <c r="B9" i="33"/>
  <c r="Y8" i="33"/>
  <c r="V8" i="33"/>
  <c r="S8" i="33"/>
  <c r="C8" i="33"/>
  <c r="B8" i="33"/>
  <c r="Y7" i="33"/>
  <c r="V7" i="33"/>
  <c r="S7" i="33"/>
  <c r="C7" i="33"/>
  <c r="B7" i="33"/>
  <c r="Y6" i="33"/>
  <c r="V6" i="33"/>
  <c r="S6" i="33"/>
  <c r="C6" i="33"/>
  <c r="B6" i="33"/>
  <c r="Y5" i="33"/>
  <c r="V5" i="33"/>
  <c r="S5" i="33"/>
  <c r="C5" i="33"/>
  <c r="B5" i="33"/>
  <c r="Y4" i="33"/>
  <c r="V4" i="33"/>
  <c r="S4" i="33"/>
  <c r="C4" i="33"/>
  <c r="B4" i="33"/>
  <c r="Y3" i="33"/>
  <c r="V3" i="33"/>
  <c r="S3" i="33"/>
  <c r="C3" i="33"/>
  <c r="B3" i="33"/>
  <c r="Y2" i="33"/>
  <c r="V2" i="33"/>
  <c r="S2" i="33"/>
  <c r="C2" i="33"/>
  <c r="B2" i="33"/>
  <c r="F590" i="32"/>
  <c r="F579" i="32"/>
  <c r="I484" i="32"/>
  <c r="I483" i="32"/>
  <c r="I448" i="32"/>
  <c r="I447" i="32"/>
  <c r="J314" i="32"/>
  <c r="J313" i="32"/>
  <c r="J312" i="32"/>
  <c r="I278" i="32"/>
  <c r="I268" i="32"/>
  <c r="I108" i="32"/>
  <c r="I140" i="31"/>
  <c r="H140" i="31" s="1"/>
  <c r="H136" i="31"/>
  <c r="G136" i="31"/>
  <c r="F136" i="31"/>
  <c r="F125" i="31"/>
  <c r="C75" i="31"/>
  <c r="C74" i="31"/>
  <c r="C73" i="31"/>
  <c r="C72" i="31"/>
  <c r="C28" i="31"/>
  <c r="C27" i="31"/>
  <c r="H174" i="30"/>
  <c r="H173" i="30"/>
  <c r="E165" i="30"/>
  <c r="J175" i="22" s="1"/>
  <c r="D37" i="30"/>
  <c r="D10" i="30"/>
  <c r="D165" i="30" s="1"/>
  <c r="D9" i="30"/>
  <c r="I51" i="28"/>
  <c r="H51" i="28"/>
  <c r="G51" i="28"/>
  <c r="F51" i="28"/>
  <c r="E51" i="28"/>
  <c r="K51" i="28" s="1"/>
  <c r="I27" i="28"/>
  <c r="H27" i="28"/>
  <c r="G27" i="28"/>
  <c r="F27" i="28"/>
  <c r="E27" i="28"/>
  <c r="K27" i="28" s="1"/>
  <c r="I191" i="27"/>
  <c r="H191" i="27"/>
  <c r="H30" i="27"/>
  <c r="A173" i="26"/>
  <c r="D161" i="26"/>
  <c r="C161" i="26"/>
  <c r="G155" i="26"/>
  <c r="H154" i="26"/>
  <c r="H155" i="26" s="1"/>
  <c r="G154" i="26"/>
  <c r="A82" i="26"/>
  <c r="A83" i="26" s="1"/>
  <c r="A84" i="26" s="1"/>
  <c r="A85" i="26" s="1"/>
  <c r="A86" i="26" s="1"/>
  <c r="A87" i="26" s="1"/>
  <c r="I75" i="26"/>
  <c r="I76" i="26" s="1"/>
  <c r="A60" i="26"/>
  <c r="A61" i="26" s="1"/>
  <c r="A62" i="26" s="1"/>
  <c r="A63" i="26" s="1"/>
  <c r="A64" i="26" s="1"/>
  <c r="A65" i="26" s="1"/>
  <c r="A66" i="26" s="1"/>
  <c r="A67" i="26" s="1"/>
  <c r="I52" i="26"/>
  <c r="W51" i="25"/>
  <c r="T37" i="25"/>
  <c r="E84" i="24"/>
  <c r="E82" i="24"/>
  <c r="E72" i="24"/>
  <c r="E64" i="24"/>
  <c r="S39" i="24"/>
  <c r="R39" i="24"/>
  <c r="Q39" i="24"/>
  <c r="P39" i="24"/>
  <c r="O39" i="24"/>
  <c r="N39" i="24"/>
  <c r="I39" i="24"/>
  <c r="H39" i="24"/>
  <c r="G39" i="24"/>
  <c r="F39" i="24"/>
  <c r="D39" i="24"/>
  <c r="C39" i="24"/>
  <c r="E39" i="24" s="1"/>
  <c r="N31" i="24"/>
  <c r="R31" i="24" s="1"/>
  <c r="M31" i="24"/>
  <c r="Q31" i="24" s="1"/>
  <c r="C31" i="24"/>
  <c r="S29" i="24"/>
  <c r="R29" i="24"/>
  <c r="Q29" i="24"/>
  <c r="P29" i="24"/>
  <c r="O29" i="24"/>
  <c r="N29" i="24"/>
  <c r="C29" i="24"/>
  <c r="S27" i="24"/>
  <c r="R27" i="24"/>
  <c r="Q27" i="24"/>
  <c r="P27" i="24"/>
  <c r="O27" i="24"/>
  <c r="N27" i="24"/>
  <c r="M27" i="24"/>
  <c r="C27" i="24"/>
  <c r="G25" i="24"/>
  <c r="F25" i="24"/>
  <c r="E25" i="24"/>
  <c r="D25" i="24"/>
  <c r="C25" i="24"/>
  <c r="I23" i="24"/>
  <c r="H23" i="24"/>
  <c r="G23" i="24"/>
  <c r="F23" i="24"/>
  <c r="E23" i="24"/>
  <c r="D23" i="24"/>
  <c r="I21" i="24"/>
  <c r="H21" i="24"/>
  <c r="G21" i="24"/>
  <c r="F21" i="24"/>
  <c r="E21" i="24"/>
  <c r="D21" i="24"/>
  <c r="R19" i="24"/>
  <c r="Q19" i="24"/>
  <c r="M19" i="24"/>
  <c r="F19" i="24"/>
  <c r="C19" i="24"/>
  <c r="R17" i="24"/>
  <c r="Q17" i="24"/>
  <c r="N17" i="24"/>
  <c r="I17" i="24"/>
  <c r="F17" i="24"/>
  <c r="E17" i="24"/>
  <c r="S16" i="24"/>
  <c r="R16" i="24"/>
  <c r="Q16" i="24"/>
  <c r="H16" i="24"/>
  <c r="H17" i="24" s="1"/>
  <c r="G16" i="24"/>
  <c r="F16" i="24"/>
  <c r="E16" i="24"/>
  <c r="S15" i="24"/>
  <c r="R15" i="24"/>
  <c r="Q15" i="24"/>
  <c r="P15" i="24"/>
  <c r="O15" i="24"/>
  <c r="O16" i="24" s="1"/>
  <c r="N15" i="24"/>
  <c r="N16" i="24" s="1"/>
  <c r="I15" i="24"/>
  <c r="I16" i="24" s="1"/>
  <c r="H15" i="24"/>
  <c r="G15" i="24"/>
  <c r="F15" i="24"/>
  <c r="E15" i="24"/>
  <c r="D15" i="24"/>
  <c r="D16" i="24" s="1"/>
  <c r="G65" i="23"/>
  <c r="F65" i="23"/>
  <c r="E65" i="23"/>
  <c r="G64" i="23"/>
  <c r="F64" i="23"/>
  <c r="E64" i="23"/>
  <c r="D50" i="23"/>
  <c r="D53" i="23" s="1"/>
  <c r="E47" i="23"/>
  <c r="I43" i="23"/>
  <c r="G43" i="23"/>
  <c r="F43" i="23"/>
  <c r="E43" i="23"/>
  <c r="I39" i="23"/>
  <c r="I47" i="23" s="1"/>
  <c r="G39" i="23"/>
  <c r="G47" i="23" s="1"/>
  <c r="F39" i="23"/>
  <c r="F47" i="23" s="1"/>
  <c r="E39" i="23"/>
  <c r="I33" i="23"/>
  <c r="G24" i="23"/>
  <c r="F24" i="23"/>
  <c r="E24" i="23"/>
  <c r="I23" i="23"/>
  <c r="G23" i="23"/>
  <c r="F23" i="23"/>
  <c r="E23" i="23"/>
  <c r="I22" i="23"/>
  <c r="I25" i="23" s="1"/>
  <c r="G22" i="23"/>
  <c r="F22" i="23"/>
  <c r="F25" i="23" s="1"/>
  <c r="E22" i="23"/>
  <c r="I21" i="23"/>
  <c r="G21" i="23"/>
  <c r="F21" i="23"/>
  <c r="E21" i="23"/>
  <c r="I20" i="23"/>
  <c r="G20" i="23"/>
  <c r="F20" i="23"/>
  <c r="E20" i="23"/>
  <c r="I19" i="23"/>
  <c r="G19" i="23"/>
  <c r="F19" i="23"/>
  <c r="F35" i="23" s="1"/>
  <c r="E19" i="23"/>
  <c r="I17" i="23"/>
  <c r="F17" i="23"/>
  <c r="E17" i="23"/>
  <c r="I16" i="23"/>
  <c r="G16" i="23"/>
  <c r="G17" i="23" s="1"/>
  <c r="F16" i="23"/>
  <c r="E16" i="23"/>
  <c r="D194" i="22"/>
  <c r="DV177" i="22"/>
  <c r="DU177" i="22"/>
  <c r="DT177" i="22"/>
  <c r="DS177" i="22"/>
  <c r="DR177" i="22"/>
  <c r="DQ177" i="22"/>
  <c r="DP177" i="22"/>
  <c r="DO177" i="22"/>
  <c r="DN177" i="22"/>
  <c r="DM177" i="22"/>
  <c r="DL177" i="22"/>
  <c r="DK177" i="22"/>
  <c r="DJ177" i="22"/>
  <c r="DI177" i="22"/>
  <c r="DH177" i="22"/>
  <c r="DG177" i="22"/>
  <c r="DF177" i="22"/>
  <c r="DE177" i="22"/>
  <c r="DD177" i="22"/>
  <c r="DC177" i="22"/>
  <c r="DB177" i="22"/>
  <c r="DA177" i="22"/>
  <c r="CZ177" i="22"/>
  <c r="CY177" i="22"/>
  <c r="CX177" i="22"/>
  <c r="CW177" i="22"/>
  <c r="CV177" i="22"/>
  <c r="CU177" i="22"/>
  <c r="CT177" i="22"/>
  <c r="CS177" i="22"/>
  <c r="CR177" i="22"/>
  <c r="CQ177" i="22"/>
  <c r="CP177" i="22"/>
  <c r="CO177" i="22"/>
  <c r="CN177" i="22"/>
  <c r="CM177" i="22"/>
  <c r="CL177" i="22"/>
  <c r="CK177" i="22"/>
  <c r="CJ177" i="22"/>
  <c r="CI177" i="22"/>
  <c r="CH177" i="22"/>
  <c r="CG177" i="22"/>
  <c r="CF177" i="22"/>
  <c r="CE177" i="22"/>
  <c r="CD177" i="22"/>
  <c r="CC177" i="22"/>
  <c r="CB177" i="22"/>
  <c r="CA177" i="22"/>
  <c r="BZ177" i="22"/>
  <c r="BY177" i="22"/>
  <c r="BX177" i="22"/>
  <c r="BW177" i="22"/>
  <c r="BV177" i="22"/>
  <c r="BU177" i="22"/>
  <c r="BT177" i="22"/>
  <c r="BS177" i="22"/>
  <c r="BR177" i="22"/>
  <c r="BQ177" i="22"/>
  <c r="BP177" i="22"/>
  <c r="BO177" i="22"/>
  <c r="BN177" i="22"/>
  <c r="BM177" i="22"/>
  <c r="BL177" i="22"/>
  <c r="BK177" i="22"/>
  <c r="BJ177" i="22"/>
  <c r="BI177" i="22"/>
  <c r="BH177" i="22"/>
  <c r="BG177" i="22"/>
  <c r="BF177" i="22"/>
  <c r="BE177" i="22"/>
  <c r="BD177" i="22"/>
  <c r="BC177" i="22"/>
  <c r="BB177" i="22"/>
  <c r="BA177" i="22"/>
  <c r="AZ177" i="22"/>
  <c r="AY177" i="22"/>
  <c r="AX177" i="22"/>
  <c r="AW177" i="22"/>
  <c r="AV177" i="22"/>
  <c r="AU177" i="22"/>
  <c r="AT177" i="22"/>
  <c r="AS177" i="22"/>
  <c r="AR177" i="22"/>
  <c r="AQ177" i="22"/>
  <c r="AP177" i="22"/>
  <c r="AO177" i="22"/>
  <c r="AN177" i="22"/>
  <c r="AM177" i="22"/>
  <c r="AL177" i="22"/>
  <c r="AK177" i="22"/>
  <c r="AJ177" i="22"/>
  <c r="AI177" i="22"/>
  <c r="AH177" i="22"/>
  <c r="AG177" i="22"/>
  <c r="AF177" i="22"/>
  <c r="AE177" i="22"/>
  <c r="AD177" i="22"/>
  <c r="AC177" i="22"/>
  <c r="J177" i="22" s="1"/>
  <c r="DV176" i="22"/>
  <c r="DV178" i="22" s="1"/>
  <c r="DU176" i="22"/>
  <c r="DU178" i="22" s="1"/>
  <c r="DT176" i="22"/>
  <c r="DT178" i="22" s="1"/>
  <c r="DS176" i="22"/>
  <c r="DS178" i="22" s="1"/>
  <c r="DR176" i="22"/>
  <c r="DR178" i="22" s="1"/>
  <c r="DQ176" i="22"/>
  <c r="DQ178" i="22" s="1"/>
  <c r="DP176" i="22"/>
  <c r="DP178" i="22" s="1"/>
  <c r="DO176" i="22"/>
  <c r="DO178" i="22" s="1"/>
  <c r="DN176" i="22"/>
  <c r="DN178" i="22" s="1"/>
  <c r="DM176" i="22"/>
  <c r="DM178" i="22" s="1"/>
  <c r="DL176" i="22"/>
  <c r="DL178" i="22" s="1"/>
  <c r="DK176" i="22"/>
  <c r="DK178" i="22" s="1"/>
  <c r="DJ176" i="22"/>
  <c r="DJ178" i="22" s="1"/>
  <c r="DI176" i="22"/>
  <c r="DI178" i="22" s="1"/>
  <c r="DH176" i="22"/>
  <c r="DH178" i="22" s="1"/>
  <c r="DG176" i="22"/>
  <c r="DG178" i="22" s="1"/>
  <c r="DF176" i="22"/>
  <c r="DF178" i="22" s="1"/>
  <c r="DE176" i="22"/>
  <c r="DE178" i="22" s="1"/>
  <c r="DD176" i="22"/>
  <c r="DD178" i="22" s="1"/>
  <c r="DC176" i="22"/>
  <c r="DC178" i="22" s="1"/>
  <c r="DB176" i="22"/>
  <c r="DB178" i="22" s="1"/>
  <c r="DA176" i="22"/>
  <c r="DA178" i="22" s="1"/>
  <c r="CZ176" i="22"/>
  <c r="CZ178" i="22" s="1"/>
  <c r="CY176" i="22"/>
  <c r="CY178" i="22" s="1"/>
  <c r="CX176" i="22"/>
  <c r="CX178" i="22" s="1"/>
  <c r="CW176" i="22"/>
  <c r="CW178" i="22" s="1"/>
  <c r="CV176" i="22"/>
  <c r="CV178" i="22" s="1"/>
  <c r="CU176" i="22"/>
  <c r="CU178" i="22" s="1"/>
  <c r="CT176" i="22"/>
  <c r="CT178" i="22" s="1"/>
  <c r="CS176" i="22"/>
  <c r="CS178" i="22" s="1"/>
  <c r="CR176" i="22"/>
  <c r="CR178" i="22" s="1"/>
  <c r="CQ176" i="22"/>
  <c r="CQ178" i="22" s="1"/>
  <c r="CP176" i="22"/>
  <c r="CP178" i="22" s="1"/>
  <c r="CO176" i="22"/>
  <c r="CO178" i="22" s="1"/>
  <c r="CN176" i="22"/>
  <c r="CN178" i="22" s="1"/>
  <c r="CM176" i="22"/>
  <c r="CM178" i="22" s="1"/>
  <c r="CL176" i="22"/>
  <c r="CL178" i="22" s="1"/>
  <c r="CK176" i="22"/>
  <c r="CK178" i="22" s="1"/>
  <c r="CJ176" i="22"/>
  <c r="CJ178" i="22" s="1"/>
  <c r="CI176" i="22"/>
  <c r="CI178" i="22" s="1"/>
  <c r="CH176" i="22"/>
  <c r="CH178" i="22" s="1"/>
  <c r="CG176" i="22"/>
  <c r="CG178" i="22" s="1"/>
  <c r="CF176" i="22"/>
  <c r="CF178" i="22" s="1"/>
  <c r="CE176" i="22"/>
  <c r="CE178" i="22" s="1"/>
  <c r="CD176" i="22"/>
  <c r="CD178" i="22" s="1"/>
  <c r="CC176" i="22"/>
  <c r="CC178" i="22" s="1"/>
  <c r="CB176" i="22"/>
  <c r="CB178" i="22" s="1"/>
  <c r="CA176" i="22"/>
  <c r="CA178" i="22" s="1"/>
  <c r="BZ176" i="22"/>
  <c r="BZ178" i="22" s="1"/>
  <c r="BY176" i="22"/>
  <c r="BY178" i="22" s="1"/>
  <c r="BX176" i="22"/>
  <c r="BX178" i="22" s="1"/>
  <c r="BW176" i="22"/>
  <c r="BW178" i="22" s="1"/>
  <c r="BV176" i="22"/>
  <c r="BV178" i="22" s="1"/>
  <c r="BU176" i="22"/>
  <c r="BU178" i="22" s="1"/>
  <c r="BT176" i="22"/>
  <c r="BT178" i="22" s="1"/>
  <c r="BS176" i="22"/>
  <c r="BS178" i="22" s="1"/>
  <c r="BR176" i="22"/>
  <c r="BR178" i="22" s="1"/>
  <c r="BQ176" i="22"/>
  <c r="BQ178" i="22" s="1"/>
  <c r="BP176" i="22"/>
  <c r="BP178" i="22" s="1"/>
  <c r="BO176" i="22"/>
  <c r="BO178" i="22" s="1"/>
  <c r="BN176" i="22"/>
  <c r="BN178" i="22" s="1"/>
  <c r="BM176" i="22"/>
  <c r="BM178" i="22" s="1"/>
  <c r="BL176" i="22"/>
  <c r="BL178" i="22" s="1"/>
  <c r="BK176" i="22"/>
  <c r="BK178" i="22" s="1"/>
  <c r="BJ176" i="22"/>
  <c r="BJ178" i="22" s="1"/>
  <c r="BI176" i="22"/>
  <c r="BI178" i="22" s="1"/>
  <c r="BH176" i="22"/>
  <c r="BH178" i="22" s="1"/>
  <c r="BG176" i="22"/>
  <c r="BG178" i="22" s="1"/>
  <c r="BF176" i="22"/>
  <c r="BF178" i="22" s="1"/>
  <c r="BE176" i="22"/>
  <c r="BE178" i="22" s="1"/>
  <c r="BD176" i="22"/>
  <c r="BD178" i="22" s="1"/>
  <c r="BC176" i="22"/>
  <c r="BC178" i="22" s="1"/>
  <c r="BB176" i="22"/>
  <c r="BB178" i="22" s="1"/>
  <c r="BA176" i="22"/>
  <c r="BA178" i="22" s="1"/>
  <c r="AZ176" i="22"/>
  <c r="AZ178" i="22" s="1"/>
  <c r="AY176" i="22"/>
  <c r="AY178" i="22" s="1"/>
  <c r="AX176" i="22"/>
  <c r="AX178" i="22" s="1"/>
  <c r="AW176" i="22"/>
  <c r="AW178" i="22" s="1"/>
  <c r="AV176" i="22"/>
  <c r="AV178" i="22" s="1"/>
  <c r="AU176" i="22"/>
  <c r="AU178" i="22" s="1"/>
  <c r="AT176" i="22"/>
  <c r="AT178" i="22" s="1"/>
  <c r="AS176" i="22"/>
  <c r="AS178" i="22" s="1"/>
  <c r="AR176" i="22"/>
  <c r="AR178" i="22" s="1"/>
  <c r="AQ176" i="22"/>
  <c r="AQ178" i="22" s="1"/>
  <c r="AP176" i="22"/>
  <c r="AP178" i="22" s="1"/>
  <c r="AO176" i="22"/>
  <c r="AO178" i="22" s="1"/>
  <c r="AN176" i="22"/>
  <c r="AN178" i="22" s="1"/>
  <c r="AM176" i="22"/>
  <c r="AM178" i="22" s="1"/>
  <c r="AL176" i="22"/>
  <c r="AL178" i="22" s="1"/>
  <c r="AK176" i="22"/>
  <c r="AK178" i="22" s="1"/>
  <c r="AJ176" i="22"/>
  <c r="AJ178" i="22" s="1"/>
  <c r="AI176" i="22"/>
  <c r="AI178" i="22" s="1"/>
  <c r="AH176" i="22"/>
  <c r="AH178" i="22" s="1"/>
  <c r="AG176" i="22"/>
  <c r="AG178" i="22" s="1"/>
  <c r="AF176" i="22"/>
  <c r="AF178" i="22" s="1"/>
  <c r="AE176" i="22"/>
  <c r="AE178" i="22" s="1"/>
  <c r="AD176" i="22"/>
  <c r="AD178" i="22" s="1"/>
  <c r="AC176" i="22"/>
  <c r="AC178" i="22" s="1"/>
  <c r="EK171" i="22"/>
  <c r="EI171" i="22"/>
  <c r="EF171" i="22"/>
  <c r="EB171" i="22"/>
  <c r="DX171" i="22"/>
  <c r="DV171" i="22"/>
  <c r="DU171" i="22"/>
  <c r="DM171" i="22"/>
  <c r="DL171" i="22"/>
  <c r="DH171" i="22"/>
  <c r="DG171" i="22"/>
  <c r="DE171" i="22"/>
  <c r="CW171" i="22"/>
  <c r="CR171" i="22"/>
  <c r="CQ171" i="22"/>
  <c r="CP171" i="22"/>
  <c r="CO171" i="22"/>
  <c r="CA171" i="22"/>
  <c r="BY171" i="22"/>
  <c r="BX171" i="22"/>
  <c r="BW171" i="22"/>
  <c r="BP171" i="22"/>
  <c r="BL171" i="22"/>
  <c r="BJ171" i="22"/>
  <c r="BH171" i="22"/>
  <c r="AZ171" i="22"/>
  <c r="AW171" i="22"/>
  <c r="AV171" i="22"/>
  <c r="AU171" i="22"/>
  <c r="AR171" i="22"/>
  <c r="AD171" i="22"/>
  <c r="AB171" i="22"/>
  <c r="AA171" i="22"/>
  <c r="X171" i="22"/>
  <c r="O171" i="22"/>
  <c r="N171" i="22"/>
  <c r="EK168" i="22"/>
  <c r="EJ168" i="22"/>
  <c r="EJ171" i="22" s="1"/>
  <c r="EI168" i="22"/>
  <c r="EH168" i="22"/>
  <c r="EH171" i="22" s="1"/>
  <c r="EG168" i="22"/>
  <c r="EG171" i="22" s="1"/>
  <c r="EF168" i="22"/>
  <c r="EE168" i="22"/>
  <c r="EE171" i="22" s="1"/>
  <c r="ED168" i="22"/>
  <c r="ED171" i="22" s="1"/>
  <c r="EC168" i="22"/>
  <c r="EC171" i="22" s="1"/>
  <c r="EB168" i="22"/>
  <c r="EA168" i="22"/>
  <c r="EA171" i="22" s="1"/>
  <c r="DZ168" i="22"/>
  <c r="DZ171" i="22" s="1"/>
  <c r="DY168" i="22"/>
  <c r="DY171" i="22" s="1"/>
  <c r="DX168" i="22"/>
  <c r="DW168" i="22"/>
  <c r="DV168" i="22"/>
  <c r="DU168" i="22"/>
  <c r="DT168" i="22"/>
  <c r="DT171" i="22" s="1"/>
  <c r="DS168" i="22"/>
  <c r="DR168" i="22"/>
  <c r="DR171" i="22" s="1"/>
  <c r="DQ168" i="22"/>
  <c r="DQ171" i="22" s="1"/>
  <c r="DP168" i="22"/>
  <c r="DO168" i="22"/>
  <c r="DO171" i="22" s="1"/>
  <c r="DN168" i="22"/>
  <c r="DM168" i="22"/>
  <c r="DL168" i="22"/>
  <c r="DK168" i="22"/>
  <c r="DJ168" i="22"/>
  <c r="DI168" i="22"/>
  <c r="DH168" i="22"/>
  <c r="DG168" i="22"/>
  <c r="DF168" i="22"/>
  <c r="DE168" i="22"/>
  <c r="DD168" i="22"/>
  <c r="DD171" i="22" s="1"/>
  <c r="DC168" i="22"/>
  <c r="DB168" i="22"/>
  <c r="DB171" i="22" s="1"/>
  <c r="DA168" i="22"/>
  <c r="DA171" i="22" s="1"/>
  <c r="CZ168" i="22"/>
  <c r="CY168" i="22"/>
  <c r="CY171" i="22" s="1"/>
  <c r="CX168" i="22"/>
  <c r="CW168" i="22"/>
  <c r="CV168" i="22"/>
  <c r="CV171" i="22" s="1"/>
  <c r="CU168" i="22"/>
  <c r="CT168" i="22"/>
  <c r="CS168" i="22"/>
  <c r="CR168" i="22"/>
  <c r="CQ168" i="22"/>
  <c r="CP168" i="22"/>
  <c r="CO168" i="22"/>
  <c r="CN168" i="22"/>
  <c r="CN171" i="22" s="1"/>
  <c r="CM168" i="22"/>
  <c r="CL168" i="22"/>
  <c r="CL171" i="22" s="1"/>
  <c r="CK168" i="22"/>
  <c r="CK171" i="22" s="1"/>
  <c r="CJ168" i="22"/>
  <c r="CI168" i="22"/>
  <c r="CI171" i="22" s="1"/>
  <c r="CH168" i="22"/>
  <c r="CG168" i="22"/>
  <c r="CG171" i="22" s="1"/>
  <c r="CF168" i="22"/>
  <c r="CF171" i="22" s="1"/>
  <c r="CE168" i="22"/>
  <c r="CD168" i="22"/>
  <c r="CC168" i="22"/>
  <c r="CB168" i="22"/>
  <c r="CA168" i="22"/>
  <c r="BZ168" i="22"/>
  <c r="BY168" i="22"/>
  <c r="BX168" i="22"/>
  <c r="BW168" i="22"/>
  <c r="BV168" i="22"/>
  <c r="BV171" i="22" s="1"/>
  <c r="BU168" i="22"/>
  <c r="BU171" i="22" s="1"/>
  <c r="BT168" i="22"/>
  <c r="BS168" i="22"/>
  <c r="BS171" i="22" s="1"/>
  <c r="BR168" i="22"/>
  <c r="BQ168" i="22"/>
  <c r="BQ171" i="22" s="1"/>
  <c r="BP168" i="22"/>
  <c r="BO168" i="22"/>
  <c r="BN168" i="22"/>
  <c r="BM168" i="22"/>
  <c r="BL168" i="22"/>
  <c r="BK168" i="22"/>
  <c r="BJ168" i="22"/>
  <c r="BI168" i="22"/>
  <c r="BI171" i="22" s="1"/>
  <c r="BH168" i="22"/>
  <c r="BG168" i="22"/>
  <c r="BF168" i="22"/>
  <c r="BF171" i="22" s="1"/>
  <c r="BE168" i="22"/>
  <c r="BE171" i="22" s="1"/>
  <c r="BC168" i="22"/>
  <c r="BB168" i="22"/>
  <c r="BB171" i="22" s="1"/>
  <c r="BA168" i="22"/>
  <c r="BA171" i="22" s="1"/>
  <c r="AZ168" i="22"/>
  <c r="AY168" i="22"/>
  <c r="AX168" i="22"/>
  <c r="AW168" i="22"/>
  <c r="AV168" i="22"/>
  <c r="AU168" i="22"/>
  <c r="AT168" i="22"/>
  <c r="AS168" i="22"/>
  <c r="AS171" i="22" s="1"/>
  <c r="AR168" i="22"/>
  <c r="AQ168" i="22"/>
  <c r="AP168" i="22"/>
  <c r="AP171" i="22" s="1"/>
  <c r="AO168" i="22"/>
  <c r="AO171" i="22" s="1"/>
  <c r="AN168" i="22"/>
  <c r="AM168" i="22"/>
  <c r="AL168" i="22"/>
  <c r="AL171" i="22" s="1"/>
  <c r="AK168" i="22"/>
  <c r="AK171" i="22" s="1"/>
  <c r="AJ168" i="22"/>
  <c r="AJ171" i="22" s="1"/>
  <c r="AI168" i="22"/>
  <c r="AH168" i="22"/>
  <c r="AG168" i="22"/>
  <c r="AF168" i="22"/>
  <c r="AE168" i="22"/>
  <c r="AD168" i="22"/>
  <c r="AC168" i="22"/>
  <c r="AC171" i="22" s="1"/>
  <c r="AB168" i="22"/>
  <c r="AA168" i="22"/>
  <c r="Z168" i="22"/>
  <c r="Z171" i="22" s="1"/>
  <c r="Y168" i="22"/>
  <c r="Y171" i="22" s="1"/>
  <c r="X168" i="22"/>
  <c r="W168" i="22"/>
  <c r="V168" i="22"/>
  <c r="V171" i="22" s="1"/>
  <c r="U168" i="22"/>
  <c r="U171" i="22" s="1"/>
  <c r="T168" i="22"/>
  <c r="T171" i="22" s="1"/>
  <c r="S168" i="22"/>
  <c r="R168" i="22"/>
  <c r="Q168" i="22"/>
  <c r="P168" i="22"/>
  <c r="O168" i="22"/>
  <c r="N168" i="22"/>
  <c r="M168" i="22"/>
  <c r="K165" i="22"/>
  <c r="K164" i="22"/>
  <c r="K163" i="22"/>
  <c r="L162" i="22"/>
  <c r="K162" i="22"/>
  <c r="L161" i="22"/>
  <c r="K161" i="22"/>
  <c r="K160" i="22"/>
  <c r="K159" i="22"/>
  <c r="K158" i="22"/>
  <c r="K157" i="22"/>
  <c r="K156" i="22"/>
  <c r="K155" i="22"/>
  <c r="K154" i="22"/>
  <c r="K153" i="22"/>
  <c r="K152" i="22"/>
  <c r="K151" i="22"/>
  <c r="K150" i="22"/>
  <c r="K149" i="22"/>
  <c r="K148" i="22"/>
  <c r="K147" i="22"/>
  <c r="K146" i="22"/>
  <c r="K145" i="22"/>
  <c r="K144" i="22"/>
  <c r="L143" i="22"/>
  <c r="K143" i="22"/>
  <c r="L142" i="22"/>
  <c r="K142" i="22"/>
  <c r="K141" i="22"/>
  <c r="Y140" i="22"/>
  <c r="K140" i="22" s="1"/>
  <c r="L140" i="22"/>
  <c r="K139" i="22"/>
  <c r="K138" i="22"/>
  <c r="K137" i="22"/>
  <c r="K136" i="22"/>
  <c r="L135" i="22"/>
  <c r="K135" i="22"/>
  <c r="K134" i="22"/>
  <c r="K133" i="22"/>
  <c r="L132" i="22"/>
  <c r="K132" i="22"/>
  <c r="K131" i="22"/>
  <c r="K130" i="22"/>
  <c r="K129" i="22"/>
  <c r="K128" i="22"/>
  <c r="K127" i="22"/>
  <c r="K126" i="22"/>
  <c r="K125" i="22"/>
  <c r="L124" i="22"/>
  <c r="K124" i="22"/>
  <c r="K123" i="22"/>
  <c r="K122" i="22"/>
  <c r="K121" i="22"/>
  <c r="K120" i="22"/>
  <c r="K119" i="22"/>
  <c r="K118" i="22"/>
  <c r="K117" i="22"/>
  <c r="K116" i="22"/>
  <c r="K115" i="22"/>
  <c r="K114" i="22"/>
  <c r="BD113" i="22"/>
  <c r="BD168" i="22" s="1"/>
  <c r="K113" i="22"/>
  <c r="K112" i="22"/>
  <c r="K111" i="22"/>
  <c r="K110" i="22"/>
  <c r="K109" i="22"/>
  <c r="L108" i="22"/>
  <c r="K108" i="22"/>
  <c r="L107" i="22"/>
  <c r="K107" i="22"/>
  <c r="K106" i="22"/>
  <c r="K105" i="22"/>
  <c r="K104" i="22"/>
  <c r="K103" i="22"/>
  <c r="K102" i="22"/>
  <c r="K101" i="22"/>
  <c r="K100" i="22"/>
  <c r="L99" i="22"/>
  <c r="K99" i="22"/>
  <c r="L98" i="22"/>
  <c r="K98" i="22"/>
  <c r="K97" i="22"/>
  <c r="K96" i="22"/>
  <c r="K95" i="22"/>
  <c r="L94" i="22"/>
  <c r="K94" i="22"/>
  <c r="K93" i="22"/>
  <c r="K92" i="22"/>
  <c r="DX88" i="22"/>
  <c r="DW88" i="22"/>
  <c r="DW171" i="22" s="1"/>
  <c r="DV88" i="22"/>
  <c r="DU88" i="22"/>
  <c r="DT88" i="22"/>
  <c r="DS88" i="22"/>
  <c r="DS171" i="22" s="1"/>
  <c r="DR88" i="22"/>
  <c r="DQ88" i="22"/>
  <c r="DP88" i="22"/>
  <c r="DP171" i="22" s="1"/>
  <c r="DO88" i="22"/>
  <c r="DN88" i="22"/>
  <c r="DN171" i="22" s="1"/>
  <c r="DM88" i="22"/>
  <c r="DL88" i="22"/>
  <c r="DK88" i="22"/>
  <c r="DJ88" i="22"/>
  <c r="DI88" i="22"/>
  <c r="DH88" i="22"/>
  <c r="DG88" i="22"/>
  <c r="DF88" i="22"/>
  <c r="DE88" i="22"/>
  <c r="DD88" i="22"/>
  <c r="DC88" i="22"/>
  <c r="DC171" i="22" s="1"/>
  <c r="DB88" i="22"/>
  <c r="DA88" i="22"/>
  <c r="CZ88" i="22"/>
  <c r="CZ171" i="22" s="1"/>
  <c r="CY88" i="22"/>
  <c r="CX88" i="22"/>
  <c r="CW88" i="22"/>
  <c r="CV88" i="22"/>
  <c r="CU88" i="22"/>
  <c r="CU171" i="22" s="1"/>
  <c r="CT88" i="22"/>
  <c r="CT171" i="22" s="1"/>
  <c r="CS88" i="22"/>
  <c r="CR88" i="22"/>
  <c r="CQ88" i="22"/>
  <c r="CP88" i="22"/>
  <c r="CO88" i="22"/>
  <c r="CN88" i="22"/>
  <c r="CM88" i="22"/>
  <c r="CM171" i="22" s="1"/>
  <c r="CL88" i="22"/>
  <c r="CK88" i="22"/>
  <c r="CJ88" i="22"/>
  <c r="CJ171" i="22" s="1"/>
  <c r="CI88" i="22"/>
  <c r="CH88" i="22"/>
  <c r="CH171" i="22" s="1"/>
  <c r="CG88" i="22"/>
  <c r="CF88" i="22"/>
  <c r="CE88" i="22"/>
  <c r="CD88" i="22"/>
  <c r="CC88" i="22"/>
  <c r="CB88" i="22"/>
  <c r="CA88" i="22"/>
  <c r="BZ88" i="22"/>
  <c r="BZ171" i="22" s="1"/>
  <c r="BY88" i="22"/>
  <c r="BX88" i="22"/>
  <c r="BW88" i="22"/>
  <c r="BV88" i="22"/>
  <c r="BU88" i="22"/>
  <c r="BT88" i="22"/>
  <c r="BS88" i="22"/>
  <c r="BR88" i="22"/>
  <c r="BQ88" i="22"/>
  <c r="BP88" i="22"/>
  <c r="BO88" i="22"/>
  <c r="BN88" i="22"/>
  <c r="BM88" i="22"/>
  <c r="BL88" i="22"/>
  <c r="BK88" i="22"/>
  <c r="BJ88" i="22"/>
  <c r="BI88" i="22"/>
  <c r="BH88" i="22"/>
  <c r="BG88" i="22"/>
  <c r="BG171" i="22" s="1"/>
  <c r="BF88" i="22"/>
  <c r="BE88" i="22"/>
  <c r="BD88" i="22"/>
  <c r="BD171" i="22" s="1"/>
  <c r="BC88" i="22"/>
  <c r="BB88" i="22"/>
  <c r="BA88" i="22"/>
  <c r="AZ88" i="22"/>
  <c r="AY88" i="22"/>
  <c r="AX88" i="22"/>
  <c r="AX171" i="22" s="1"/>
  <c r="AW88" i="22"/>
  <c r="AV88" i="22"/>
  <c r="AU88" i="22"/>
  <c r="AT88" i="22"/>
  <c r="AS88" i="22"/>
  <c r="AR88" i="22"/>
  <c r="AQ88" i="22"/>
  <c r="AQ171" i="22" s="1"/>
  <c r="AP88" i="22"/>
  <c r="AO88" i="22"/>
  <c r="AN88" i="22"/>
  <c r="AN171" i="22" s="1"/>
  <c r="AM88" i="22"/>
  <c r="AL88" i="22"/>
  <c r="AK88" i="22"/>
  <c r="AJ88" i="22"/>
  <c r="AI88" i="22"/>
  <c r="AH88" i="22"/>
  <c r="AG88" i="22"/>
  <c r="AG171" i="22" s="1"/>
  <c r="AF88" i="22"/>
  <c r="AF171" i="22" s="1"/>
  <c r="AE88" i="22"/>
  <c r="AE171" i="22" s="1"/>
  <c r="AD88" i="22"/>
  <c r="AC88" i="22"/>
  <c r="AB88" i="22"/>
  <c r="AA88" i="22"/>
  <c r="Z88" i="22"/>
  <c r="Y88" i="22"/>
  <c r="X88" i="22"/>
  <c r="W88" i="22"/>
  <c r="V88" i="22"/>
  <c r="U88" i="22"/>
  <c r="T88" i="22"/>
  <c r="S88" i="22"/>
  <c r="S171" i="22" s="1"/>
  <c r="R88" i="22"/>
  <c r="Q88" i="22"/>
  <c r="P88" i="22"/>
  <c r="P171" i="22" s="1"/>
  <c r="O88" i="22"/>
  <c r="N88" i="22"/>
  <c r="M88" i="22"/>
  <c r="K84" i="22"/>
  <c r="K83" i="22"/>
  <c r="K82" i="22"/>
  <c r="K81" i="22"/>
  <c r="K80" i="22"/>
  <c r="K79" i="22"/>
  <c r="K78" i="22"/>
  <c r="K77" i="22"/>
  <c r="K76" i="22"/>
  <c r="G295" i="21"/>
  <c r="F295" i="21"/>
  <c r="E295" i="21"/>
  <c r="D295" i="21"/>
  <c r="G285" i="21"/>
  <c r="F285" i="21"/>
  <c r="E285" i="21"/>
  <c r="D285" i="21"/>
  <c r="G283" i="21"/>
  <c r="F283" i="21"/>
  <c r="E283" i="21"/>
  <c r="D283" i="21"/>
  <c r="G281" i="21"/>
  <c r="F281" i="21"/>
  <c r="E281" i="21"/>
  <c r="D281" i="21"/>
  <c r="G276" i="21"/>
  <c r="F276" i="21"/>
  <c r="F277" i="21" s="1"/>
  <c r="F279" i="21" s="1"/>
  <c r="D276" i="21"/>
  <c r="D277" i="21" s="1"/>
  <c r="D279" i="21" s="1"/>
  <c r="G275" i="21"/>
  <c r="F275" i="21"/>
  <c r="E275" i="21"/>
  <c r="E276" i="21" s="1"/>
  <c r="D275" i="21"/>
  <c r="G264" i="21"/>
  <c r="F264" i="21"/>
  <c r="E264" i="21"/>
  <c r="D264" i="21"/>
  <c r="G254" i="21"/>
  <c r="F254" i="21"/>
  <c r="E254" i="21"/>
  <c r="D254" i="21"/>
  <c r="G252" i="21"/>
  <c r="F252" i="21"/>
  <c r="E252" i="21"/>
  <c r="D252" i="21"/>
  <c r="G250" i="21"/>
  <c r="F250" i="21"/>
  <c r="E250" i="21"/>
  <c r="D250" i="21"/>
  <c r="G248" i="21"/>
  <c r="F248" i="21"/>
  <c r="E248" i="21"/>
  <c r="D248" i="21"/>
  <c r="G244" i="21"/>
  <c r="G246" i="21" s="1"/>
  <c r="G243" i="21"/>
  <c r="G242" i="21"/>
  <c r="F242" i="21"/>
  <c r="F243" i="21" s="1"/>
  <c r="E242" i="21"/>
  <c r="D242" i="21"/>
  <c r="G233" i="21"/>
  <c r="F233" i="21"/>
  <c r="E233" i="21"/>
  <c r="D233" i="21"/>
  <c r="G223" i="21"/>
  <c r="F223" i="21"/>
  <c r="E223" i="21"/>
  <c r="D223" i="21"/>
  <c r="G221" i="21"/>
  <c r="F221" i="21"/>
  <c r="E221" i="21"/>
  <c r="D221" i="21"/>
  <c r="G219" i="21"/>
  <c r="F219" i="21"/>
  <c r="E219" i="21"/>
  <c r="D219" i="21"/>
  <c r="G217" i="21"/>
  <c r="F217" i="21"/>
  <c r="E217" i="21"/>
  <c r="D217" i="21"/>
  <c r="E212" i="21"/>
  <c r="E213" i="21" s="1"/>
  <c r="G211" i="21"/>
  <c r="F211" i="21"/>
  <c r="E211" i="21"/>
  <c r="D211" i="21"/>
  <c r="G202" i="21"/>
  <c r="F202" i="21"/>
  <c r="E202" i="21"/>
  <c r="D202" i="21"/>
  <c r="G192" i="21"/>
  <c r="F192" i="21"/>
  <c r="E192" i="21"/>
  <c r="D192" i="21"/>
  <c r="G190" i="21"/>
  <c r="F190" i="21"/>
  <c r="E190" i="21"/>
  <c r="D190" i="21"/>
  <c r="G188" i="21"/>
  <c r="F188" i="21"/>
  <c r="E188" i="21"/>
  <c r="D188" i="21"/>
  <c r="G186" i="21"/>
  <c r="F186" i="21"/>
  <c r="E186" i="21"/>
  <c r="D186" i="21"/>
  <c r="G182" i="21"/>
  <c r="E182" i="21"/>
  <c r="F181" i="21"/>
  <c r="E181" i="21"/>
  <c r="G180" i="21"/>
  <c r="G181" i="21" s="1"/>
  <c r="F180" i="21"/>
  <c r="C180" i="21"/>
  <c r="E180" i="21" s="1"/>
  <c r="G171" i="21"/>
  <c r="F171" i="21"/>
  <c r="E171" i="21"/>
  <c r="D171" i="21"/>
  <c r="G161" i="21"/>
  <c r="F161" i="21"/>
  <c r="E161" i="21"/>
  <c r="D161" i="21"/>
  <c r="G159" i="21"/>
  <c r="F159" i="21"/>
  <c r="E159" i="21"/>
  <c r="D159" i="21"/>
  <c r="G157" i="21"/>
  <c r="F157" i="21"/>
  <c r="E157" i="21"/>
  <c r="D157" i="21"/>
  <c r="G155" i="21"/>
  <c r="F155" i="21"/>
  <c r="E155" i="21"/>
  <c r="D155" i="21"/>
  <c r="C149" i="21"/>
  <c r="G139" i="21"/>
  <c r="F139" i="21"/>
  <c r="E139" i="21"/>
  <c r="D139" i="21"/>
  <c r="E120" i="21"/>
  <c r="G119" i="21"/>
  <c r="G120" i="21" s="1"/>
  <c r="G121" i="21" s="1"/>
  <c r="C119" i="21"/>
  <c r="E119" i="21" s="1"/>
  <c r="Q118" i="21"/>
  <c r="T118" i="21" s="1"/>
  <c r="K117" i="21"/>
  <c r="P115" i="21"/>
  <c r="W114" i="21"/>
  <c r="P112" i="21"/>
  <c r="T110" i="21"/>
  <c r="G110" i="21"/>
  <c r="F110" i="21"/>
  <c r="E110" i="21"/>
  <c r="D110" i="21"/>
  <c r="T109" i="21"/>
  <c r="Q108" i="21"/>
  <c r="T108" i="21" s="1"/>
  <c r="T107" i="21"/>
  <c r="Q107" i="21"/>
  <c r="K107" i="21"/>
  <c r="T106" i="21"/>
  <c r="Q106" i="21"/>
  <c r="T105" i="21"/>
  <c r="Q105" i="21"/>
  <c r="K105" i="21"/>
  <c r="T104" i="21"/>
  <c r="Q104" i="21"/>
  <c r="T103" i="21"/>
  <c r="Q103" i="21"/>
  <c r="K103" i="21"/>
  <c r="T102" i="21"/>
  <c r="T112" i="21" s="1"/>
  <c r="Q102" i="21"/>
  <c r="Q97" i="21"/>
  <c r="Q96" i="21"/>
  <c r="P95" i="21"/>
  <c r="P98" i="21" s="1"/>
  <c r="P118" i="21" s="1"/>
  <c r="J95" i="21"/>
  <c r="Q94" i="21"/>
  <c r="J94" i="21"/>
  <c r="Q93" i="21"/>
  <c r="T93" i="21" s="1"/>
  <c r="J93" i="21"/>
  <c r="T92" i="21"/>
  <c r="P92" i="21"/>
  <c r="T91" i="21"/>
  <c r="P91" i="21"/>
  <c r="T90" i="21"/>
  <c r="Q90" i="21"/>
  <c r="G90" i="21"/>
  <c r="F90" i="21"/>
  <c r="E90" i="21"/>
  <c r="D90" i="21"/>
  <c r="C90" i="21"/>
  <c r="Q89" i="21"/>
  <c r="T89" i="21" s="1"/>
  <c r="Q88" i="21"/>
  <c r="T88" i="21" s="1"/>
  <c r="Q87" i="21"/>
  <c r="T87" i="21" s="1"/>
  <c r="T86" i="21"/>
  <c r="Q86" i="21"/>
  <c r="Q85" i="21"/>
  <c r="T85" i="21" s="1"/>
  <c r="Q84" i="21"/>
  <c r="T84" i="21" s="1"/>
  <c r="M84" i="21"/>
  <c r="L84" i="21"/>
  <c r="K84" i="21"/>
  <c r="T83" i="21"/>
  <c r="P83" i="21"/>
  <c r="Q82" i="21"/>
  <c r="T82" i="21" s="1"/>
  <c r="G82" i="21"/>
  <c r="F82" i="21"/>
  <c r="E82" i="21"/>
  <c r="D82" i="21"/>
  <c r="T81" i="21"/>
  <c r="Q81" i="21"/>
  <c r="Q80" i="21"/>
  <c r="T80" i="21" s="1"/>
  <c r="T79" i="21"/>
  <c r="Q79" i="21"/>
  <c r="T78" i="21"/>
  <c r="Q78" i="21"/>
  <c r="T77" i="21"/>
  <c r="Q77" i="21"/>
  <c r="Q76" i="21"/>
  <c r="T76" i="21" s="1"/>
  <c r="T75" i="21"/>
  <c r="Q75" i="21"/>
  <c r="T74" i="21"/>
  <c r="Q74" i="21"/>
  <c r="L74" i="21"/>
  <c r="Q73" i="21"/>
  <c r="T73" i="21" s="1"/>
  <c r="T72" i="21"/>
  <c r="Q72" i="21"/>
  <c r="L72" i="21"/>
  <c r="F72" i="21"/>
  <c r="E72" i="21"/>
  <c r="G72" i="21" s="1"/>
  <c r="T71" i="21"/>
  <c r="Q70" i="21"/>
  <c r="T70" i="21" s="1"/>
  <c r="L70" i="21"/>
  <c r="Q69" i="21"/>
  <c r="T69" i="21" s="1"/>
  <c r="T68" i="21"/>
  <c r="Q68" i="21"/>
  <c r="Q67" i="21"/>
  <c r="T67" i="21" s="1"/>
  <c r="T66" i="21"/>
  <c r="Q66" i="21"/>
  <c r="Q65" i="21"/>
  <c r="K65" i="21"/>
  <c r="K66" i="21" s="1"/>
  <c r="L64" i="21"/>
  <c r="G64" i="21"/>
  <c r="F64" i="21"/>
  <c r="J63" i="21"/>
  <c r="F63" i="21"/>
  <c r="D63" i="21"/>
  <c r="D64" i="21" s="1"/>
  <c r="D66" i="21" s="1"/>
  <c r="Y62" i="21"/>
  <c r="J62" i="21"/>
  <c r="K64" i="21" s="1"/>
  <c r="G62" i="21"/>
  <c r="G63" i="21" s="1"/>
  <c r="F62" i="21"/>
  <c r="E62" i="21"/>
  <c r="D62" i="21"/>
  <c r="L55" i="21"/>
  <c r="M55" i="21" s="1"/>
  <c r="K55" i="21"/>
  <c r="G54" i="21"/>
  <c r="F54" i="21"/>
  <c r="E54" i="21"/>
  <c r="D54" i="21"/>
  <c r="L45" i="21"/>
  <c r="G44" i="21"/>
  <c r="F44" i="21"/>
  <c r="E44" i="21"/>
  <c r="L43" i="21"/>
  <c r="L41" i="21"/>
  <c r="G40" i="21"/>
  <c r="F40" i="21"/>
  <c r="E40" i="21"/>
  <c r="D40" i="21"/>
  <c r="L39" i="21"/>
  <c r="K39" i="21"/>
  <c r="F38" i="21"/>
  <c r="L36" i="21"/>
  <c r="L37" i="21" s="1"/>
  <c r="K36" i="21"/>
  <c r="K35" i="21"/>
  <c r="K37" i="21" s="1"/>
  <c r="F35" i="21"/>
  <c r="F36" i="21" s="1"/>
  <c r="D35" i="21"/>
  <c r="D36" i="21" s="1"/>
  <c r="J34" i="21"/>
  <c r="L35" i="21" s="1"/>
  <c r="G34" i="21"/>
  <c r="F34" i="21"/>
  <c r="E34" i="21"/>
  <c r="D34" i="21"/>
  <c r="J33" i="21"/>
  <c r="M25" i="21"/>
  <c r="L25" i="21"/>
  <c r="K25" i="21"/>
  <c r="G25" i="21"/>
  <c r="F25" i="21"/>
  <c r="E25" i="21"/>
  <c r="D25" i="21"/>
  <c r="L15" i="21"/>
  <c r="G15" i="21"/>
  <c r="F15" i="21"/>
  <c r="E15" i="21"/>
  <c r="D15" i="21"/>
  <c r="L13" i="21"/>
  <c r="G13" i="21"/>
  <c r="F13" i="21"/>
  <c r="E13" i="21"/>
  <c r="D13" i="21"/>
  <c r="L11" i="21"/>
  <c r="G11" i="21"/>
  <c r="F11" i="21"/>
  <c r="E11" i="21"/>
  <c r="D11" i="21"/>
  <c r="E9" i="21"/>
  <c r="D9" i="21"/>
  <c r="G7" i="21"/>
  <c r="G9" i="21" s="1"/>
  <c r="E7" i="21"/>
  <c r="D7" i="21"/>
  <c r="G6" i="21"/>
  <c r="E6" i="21"/>
  <c r="D6" i="21"/>
  <c r="G5" i="21"/>
  <c r="F5" i="21"/>
  <c r="E5" i="21"/>
  <c r="D5" i="21"/>
  <c r="J4" i="21"/>
  <c r="L5" i="21" s="1"/>
  <c r="J3" i="21"/>
  <c r="K5" i="21" s="1"/>
  <c r="D186" i="20"/>
  <c r="B186" i="20"/>
  <c r="C180" i="20"/>
  <c r="D179" i="20"/>
  <c r="D176" i="20"/>
  <c r="D175" i="20"/>
  <c r="B168" i="20"/>
  <c r="D154" i="20"/>
  <c r="C150" i="20"/>
  <c r="B150" i="20"/>
  <c r="C149" i="20"/>
  <c r="B149" i="20"/>
  <c r="C148" i="20"/>
  <c r="B148" i="20"/>
  <c r="C147" i="20"/>
  <c r="B147" i="20"/>
  <c r="C146" i="20"/>
  <c r="B146" i="20"/>
  <c r="C145" i="20"/>
  <c r="B145" i="20"/>
  <c r="C144" i="20"/>
  <c r="B144" i="20"/>
  <c r="C143" i="20"/>
  <c r="B143" i="20"/>
  <c r="C142" i="20"/>
  <c r="B142" i="20"/>
  <c r="F141" i="20"/>
  <c r="E141" i="20"/>
  <c r="B141" i="20"/>
  <c r="E140" i="20"/>
  <c r="B140" i="20"/>
  <c r="B154" i="20" s="1"/>
  <c r="F139" i="20"/>
  <c r="E139" i="20"/>
  <c r="B139" i="20"/>
  <c r="C133" i="20"/>
  <c r="D131" i="20"/>
  <c r="C131" i="20"/>
  <c r="E129" i="20"/>
  <c r="E128" i="20"/>
  <c r="E127" i="20"/>
  <c r="E126" i="20"/>
  <c r="E125" i="20"/>
  <c r="E124" i="20"/>
  <c r="E123" i="20"/>
  <c r="AC95" i="20"/>
  <c r="AB95" i="20"/>
  <c r="Y95" i="20"/>
  <c r="W95" i="20"/>
  <c r="U95" i="20"/>
  <c r="T95" i="20"/>
  <c r="Q95" i="20"/>
  <c r="O95" i="20"/>
  <c r="M95" i="20"/>
  <c r="L95" i="20"/>
  <c r="F95" i="20"/>
  <c r="J94" i="20"/>
  <c r="J93" i="20"/>
  <c r="AD92" i="20"/>
  <c r="AD95" i="20" s="1"/>
  <c r="AC92" i="20"/>
  <c r="AB92" i="20"/>
  <c r="AA92" i="20"/>
  <c r="AA95" i="20" s="1"/>
  <c r="Z92" i="20"/>
  <c r="Z95" i="20" s="1"/>
  <c r="Y92" i="20"/>
  <c r="X92" i="20"/>
  <c r="X95" i="20" s="1"/>
  <c r="W92" i="20"/>
  <c r="V92" i="20"/>
  <c r="V95" i="20" s="1"/>
  <c r="U92" i="20"/>
  <c r="T92" i="20"/>
  <c r="S92" i="20"/>
  <c r="S95" i="20" s="1"/>
  <c r="R92" i="20"/>
  <c r="R95" i="20" s="1"/>
  <c r="Q92" i="20"/>
  <c r="P92" i="20"/>
  <c r="P95" i="20" s="1"/>
  <c r="O92" i="20"/>
  <c r="N92" i="20"/>
  <c r="N95" i="20" s="1"/>
  <c r="M92" i="20"/>
  <c r="L92" i="20"/>
  <c r="K92" i="20"/>
  <c r="K95" i="20" s="1"/>
  <c r="J92" i="20"/>
  <c r="E92" i="20"/>
  <c r="D92" i="20"/>
  <c r="J91" i="20"/>
  <c r="F87" i="20"/>
  <c r="F86" i="20"/>
  <c r="F85" i="20"/>
  <c r="F92" i="20" s="1"/>
  <c r="AD84" i="20"/>
  <c r="AC84" i="20"/>
  <c r="AC86" i="20" s="1"/>
  <c r="AB84" i="20"/>
  <c r="AA84" i="20"/>
  <c r="Z84" i="20"/>
  <c r="Y84" i="20"/>
  <c r="X84" i="20"/>
  <c r="W84" i="20"/>
  <c r="V84" i="20"/>
  <c r="U84" i="20"/>
  <c r="T84" i="20"/>
  <c r="S84" i="20"/>
  <c r="R84" i="20"/>
  <c r="Q84" i="20"/>
  <c r="Q86" i="20" s="1"/>
  <c r="P84" i="20"/>
  <c r="O84" i="20"/>
  <c r="N84" i="20"/>
  <c r="M84" i="20"/>
  <c r="L84" i="20"/>
  <c r="J82" i="20"/>
  <c r="J81" i="20"/>
  <c r="J80" i="20"/>
  <c r="J79" i="20"/>
  <c r="J78" i="20"/>
  <c r="J77" i="20"/>
  <c r="J76" i="20"/>
  <c r="J75" i="20"/>
  <c r="I75" i="20"/>
  <c r="D75" i="20"/>
  <c r="J74" i="20"/>
  <c r="E74" i="20"/>
  <c r="J73" i="20"/>
  <c r="E73" i="20"/>
  <c r="J72" i="20"/>
  <c r="E72" i="20"/>
  <c r="K71" i="20"/>
  <c r="J71" i="20" s="1"/>
  <c r="E71" i="20"/>
  <c r="J70" i="20"/>
  <c r="E70" i="20"/>
  <c r="J69" i="20"/>
  <c r="E69" i="20"/>
  <c r="J68" i="20"/>
  <c r="E68" i="20"/>
  <c r="J67" i="20"/>
  <c r="E67" i="20"/>
  <c r="E66" i="20"/>
  <c r="AC65" i="20"/>
  <c r="P65" i="20"/>
  <c r="P86" i="20" s="1"/>
  <c r="O65" i="20"/>
  <c r="L65" i="20"/>
  <c r="L86" i="20" s="1"/>
  <c r="K65" i="20"/>
  <c r="E65" i="20"/>
  <c r="E64" i="20"/>
  <c r="AD63" i="20"/>
  <c r="AC63" i="20"/>
  <c r="AB63" i="20"/>
  <c r="AA63" i="20"/>
  <c r="X63" i="20"/>
  <c r="X65" i="20" s="1"/>
  <c r="X86" i="20" s="1"/>
  <c r="T63" i="20"/>
  <c r="T65" i="20" s="1"/>
  <c r="T86" i="20" s="1"/>
  <c r="S63" i="20"/>
  <c r="S65" i="20" s="1"/>
  <c r="R63" i="20"/>
  <c r="R65" i="20" s="1"/>
  <c r="P63" i="20"/>
  <c r="O63" i="20"/>
  <c r="N63" i="20"/>
  <c r="N65" i="20" s="1"/>
  <c r="M63" i="20"/>
  <c r="M65" i="20" s="1"/>
  <c r="L63" i="20"/>
  <c r="K63" i="20"/>
  <c r="J62" i="20"/>
  <c r="J61" i="20"/>
  <c r="E61" i="20"/>
  <c r="J60" i="20"/>
  <c r="E60" i="20"/>
  <c r="J59" i="20"/>
  <c r="E59" i="20"/>
  <c r="J58" i="20"/>
  <c r="E58" i="20"/>
  <c r="J57" i="20"/>
  <c r="J56" i="20"/>
  <c r="D56" i="20"/>
  <c r="J55" i="20"/>
  <c r="D55" i="20"/>
  <c r="J54" i="20"/>
  <c r="E54" i="20"/>
  <c r="J53" i="20"/>
  <c r="E53" i="20"/>
  <c r="J52" i="20"/>
  <c r="D52" i="20"/>
  <c r="E52" i="20" s="1"/>
  <c r="J51" i="20"/>
  <c r="J50" i="20"/>
  <c r="D50" i="20"/>
  <c r="J49" i="20"/>
  <c r="E49" i="20"/>
  <c r="J48" i="20"/>
  <c r="E48" i="20"/>
  <c r="J47" i="20"/>
  <c r="J46" i="20"/>
  <c r="J45" i="20"/>
  <c r="J44" i="20"/>
  <c r="J43" i="20"/>
  <c r="J42" i="20"/>
  <c r="E42" i="20"/>
  <c r="D42" i="20"/>
  <c r="J41" i="20"/>
  <c r="J40" i="20"/>
  <c r="J39" i="20"/>
  <c r="J38" i="20"/>
  <c r="J37" i="20"/>
  <c r="J36" i="20"/>
  <c r="J35" i="20"/>
  <c r="J34" i="20"/>
  <c r="AC33" i="20"/>
  <c r="AB33" i="20"/>
  <c r="AA33" i="20"/>
  <c r="Z33" i="20"/>
  <c r="Z63" i="20" s="1"/>
  <c r="Z65" i="20" s="1"/>
  <c r="Z86" i="20" s="1"/>
  <c r="Y33" i="20"/>
  <c r="Y63" i="20" s="1"/>
  <c r="Y65" i="20" s="1"/>
  <c r="X33" i="20"/>
  <c r="W33" i="20"/>
  <c r="W63" i="20" s="1"/>
  <c r="W65" i="20" s="1"/>
  <c r="V33" i="20"/>
  <c r="V63" i="20" s="1"/>
  <c r="V65" i="20" s="1"/>
  <c r="U33" i="20"/>
  <c r="T33" i="20"/>
  <c r="S33" i="20"/>
  <c r="J32" i="20"/>
  <c r="J31" i="20"/>
  <c r="J30" i="20"/>
  <c r="J29" i="20"/>
  <c r="J28" i="20"/>
  <c r="J27" i="20"/>
  <c r="J26" i="20"/>
  <c r="J25" i="20"/>
  <c r="J24" i="20"/>
  <c r="R23" i="20"/>
  <c r="Q23" i="20"/>
  <c r="Q63" i="20" s="1"/>
  <c r="P23" i="20"/>
  <c r="J22" i="20"/>
  <c r="J21" i="20"/>
  <c r="J20" i="20"/>
  <c r="J19" i="20"/>
  <c r="J18" i="20"/>
  <c r="J17" i="20"/>
  <c r="J16" i="20"/>
  <c r="J15" i="20"/>
  <c r="J14" i="20"/>
  <c r="AD12" i="20"/>
  <c r="AC12" i="20"/>
  <c r="AB12" i="20"/>
  <c r="AB65" i="20" s="1"/>
  <c r="AB86" i="20" s="1"/>
  <c r="AA12" i="20"/>
  <c r="AA65" i="20" s="1"/>
  <c r="AA86" i="20" s="1"/>
  <c r="Z12" i="20"/>
  <c r="Y12" i="20"/>
  <c r="X12" i="20"/>
  <c r="W12" i="20"/>
  <c r="V12" i="20"/>
  <c r="U12" i="20"/>
  <c r="T12" i="20"/>
  <c r="S12" i="20"/>
  <c r="Q12" i="20"/>
  <c r="Q65" i="20" s="1"/>
  <c r="P12" i="20"/>
  <c r="O12" i="20"/>
  <c r="N12" i="20"/>
  <c r="M12" i="20"/>
  <c r="L12" i="20"/>
  <c r="K12" i="20"/>
  <c r="J11" i="20"/>
  <c r="J10" i="20"/>
  <c r="J9" i="20"/>
  <c r="Q8" i="20"/>
  <c r="J8" i="20" s="1"/>
  <c r="J7" i="20"/>
  <c r="J6" i="20"/>
  <c r="C6" i="20"/>
  <c r="J5" i="20"/>
  <c r="J4" i="20"/>
  <c r="C4" i="20"/>
  <c r="W2" i="20"/>
  <c r="X2" i="20" s="1"/>
  <c r="Y2" i="20" s="1"/>
  <c r="Z2" i="20" s="1"/>
  <c r="AA2" i="20" s="1"/>
  <c r="AB2" i="20" s="1"/>
  <c r="AC2" i="20" s="1"/>
  <c r="AD2" i="20" s="1"/>
  <c r="V2" i="20"/>
  <c r="U2" i="20"/>
  <c r="T2" i="20"/>
  <c r="L2" i="20"/>
  <c r="M2" i="20" s="1"/>
  <c r="N2" i="20" s="1"/>
  <c r="O2" i="20" s="1"/>
  <c r="P2" i="20" s="1"/>
  <c r="Q2" i="20" s="1"/>
  <c r="R2" i="20" s="1"/>
  <c r="G39" i="19"/>
  <c r="H24" i="19"/>
  <c r="H23" i="19"/>
  <c r="H22" i="19"/>
  <c r="H21" i="19"/>
  <c r="H20" i="19"/>
  <c r="H16" i="19"/>
  <c r="H15" i="19"/>
  <c r="H14" i="19"/>
  <c r="H13" i="19"/>
  <c r="H12" i="19"/>
  <c r="H11" i="19"/>
  <c r="G8" i="19"/>
  <c r="H8" i="19" s="1"/>
  <c r="H7" i="19"/>
  <c r="H6" i="19"/>
  <c r="H5" i="19"/>
  <c r="H4" i="19"/>
  <c r="I17" i="18"/>
  <c r="H15" i="18"/>
  <c r="H7" i="18"/>
  <c r="E7" i="18"/>
  <c r="E6" i="18"/>
  <c r="E15" i="18" s="1"/>
  <c r="C6" i="18"/>
  <c r="F4" i="18"/>
  <c r="E622" i="17"/>
  <c r="E586" i="17"/>
  <c r="E371" i="17"/>
  <c r="E136" i="17"/>
  <c r="T88" i="17"/>
  <c r="O88" i="17"/>
  <c r="J88" i="17"/>
  <c r="T87" i="17"/>
  <c r="T86" i="17" s="1"/>
  <c r="S87" i="17"/>
  <c r="S86" i="17" s="1"/>
  <c r="S88" i="17" s="1"/>
  <c r="R87" i="17"/>
  <c r="Q87" i="17"/>
  <c r="Q86" i="17" s="1"/>
  <c r="Q88" i="17" s="1"/>
  <c r="P87" i="17"/>
  <c r="O87" i="17"/>
  <c r="O86" i="17" s="1"/>
  <c r="N87" i="17"/>
  <c r="M87" i="17"/>
  <c r="L87" i="17"/>
  <c r="K87" i="17"/>
  <c r="J87" i="17"/>
  <c r="I87" i="17"/>
  <c r="U87" i="17" s="1"/>
  <c r="R86" i="17"/>
  <c r="R88" i="17" s="1"/>
  <c r="P86" i="17"/>
  <c r="P88" i="17" s="1"/>
  <c r="N86" i="17"/>
  <c r="N88" i="17" s="1"/>
  <c r="M86" i="17"/>
  <c r="M88" i="17" s="1"/>
  <c r="L86" i="17"/>
  <c r="L88" i="17" s="1"/>
  <c r="K86" i="17"/>
  <c r="K88" i="17" s="1"/>
  <c r="J86" i="17"/>
  <c r="I86" i="17"/>
  <c r="S82" i="17"/>
  <c r="S92" i="17" s="1"/>
  <c r="R82" i="17"/>
  <c r="R92" i="17" s="1"/>
  <c r="Q82" i="17"/>
  <c r="Q92" i="17" s="1"/>
  <c r="M82" i="17"/>
  <c r="M92" i="17" s="1"/>
  <c r="T78" i="17"/>
  <c r="S78" i="17"/>
  <c r="S81" i="17" s="1"/>
  <c r="U77" i="17"/>
  <c r="W77" i="17" s="1"/>
  <c r="T77" i="17"/>
  <c r="S77" i="17"/>
  <c r="R77" i="17"/>
  <c r="Q77" i="17"/>
  <c r="P77" i="17"/>
  <c r="O77" i="17"/>
  <c r="N77" i="17"/>
  <c r="M77" i="17"/>
  <c r="L77" i="17"/>
  <c r="K77" i="17"/>
  <c r="J77" i="17"/>
  <c r="I77" i="17"/>
  <c r="T76" i="17"/>
  <c r="S76" i="17"/>
  <c r="R76" i="17"/>
  <c r="Q76" i="17"/>
  <c r="P76" i="17"/>
  <c r="O76" i="17"/>
  <c r="N76" i="17"/>
  <c r="M76" i="17"/>
  <c r="L76" i="17"/>
  <c r="K76" i="17"/>
  <c r="J76" i="17"/>
  <c r="I76" i="17"/>
  <c r="T75" i="17"/>
  <c r="S75" i="17"/>
  <c r="R75" i="17"/>
  <c r="Q75" i="17"/>
  <c r="P75" i="17"/>
  <c r="O75" i="17"/>
  <c r="N75" i="17"/>
  <c r="M75" i="17"/>
  <c r="M78" i="17" s="1"/>
  <c r="M81" i="17" s="1"/>
  <c r="L75" i="17"/>
  <c r="K75" i="17"/>
  <c r="J75" i="17"/>
  <c r="I75" i="17"/>
  <c r="T74" i="17"/>
  <c r="S74" i="17"/>
  <c r="R74" i="17"/>
  <c r="Q74" i="17"/>
  <c r="P74" i="17"/>
  <c r="O74" i="17"/>
  <c r="N74" i="17"/>
  <c r="M74" i="17"/>
  <c r="L74" i="17"/>
  <c r="L78" i="17" s="1"/>
  <c r="L81" i="17" s="1"/>
  <c r="K74" i="17"/>
  <c r="J74" i="17"/>
  <c r="I74" i="17"/>
  <c r="T73" i="17"/>
  <c r="S73" i="17"/>
  <c r="R73" i="17"/>
  <c r="Q73" i="17"/>
  <c r="P73" i="17"/>
  <c r="O73" i="17"/>
  <c r="N73" i="17"/>
  <c r="M73" i="17"/>
  <c r="L73" i="17"/>
  <c r="K73" i="17"/>
  <c r="K78" i="17" s="1"/>
  <c r="K81" i="17" s="1"/>
  <c r="J73" i="17"/>
  <c r="I73" i="17"/>
  <c r="U73" i="17" s="1"/>
  <c r="W73" i="17" s="1"/>
  <c r="T72" i="17"/>
  <c r="T82" i="17" s="1"/>
  <c r="S72" i="17"/>
  <c r="R72" i="17"/>
  <c r="Q72" i="17"/>
  <c r="P72" i="17"/>
  <c r="P82" i="17" s="1"/>
  <c r="P92" i="17" s="1"/>
  <c r="O72" i="17"/>
  <c r="O82" i="17" s="1"/>
  <c r="O92" i="17" s="1"/>
  <c r="N72" i="17"/>
  <c r="N82" i="17" s="1"/>
  <c r="N92" i="17" s="1"/>
  <c r="M72" i="17"/>
  <c r="L72" i="17"/>
  <c r="L82" i="17" s="1"/>
  <c r="L92" i="17" s="1"/>
  <c r="K72" i="17"/>
  <c r="K82" i="17" s="1"/>
  <c r="K92" i="17" s="1"/>
  <c r="I72" i="17"/>
  <c r="AF71" i="17"/>
  <c r="T71" i="17"/>
  <c r="S71" i="17"/>
  <c r="R71" i="17"/>
  <c r="R78" i="17" s="1"/>
  <c r="R81" i="17" s="1"/>
  <c r="Q71" i="17"/>
  <c r="P71" i="17"/>
  <c r="O71" i="17"/>
  <c r="N71" i="17"/>
  <c r="M71" i="17"/>
  <c r="L71" i="17"/>
  <c r="K71" i="17"/>
  <c r="J71" i="17"/>
  <c r="I71" i="17"/>
  <c r="K67" i="17"/>
  <c r="U66" i="17"/>
  <c r="W66" i="17" s="1"/>
  <c r="J65" i="17"/>
  <c r="K64" i="17"/>
  <c r="J64" i="17"/>
  <c r="I64" i="17"/>
  <c r="L63" i="17"/>
  <c r="K63" i="17"/>
  <c r="K65" i="17" s="1"/>
  <c r="J63" i="17"/>
  <c r="J62" i="17"/>
  <c r="I62" i="17"/>
  <c r="K59" i="17"/>
  <c r="E59" i="17"/>
  <c r="T58" i="17"/>
  <c r="T64" i="17" s="1"/>
  <c r="S58" i="17"/>
  <c r="S64" i="17" s="1"/>
  <c r="R58" i="17"/>
  <c r="R64" i="17" s="1"/>
  <c r="Q58" i="17"/>
  <c r="Q64" i="17" s="1"/>
  <c r="P58" i="17"/>
  <c r="P64" i="17" s="1"/>
  <c r="O58" i="17"/>
  <c r="O64" i="17" s="1"/>
  <c r="N58" i="17"/>
  <c r="N64" i="17" s="1"/>
  <c r="M58" i="17"/>
  <c r="M64" i="17" s="1"/>
  <c r="L58" i="17"/>
  <c r="L64" i="17" s="1"/>
  <c r="K58" i="17"/>
  <c r="J58" i="17"/>
  <c r="I58" i="17"/>
  <c r="T57" i="17"/>
  <c r="S57" i="17"/>
  <c r="R57" i="17"/>
  <c r="Q57" i="17"/>
  <c r="P57" i="17"/>
  <c r="O57" i="17"/>
  <c r="N57" i="17"/>
  <c r="M57" i="17"/>
  <c r="L57" i="17"/>
  <c r="K57" i="17"/>
  <c r="J57" i="17"/>
  <c r="I57" i="17"/>
  <c r="T56" i="17"/>
  <c r="S56" i="17"/>
  <c r="R56" i="17"/>
  <c r="Q56" i="17"/>
  <c r="P56" i="17"/>
  <c r="O56" i="17"/>
  <c r="N56" i="17"/>
  <c r="M56" i="17"/>
  <c r="L56" i="17"/>
  <c r="K56" i="17"/>
  <c r="J56" i="17"/>
  <c r="I56" i="17"/>
  <c r="T55" i="17"/>
  <c r="S55" i="17"/>
  <c r="R55" i="17"/>
  <c r="Q55" i="17"/>
  <c r="P55" i="17"/>
  <c r="O55" i="17"/>
  <c r="N55" i="17"/>
  <c r="M55" i="17"/>
  <c r="L55" i="17"/>
  <c r="K55" i="17"/>
  <c r="I55" i="17"/>
  <c r="T54" i="17"/>
  <c r="S54" i="17"/>
  <c r="R54" i="17"/>
  <c r="Q54" i="17"/>
  <c r="P54" i="17"/>
  <c r="O54" i="17"/>
  <c r="N54" i="17"/>
  <c r="M54" i="17"/>
  <c r="L54" i="17"/>
  <c r="K54" i="17"/>
  <c r="J54" i="17"/>
  <c r="I54" i="17"/>
  <c r="T53" i="17"/>
  <c r="T63" i="17" s="1"/>
  <c r="S53" i="17"/>
  <c r="S63" i="17" s="1"/>
  <c r="R53" i="17"/>
  <c r="R63" i="17" s="1"/>
  <c r="Q53" i="17"/>
  <c r="Q63" i="17" s="1"/>
  <c r="P53" i="17"/>
  <c r="P63" i="17" s="1"/>
  <c r="O53" i="17"/>
  <c r="O63" i="17" s="1"/>
  <c r="N53" i="17"/>
  <c r="N63" i="17" s="1"/>
  <c r="M53" i="17"/>
  <c r="M63" i="17" s="1"/>
  <c r="L53" i="17"/>
  <c r="K53" i="17"/>
  <c r="J53" i="17"/>
  <c r="I53" i="17"/>
  <c r="T52" i="17"/>
  <c r="T62" i="17" s="1"/>
  <c r="S52" i="17"/>
  <c r="S62" i="17" s="1"/>
  <c r="R52" i="17"/>
  <c r="Q52" i="17"/>
  <c r="P52" i="17"/>
  <c r="O52" i="17"/>
  <c r="N52" i="17"/>
  <c r="M52" i="17"/>
  <c r="L52" i="17"/>
  <c r="L62" i="17" s="1"/>
  <c r="K52" i="17"/>
  <c r="K62" i="17" s="1"/>
  <c r="J52" i="17"/>
  <c r="I52" i="17"/>
  <c r="K48" i="17"/>
  <c r="J48" i="17"/>
  <c r="I48" i="17"/>
  <c r="H48" i="17"/>
  <c r="W48" i="17" s="1"/>
  <c r="L47" i="17"/>
  <c r="K47" i="17"/>
  <c r="J47" i="17"/>
  <c r="I47" i="17"/>
  <c r="H47" i="17"/>
  <c r="W47" i="17" s="1"/>
  <c r="J46" i="17"/>
  <c r="H46" i="17"/>
  <c r="W46" i="17" s="1"/>
  <c r="L45" i="17"/>
  <c r="K45" i="17"/>
  <c r="I45" i="17"/>
  <c r="H45" i="17"/>
  <c r="W45" i="17" s="1"/>
  <c r="L44" i="17"/>
  <c r="K44" i="17"/>
  <c r="J44" i="17"/>
  <c r="I44" i="17"/>
  <c r="H44" i="17"/>
  <c r="W44" i="17" s="1"/>
  <c r="H43" i="17"/>
  <c r="K35" i="17"/>
  <c r="T29" i="17"/>
  <c r="S29" i="17"/>
  <c r="R29" i="17"/>
  <c r="Q29" i="17"/>
  <c r="P29" i="17"/>
  <c r="O29" i="17"/>
  <c r="N29" i="17"/>
  <c r="M29" i="17"/>
  <c r="L29" i="17"/>
  <c r="K29" i="17"/>
  <c r="J29" i="17"/>
  <c r="I29" i="17"/>
  <c r="T28" i="17"/>
  <c r="S28" i="17"/>
  <c r="R28" i="17"/>
  <c r="Q28" i="17"/>
  <c r="P28" i="17"/>
  <c r="O28" i="17"/>
  <c r="N28" i="17"/>
  <c r="M28" i="17"/>
  <c r="L28" i="17"/>
  <c r="L37" i="17" s="1"/>
  <c r="K28" i="17"/>
  <c r="J28" i="17"/>
  <c r="I28" i="17"/>
  <c r="U28" i="17" s="1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T26" i="17"/>
  <c r="S26" i="17"/>
  <c r="R26" i="17"/>
  <c r="U26" i="17" s="1"/>
  <c r="Q26" i="17"/>
  <c r="P26" i="17"/>
  <c r="O26" i="17"/>
  <c r="N26" i="17"/>
  <c r="M26" i="17"/>
  <c r="L26" i="17"/>
  <c r="K26" i="17"/>
  <c r="J26" i="17"/>
  <c r="I26" i="17"/>
  <c r="T25" i="17"/>
  <c r="S25" i="17"/>
  <c r="R25" i="17"/>
  <c r="R30" i="17" s="1"/>
  <c r="Q25" i="17"/>
  <c r="Q30" i="17" s="1"/>
  <c r="P25" i="17"/>
  <c r="O25" i="17"/>
  <c r="N25" i="17"/>
  <c r="M25" i="17"/>
  <c r="L25" i="17"/>
  <c r="K25" i="17"/>
  <c r="J25" i="17"/>
  <c r="I25" i="17"/>
  <c r="E25" i="17"/>
  <c r="T24" i="17"/>
  <c r="T30" i="17" s="1"/>
  <c r="S24" i="17"/>
  <c r="S30" i="17" s="1"/>
  <c r="R24" i="17"/>
  <c r="Q24" i="17"/>
  <c r="P24" i="17"/>
  <c r="O24" i="17"/>
  <c r="N24" i="17"/>
  <c r="M24" i="17"/>
  <c r="M30" i="17" s="1"/>
  <c r="L24" i="17"/>
  <c r="L30" i="17" s="1"/>
  <c r="K24" i="17"/>
  <c r="K30" i="17" s="1"/>
  <c r="J24" i="17"/>
  <c r="I24" i="17"/>
  <c r="E21" i="17"/>
  <c r="E31" i="17" s="1"/>
  <c r="H15" i="17" s="1"/>
  <c r="E17" i="17"/>
  <c r="T13" i="17"/>
  <c r="S13" i="17"/>
  <c r="AD6" i="17" s="1"/>
  <c r="AC6" i="17" s="1"/>
  <c r="V12" i="17"/>
  <c r="U12" i="17"/>
  <c r="M12" i="17"/>
  <c r="L12" i="17"/>
  <c r="K12" i="17"/>
  <c r="J12" i="17"/>
  <c r="I12" i="17"/>
  <c r="AE6" i="17" s="1"/>
  <c r="T11" i="17"/>
  <c r="S11" i="17"/>
  <c r="R11" i="17"/>
  <c r="Q11" i="17"/>
  <c r="P11" i="17"/>
  <c r="O11" i="17"/>
  <c r="N11" i="17"/>
  <c r="M11" i="17"/>
  <c r="L11" i="17"/>
  <c r="T10" i="17"/>
  <c r="S10" i="17"/>
  <c r="R10" i="17"/>
  <c r="Q10" i="17"/>
  <c r="P10" i="17"/>
  <c r="O10" i="17"/>
  <c r="N10" i="17"/>
  <c r="M10" i="17"/>
  <c r="L10" i="17"/>
  <c r="AD3" i="17" s="1"/>
  <c r="K10" i="17"/>
  <c r="J10" i="17"/>
  <c r="V10" i="17" s="1"/>
  <c r="H9" i="17"/>
  <c r="Y8" i="17"/>
  <c r="H8" i="17"/>
  <c r="Y7" i="17"/>
  <c r="T7" i="17"/>
  <c r="T48" i="17" s="1"/>
  <c r="S7" i="17"/>
  <c r="S48" i="17" s="1"/>
  <c r="R7" i="17"/>
  <c r="R38" i="17" s="1"/>
  <c r="Q7" i="17"/>
  <c r="P7" i="17"/>
  <c r="P38" i="17" s="1"/>
  <c r="O7" i="17"/>
  <c r="O38" i="17" s="1"/>
  <c r="N7" i="17"/>
  <c r="N38" i="17" s="1"/>
  <c r="M7" i="17"/>
  <c r="M38" i="17" s="1"/>
  <c r="L7" i="17"/>
  <c r="K7" i="17"/>
  <c r="K38" i="17" s="1"/>
  <c r="J7" i="17"/>
  <c r="J38" i="17" s="1"/>
  <c r="I7" i="17"/>
  <c r="I38" i="17" s="1"/>
  <c r="Y6" i="17"/>
  <c r="T6" i="17"/>
  <c r="S6" i="17"/>
  <c r="S47" i="17" s="1"/>
  <c r="R6" i="17"/>
  <c r="Q6" i="17"/>
  <c r="P6" i="17"/>
  <c r="P47" i="17" s="1"/>
  <c r="O6" i="17"/>
  <c r="O37" i="17" s="1"/>
  <c r="N6" i="17"/>
  <c r="N37" i="17" s="1"/>
  <c r="M6" i="17"/>
  <c r="M47" i="17" s="1"/>
  <c r="L6" i="17"/>
  <c r="K6" i="17"/>
  <c r="J6" i="17"/>
  <c r="I6" i="17"/>
  <c r="AE5" i="17"/>
  <c r="AD5" i="17"/>
  <c r="AC5" i="17" s="1"/>
  <c r="Y5" i="17"/>
  <c r="T5" i="17"/>
  <c r="T46" i="17" s="1"/>
  <c r="S5" i="17"/>
  <c r="S46" i="17" s="1"/>
  <c r="R5" i="17"/>
  <c r="R46" i="17" s="1"/>
  <c r="Q5" i="17"/>
  <c r="Q46" i="17" s="1"/>
  <c r="P5" i="17"/>
  <c r="P46" i="17" s="1"/>
  <c r="O5" i="17"/>
  <c r="O36" i="17" s="1"/>
  <c r="N5" i="17"/>
  <c r="N46" i="17" s="1"/>
  <c r="M5" i="17"/>
  <c r="M36" i="17" s="1"/>
  <c r="L5" i="17"/>
  <c r="L36" i="17" s="1"/>
  <c r="K5" i="17"/>
  <c r="K46" i="17" s="1"/>
  <c r="J5" i="17"/>
  <c r="J36" i="17" s="1"/>
  <c r="I5" i="17"/>
  <c r="AE4" i="17"/>
  <c r="Y4" i="17"/>
  <c r="T4" i="17"/>
  <c r="T35" i="17" s="1"/>
  <c r="S4" i="17"/>
  <c r="U30" i="15" s="1"/>
  <c r="R4" i="17"/>
  <c r="Q4" i="17"/>
  <c r="P4" i="17"/>
  <c r="O4" i="17"/>
  <c r="Q30" i="15" s="1"/>
  <c r="N4" i="17"/>
  <c r="P30" i="15" s="1"/>
  <c r="M4" i="17"/>
  <c r="M35" i="17" s="1"/>
  <c r="L4" i="17"/>
  <c r="L35" i="17" s="1"/>
  <c r="K4" i="17"/>
  <c r="I4" i="17"/>
  <c r="I35" i="17" s="1"/>
  <c r="Y3" i="17"/>
  <c r="T3" i="17"/>
  <c r="T44" i="17" s="1"/>
  <c r="S3" i="17"/>
  <c r="S44" i="17" s="1"/>
  <c r="R3" i="17"/>
  <c r="R44" i="17" s="1"/>
  <c r="Q3" i="17"/>
  <c r="Q34" i="17" s="1"/>
  <c r="P3" i="17"/>
  <c r="P34" i="17" s="1"/>
  <c r="O3" i="17"/>
  <c r="N3" i="17"/>
  <c r="P29" i="15" s="1"/>
  <c r="M3" i="17"/>
  <c r="M34" i="17" s="1"/>
  <c r="L3" i="17"/>
  <c r="L34" i="17" s="1"/>
  <c r="K3" i="17"/>
  <c r="K34" i="17" s="1"/>
  <c r="J3" i="17"/>
  <c r="J34" i="17" s="1"/>
  <c r="I3" i="17"/>
  <c r="I34" i="17" s="1"/>
  <c r="Y2" i="17"/>
  <c r="T2" i="17"/>
  <c r="T43" i="17" s="1"/>
  <c r="S2" i="17"/>
  <c r="S33" i="17" s="1"/>
  <c r="R2" i="17"/>
  <c r="R43" i="17" s="1"/>
  <c r="Q2" i="17"/>
  <c r="Q43" i="17" s="1"/>
  <c r="P2" i="17"/>
  <c r="P43" i="17" s="1"/>
  <c r="O2" i="17"/>
  <c r="O43" i="17" s="1"/>
  <c r="N2" i="17"/>
  <c r="N43" i="17" s="1"/>
  <c r="M2" i="17"/>
  <c r="M33" i="17" s="1"/>
  <c r="L2" i="17"/>
  <c r="K2" i="17"/>
  <c r="J2" i="17"/>
  <c r="I2" i="17"/>
  <c r="E527" i="15"/>
  <c r="L73" i="15" s="1"/>
  <c r="E473" i="15"/>
  <c r="E467" i="15"/>
  <c r="E352" i="15"/>
  <c r="E195" i="15"/>
  <c r="U90" i="15" s="1"/>
  <c r="U100" i="15" s="1"/>
  <c r="E179" i="15"/>
  <c r="V106" i="15"/>
  <c r="S106" i="15"/>
  <c r="R106" i="15"/>
  <c r="M106" i="15"/>
  <c r="V105" i="15"/>
  <c r="V104" i="15" s="1"/>
  <c r="U105" i="15"/>
  <c r="W105" i="15" s="1"/>
  <c r="T105" i="15"/>
  <c r="S105" i="15"/>
  <c r="R105" i="15"/>
  <c r="Q105" i="15"/>
  <c r="P105" i="15"/>
  <c r="O105" i="15"/>
  <c r="N105" i="15"/>
  <c r="M105" i="15"/>
  <c r="L105" i="15"/>
  <c r="K105" i="15"/>
  <c r="K104" i="15" s="1"/>
  <c r="U104" i="15"/>
  <c r="U106" i="15" s="1"/>
  <c r="T104" i="15"/>
  <c r="T106" i="15" s="1"/>
  <c r="S104" i="15"/>
  <c r="R104" i="15"/>
  <c r="Q104" i="15"/>
  <c r="Q106" i="15" s="1"/>
  <c r="P104" i="15"/>
  <c r="P106" i="15" s="1"/>
  <c r="O104" i="15"/>
  <c r="O106" i="15" s="1"/>
  <c r="N104" i="15"/>
  <c r="N106" i="15" s="1"/>
  <c r="M104" i="15"/>
  <c r="L104" i="15"/>
  <c r="L106" i="15" s="1"/>
  <c r="S100" i="15"/>
  <c r="S110" i="15" s="1"/>
  <c r="O100" i="15"/>
  <c r="O110" i="15" s="1"/>
  <c r="N100" i="15"/>
  <c r="N110" i="15" s="1"/>
  <c r="V95" i="15"/>
  <c r="U95" i="15"/>
  <c r="T95" i="15"/>
  <c r="T96" i="15" s="1"/>
  <c r="T99" i="15" s="1"/>
  <c r="S95" i="15"/>
  <c r="R95" i="15"/>
  <c r="Q95" i="15"/>
  <c r="P95" i="15"/>
  <c r="O95" i="15"/>
  <c r="N95" i="15"/>
  <c r="M95" i="15"/>
  <c r="L95" i="15"/>
  <c r="K95" i="15"/>
  <c r="V94" i="15"/>
  <c r="U94" i="15"/>
  <c r="T94" i="15"/>
  <c r="S94" i="15"/>
  <c r="R94" i="15"/>
  <c r="Q94" i="15"/>
  <c r="P94" i="15"/>
  <c r="O94" i="15"/>
  <c r="N94" i="15"/>
  <c r="M94" i="15"/>
  <c r="L94" i="15"/>
  <c r="K94" i="15"/>
  <c r="V93" i="15"/>
  <c r="U93" i="15"/>
  <c r="T93" i="15"/>
  <c r="S93" i="15"/>
  <c r="R93" i="15"/>
  <c r="R96" i="15" s="1"/>
  <c r="R99" i="15" s="1"/>
  <c r="Q93" i="15"/>
  <c r="P93" i="15"/>
  <c r="O93" i="15"/>
  <c r="N93" i="15"/>
  <c r="M93" i="15"/>
  <c r="L93" i="15"/>
  <c r="W93" i="15" s="1"/>
  <c r="K93" i="15"/>
  <c r="V92" i="15"/>
  <c r="U92" i="15"/>
  <c r="T92" i="15"/>
  <c r="S92" i="15"/>
  <c r="R92" i="15"/>
  <c r="Q92" i="15"/>
  <c r="P92" i="15"/>
  <c r="O92" i="15"/>
  <c r="N92" i="15"/>
  <c r="M92" i="15"/>
  <c r="L92" i="15"/>
  <c r="K92" i="15"/>
  <c r="V91" i="15"/>
  <c r="U91" i="15"/>
  <c r="T91" i="15"/>
  <c r="S91" i="15"/>
  <c r="R91" i="15"/>
  <c r="Q91" i="15"/>
  <c r="P91" i="15"/>
  <c r="O91" i="15"/>
  <c r="N91" i="15"/>
  <c r="M91" i="15"/>
  <c r="L91" i="15"/>
  <c r="K91" i="15"/>
  <c r="V90" i="15"/>
  <c r="V100" i="15" s="1"/>
  <c r="T90" i="15"/>
  <c r="T100" i="15" s="1"/>
  <c r="T110" i="15" s="1"/>
  <c r="S90" i="15"/>
  <c r="R90" i="15"/>
  <c r="R100" i="15" s="1"/>
  <c r="R110" i="15" s="1"/>
  <c r="Q90" i="15"/>
  <c r="Q100" i="15" s="1"/>
  <c r="Q110" i="15" s="1"/>
  <c r="O90" i="15"/>
  <c r="N90" i="15"/>
  <c r="M90" i="15"/>
  <c r="M100" i="15" s="1"/>
  <c r="M110" i="15" s="1"/>
  <c r="K90" i="15"/>
  <c r="K100" i="15" s="1"/>
  <c r="V89" i="15"/>
  <c r="V96" i="15" s="1"/>
  <c r="V99" i="15" s="1"/>
  <c r="U89" i="15"/>
  <c r="T89" i="15"/>
  <c r="S89" i="15"/>
  <c r="R89" i="15"/>
  <c r="Q89" i="15"/>
  <c r="P89" i="15"/>
  <c r="O89" i="15"/>
  <c r="N89" i="15"/>
  <c r="N96" i="15" s="1"/>
  <c r="N99" i="15" s="1"/>
  <c r="N109" i="15" s="1"/>
  <c r="N111" i="15" s="1"/>
  <c r="L89" i="15"/>
  <c r="K89" i="15"/>
  <c r="W84" i="15"/>
  <c r="N82" i="15"/>
  <c r="N81" i="15"/>
  <c r="M81" i="15"/>
  <c r="V76" i="15"/>
  <c r="T76" i="15"/>
  <c r="T82" i="15" s="1"/>
  <c r="S76" i="15"/>
  <c r="S82" i="15" s="1"/>
  <c r="R76" i="15"/>
  <c r="R82" i="15" s="1"/>
  <c r="Q76" i="15"/>
  <c r="Q82" i="15" s="1"/>
  <c r="P76" i="15"/>
  <c r="P82" i="15" s="1"/>
  <c r="O76" i="15"/>
  <c r="O82" i="15" s="1"/>
  <c r="N76" i="15"/>
  <c r="M76" i="15"/>
  <c r="M82" i="15" s="1"/>
  <c r="K76" i="15"/>
  <c r="V75" i="15"/>
  <c r="U75" i="15"/>
  <c r="T75" i="15"/>
  <c r="S75" i="15"/>
  <c r="R75" i="15"/>
  <c r="Q75" i="15"/>
  <c r="P75" i="15"/>
  <c r="O75" i="15"/>
  <c r="N75" i="15"/>
  <c r="M75" i="15"/>
  <c r="K75" i="15"/>
  <c r="V74" i="15"/>
  <c r="T74" i="15"/>
  <c r="S74" i="15"/>
  <c r="R74" i="15"/>
  <c r="Q74" i="15"/>
  <c r="P74" i="15"/>
  <c r="O74" i="15"/>
  <c r="N74" i="15"/>
  <c r="M74" i="15"/>
  <c r="K74" i="15"/>
  <c r="V73" i="15"/>
  <c r="T73" i="15"/>
  <c r="S73" i="15"/>
  <c r="R73" i="15"/>
  <c r="Q73" i="15"/>
  <c r="O73" i="15"/>
  <c r="N73" i="15"/>
  <c r="N77" i="15" s="1"/>
  <c r="M73" i="15"/>
  <c r="K73" i="15"/>
  <c r="V72" i="15"/>
  <c r="U72" i="15"/>
  <c r="T72" i="15"/>
  <c r="S72" i="15"/>
  <c r="R72" i="15"/>
  <c r="Q72" i="15"/>
  <c r="O72" i="15"/>
  <c r="N72" i="15"/>
  <c r="M72" i="15"/>
  <c r="L72" i="15"/>
  <c r="K72" i="15"/>
  <c r="V71" i="15"/>
  <c r="V82" i="15" s="1"/>
  <c r="T71" i="15"/>
  <c r="S71" i="15"/>
  <c r="R71" i="15"/>
  <c r="Q71" i="15"/>
  <c r="P71" i="15"/>
  <c r="O71" i="15"/>
  <c r="N71" i="15"/>
  <c r="M71" i="15"/>
  <c r="L71" i="15"/>
  <c r="K71" i="15"/>
  <c r="V70" i="15"/>
  <c r="V81" i="15" s="1"/>
  <c r="U70" i="15"/>
  <c r="U81" i="15" s="1"/>
  <c r="T70" i="15"/>
  <c r="T81" i="15" s="1"/>
  <c r="S70" i="15"/>
  <c r="S81" i="15" s="1"/>
  <c r="R70" i="15"/>
  <c r="R81" i="15" s="1"/>
  <c r="Q70" i="15"/>
  <c r="Q81" i="15" s="1"/>
  <c r="P70" i="15"/>
  <c r="P81" i="15" s="1"/>
  <c r="O70" i="15"/>
  <c r="O81" i="15" s="1"/>
  <c r="N70" i="15"/>
  <c r="M70" i="15"/>
  <c r="L70" i="15"/>
  <c r="L81" i="15" s="1"/>
  <c r="K70" i="15"/>
  <c r="V69" i="15"/>
  <c r="U69" i="15"/>
  <c r="T69" i="15"/>
  <c r="S69" i="15"/>
  <c r="S80" i="15" s="1"/>
  <c r="R69" i="15"/>
  <c r="R80" i="15" s="1"/>
  <c r="Q69" i="15"/>
  <c r="Q80" i="15" s="1"/>
  <c r="P69" i="15"/>
  <c r="P80" i="15" s="1"/>
  <c r="O69" i="15"/>
  <c r="O80" i="15" s="1"/>
  <c r="N69" i="15"/>
  <c r="N80" i="15" s="1"/>
  <c r="K69" i="15"/>
  <c r="Y66" i="15"/>
  <c r="Y65" i="15"/>
  <c r="J65" i="15"/>
  <c r="AH64" i="15"/>
  <c r="Y64" i="15"/>
  <c r="T64" i="15"/>
  <c r="O64" i="15"/>
  <c r="K64" i="15"/>
  <c r="J64" i="15"/>
  <c r="Y63" i="15"/>
  <c r="J63" i="15"/>
  <c r="J66" i="15" s="1"/>
  <c r="V62" i="15"/>
  <c r="U62" i="15"/>
  <c r="T62" i="15"/>
  <c r="Y61" i="15"/>
  <c r="V61" i="15"/>
  <c r="U61" i="15"/>
  <c r="T61" i="15"/>
  <c r="S61" i="15"/>
  <c r="J61" i="15"/>
  <c r="Y60" i="15"/>
  <c r="V60" i="15"/>
  <c r="T60" i="15"/>
  <c r="O60" i="15"/>
  <c r="N60" i="15"/>
  <c r="J60" i="15"/>
  <c r="Y59" i="15"/>
  <c r="V59" i="15"/>
  <c r="U59" i="15"/>
  <c r="T59" i="15"/>
  <c r="S59" i="15"/>
  <c r="J59" i="15"/>
  <c r="P54" i="15"/>
  <c r="O54" i="15"/>
  <c r="N54" i="15"/>
  <c r="M54" i="15"/>
  <c r="K54" i="15"/>
  <c r="L53" i="15"/>
  <c r="K53" i="15"/>
  <c r="U52" i="15"/>
  <c r="T52" i="15"/>
  <c r="Q52" i="15"/>
  <c r="U51" i="15"/>
  <c r="T51" i="15"/>
  <c r="S51" i="15"/>
  <c r="R51" i="15"/>
  <c r="Q51" i="15"/>
  <c r="Q50" i="15"/>
  <c r="P50" i="15"/>
  <c r="O50" i="15"/>
  <c r="N50" i="15"/>
  <c r="O49" i="15"/>
  <c r="N49" i="15"/>
  <c r="M49" i="15"/>
  <c r="L49" i="15"/>
  <c r="K49" i="15"/>
  <c r="U48" i="15"/>
  <c r="L48" i="15"/>
  <c r="V44" i="15"/>
  <c r="U44" i="15"/>
  <c r="T44" i="15"/>
  <c r="S44" i="15"/>
  <c r="R44" i="15"/>
  <c r="Q44" i="15"/>
  <c r="P44" i="15"/>
  <c r="O44" i="15"/>
  <c r="N44" i="15"/>
  <c r="M44" i="15"/>
  <c r="L44" i="15"/>
  <c r="K44" i="15"/>
  <c r="V43" i="15"/>
  <c r="U43" i="15"/>
  <c r="T43" i="15"/>
  <c r="S43" i="15"/>
  <c r="R43" i="15"/>
  <c r="Q43" i="15"/>
  <c r="P43" i="15"/>
  <c r="O43" i="15"/>
  <c r="N43" i="15"/>
  <c r="M43" i="15"/>
  <c r="M53" i="15" s="1"/>
  <c r="L43" i="15"/>
  <c r="K43" i="15"/>
  <c r="W43" i="15" s="1"/>
  <c r="V42" i="15"/>
  <c r="U42" i="15"/>
  <c r="T42" i="15"/>
  <c r="S42" i="15"/>
  <c r="R42" i="15"/>
  <c r="Q42" i="15"/>
  <c r="P42" i="15"/>
  <c r="O42" i="15"/>
  <c r="N42" i="15"/>
  <c r="M42" i="15"/>
  <c r="M52" i="15" s="1"/>
  <c r="L42" i="15"/>
  <c r="K42" i="15"/>
  <c r="V41" i="15"/>
  <c r="U41" i="15"/>
  <c r="T41" i="15"/>
  <c r="S41" i="15"/>
  <c r="R41" i="15"/>
  <c r="Q41" i="15"/>
  <c r="P41" i="15"/>
  <c r="O41" i="15"/>
  <c r="N41" i="15"/>
  <c r="M41" i="15"/>
  <c r="L41" i="15"/>
  <c r="K41" i="15"/>
  <c r="W41" i="15" s="1"/>
  <c r="V40" i="15"/>
  <c r="W40" i="15" s="1"/>
  <c r="U40" i="15"/>
  <c r="T40" i="15"/>
  <c r="S40" i="15"/>
  <c r="R40" i="15"/>
  <c r="Q40" i="15"/>
  <c r="P40" i="15"/>
  <c r="O40" i="15"/>
  <c r="N40" i="15"/>
  <c r="M40" i="15"/>
  <c r="L40" i="15"/>
  <c r="K40" i="15"/>
  <c r="V39" i="15"/>
  <c r="V45" i="15" s="1"/>
  <c r="U39" i="15"/>
  <c r="U45" i="15" s="1"/>
  <c r="T39" i="15"/>
  <c r="S39" i="15"/>
  <c r="W39" i="15" s="1"/>
  <c r="R39" i="15"/>
  <c r="Q39" i="15"/>
  <c r="P39" i="15"/>
  <c r="O39" i="15"/>
  <c r="N39" i="15"/>
  <c r="M39" i="15"/>
  <c r="L39" i="15"/>
  <c r="K39" i="15"/>
  <c r="V38" i="15"/>
  <c r="U38" i="15"/>
  <c r="T38" i="15"/>
  <c r="S38" i="15"/>
  <c r="R38" i="15"/>
  <c r="Q38" i="15"/>
  <c r="P38" i="15"/>
  <c r="O38" i="15"/>
  <c r="N38" i="15"/>
  <c r="N45" i="15" s="1"/>
  <c r="M38" i="15"/>
  <c r="M45" i="15" s="1"/>
  <c r="L38" i="15"/>
  <c r="K38" i="15"/>
  <c r="M34" i="15"/>
  <c r="K34" i="15"/>
  <c r="N33" i="15"/>
  <c r="M33" i="15"/>
  <c r="L33" i="15"/>
  <c r="K33" i="15"/>
  <c r="N32" i="15"/>
  <c r="M32" i="15"/>
  <c r="L32" i="15"/>
  <c r="V31" i="15"/>
  <c r="T31" i="15"/>
  <c r="S31" i="15"/>
  <c r="R31" i="15"/>
  <c r="K31" i="15"/>
  <c r="N29" i="15"/>
  <c r="L28" i="15"/>
  <c r="J20" i="15"/>
  <c r="J19" i="15"/>
  <c r="V17" i="15"/>
  <c r="U17" i="15"/>
  <c r="O16" i="15"/>
  <c r="N16" i="15"/>
  <c r="M16" i="15"/>
  <c r="L16" i="15"/>
  <c r="K16" i="15"/>
  <c r="V15" i="15"/>
  <c r="U15" i="15"/>
  <c r="T15" i="15"/>
  <c r="S15" i="15"/>
  <c r="R15" i="15"/>
  <c r="Q15" i="15"/>
  <c r="P15" i="15"/>
  <c r="O15" i="15"/>
  <c r="N15" i="15"/>
  <c r="V14" i="15"/>
  <c r="U14" i="15"/>
  <c r="T14" i="15"/>
  <c r="S14" i="15"/>
  <c r="R14" i="15"/>
  <c r="Q14" i="15"/>
  <c r="P14" i="15"/>
  <c r="O14" i="15"/>
  <c r="N14" i="15"/>
  <c r="M14" i="15"/>
  <c r="L14" i="15"/>
  <c r="W13" i="15"/>
  <c r="J12" i="15"/>
  <c r="AA11" i="15"/>
  <c r="J11" i="15"/>
  <c r="AA10" i="15"/>
  <c r="V10" i="15"/>
  <c r="U10" i="15"/>
  <c r="T10" i="15"/>
  <c r="S10" i="15"/>
  <c r="R10" i="15"/>
  <c r="R65" i="15" s="1"/>
  <c r="Q10" i="15"/>
  <c r="Q65" i="15" s="1"/>
  <c r="P10" i="15"/>
  <c r="P65" i="15" s="1"/>
  <c r="O10" i="15"/>
  <c r="O65" i="15" s="1"/>
  <c r="N10" i="15"/>
  <c r="N65" i="15" s="1"/>
  <c r="M10" i="15"/>
  <c r="M65" i="15" s="1"/>
  <c r="L10" i="15"/>
  <c r="L54" i="15" s="1"/>
  <c r="K10" i="15"/>
  <c r="K65" i="15" s="1"/>
  <c r="AA9" i="15"/>
  <c r="V9" i="15"/>
  <c r="U9" i="15"/>
  <c r="T9" i="15"/>
  <c r="T53" i="15" s="1"/>
  <c r="S9" i="15"/>
  <c r="S64" i="15" s="1"/>
  <c r="R9" i="15"/>
  <c r="R64" i="15" s="1"/>
  <c r="Q9" i="15"/>
  <c r="Q64" i="15" s="1"/>
  <c r="P9" i="15"/>
  <c r="O9" i="15"/>
  <c r="N9" i="15"/>
  <c r="N64" i="15" s="1"/>
  <c r="M9" i="15"/>
  <c r="M64" i="15" s="1"/>
  <c r="L9" i="15"/>
  <c r="L64" i="15" s="1"/>
  <c r="K9" i="15"/>
  <c r="AA8" i="15"/>
  <c r="X8" i="15"/>
  <c r="W8" i="15"/>
  <c r="V8" i="15"/>
  <c r="V52" i="15" s="1"/>
  <c r="U8" i="15"/>
  <c r="U63" i="15" s="1"/>
  <c r="T8" i="15"/>
  <c r="T63" i="15" s="1"/>
  <c r="S8" i="15"/>
  <c r="S52" i="15" s="1"/>
  <c r="R8" i="15"/>
  <c r="Q8" i="15"/>
  <c r="Q63" i="15" s="1"/>
  <c r="P8" i="15"/>
  <c r="P52" i="15" s="1"/>
  <c r="O8" i="15"/>
  <c r="O52" i="15" s="1"/>
  <c r="N8" i="15"/>
  <c r="N52" i="15" s="1"/>
  <c r="M8" i="15"/>
  <c r="M63" i="15" s="1"/>
  <c r="L8" i="15"/>
  <c r="L52" i="15" s="1"/>
  <c r="K8" i="15"/>
  <c r="AG7" i="15"/>
  <c r="AA7" i="15"/>
  <c r="X7" i="15"/>
  <c r="V7" i="15"/>
  <c r="V51" i="15" s="1"/>
  <c r="U7" i="15"/>
  <c r="U31" i="15" s="1"/>
  <c r="T7" i="15"/>
  <c r="S7" i="15"/>
  <c r="S62" i="15" s="1"/>
  <c r="R7" i="15"/>
  <c r="R62" i="15" s="1"/>
  <c r="Q7" i="15"/>
  <c r="Q62" i="15" s="1"/>
  <c r="P7" i="15"/>
  <c r="O7" i="15"/>
  <c r="N7" i="15"/>
  <c r="M7" i="15"/>
  <c r="L7" i="15"/>
  <c r="K7" i="15"/>
  <c r="K51" i="15" s="1"/>
  <c r="AG6" i="15"/>
  <c r="AF6" i="15"/>
  <c r="AE6" i="15"/>
  <c r="AA6" i="15"/>
  <c r="V6" i="15"/>
  <c r="U6" i="15"/>
  <c r="U50" i="15" s="1"/>
  <c r="T6" i="15"/>
  <c r="S6" i="15"/>
  <c r="R6" i="15"/>
  <c r="R50" i="15" s="1"/>
  <c r="Q6" i="15"/>
  <c r="Q61" i="15" s="1"/>
  <c r="P6" i="15"/>
  <c r="P61" i="15" s="1"/>
  <c r="O6" i="15"/>
  <c r="O61" i="15" s="1"/>
  <c r="N6" i="15"/>
  <c r="N61" i="15" s="1"/>
  <c r="M6" i="15"/>
  <c r="L6" i="15"/>
  <c r="L50" i="15" s="1"/>
  <c r="K6" i="15"/>
  <c r="K50" i="15" s="1"/>
  <c r="AA5" i="15"/>
  <c r="X5" i="15"/>
  <c r="V5" i="15"/>
  <c r="V49" i="15" s="1"/>
  <c r="U5" i="15"/>
  <c r="U60" i="15" s="1"/>
  <c r="T5" i="15"/>
  <c r="S5" i="15"/>
  <c r="S60" i="15" s="1"/>
  <c r="R5" i="15"/>
  <c r="R60" i="15" s="1"/>
  <c r="Q5" i="15"/>
  <c r="Q60" i="15" s="1"/>
  <c r="P5" i="15"/>
  <c r="P60" i="15" s="1"/>
  <c r="O5" i="15"/>
  <c r="N5" i="15"/>
  <c r="M5" i="15"/>
  <c r="M60" i="15" s="1"/>
  <c r="L5" i="15"/>
  <c r="K5" i="15"/>
  <c r="AG4" i="15"/>
  <c r="AA4" i="15"/>
  <c r="V4" i="15"/>
  <c r="V48" i="15" s="1"/>
  <c r="U4" i="15"/>
  <c r="T4" i="15"/>
  <c r="T48" i="15" s="1"/>
  <c r="S4" i="15"/>
  <c r="S48" i="15" s="1"/>
  <c r="R4" i="15"/>
  <c r="Q4" i="15"/>
  <c r="P4" i="15"/>
  <c r="O4" i="15"/>
  <c r="N4" i="15"/>
  <c r="M4" i="15"/>
  <c r="M59" i="15" s="1"/>
  <c r="L4" i="15"/>
  <c r="L11" i="15" s="1"/>
  <c r="K4" i="15"/>
  <c r="AF3" i="15"/>
  <c r="E580" i="13"/>
  <c r="E532" i="13"/>
  <c r="E260" i="13"/>
  <c r="E124" i="13"/>
  <c r="S116" i="13"/>
  <c r="R116" i="13"/>
  <c r="M116" i="13"/>
  <c r="Q115" i="13"/>
  <c r="Q117" i="13" s="1"/>
  <c r="P115" i="13"/>
  <c r="P117" i="13" s="1"/>
  <c r="R112" i="13"/>
  <c r="Q112" i="13"/>
  <c r="V111" i="13"/>
  <c r="V110" i="13" s="1"/>
  <c r="V112" i="13" s="1"/>
  <c r="U111" i="13"/>
  <c r="T111" i="13"/>
  <c r="S111" i="13"/>
  <c r="R111" i="13"/>
  <c r="Q111" i="13"/>
  <c r="P111" i="13"/>
  <c r="P110" i="13" s="1"/>
  <c r="P112" i="13" s="1"/>
  <c r="O111" i="13"/>
  <c r="O110" i="13" s="1"/>
  <c r="O112" i="13" s="1"/>
  <c r="N111" i="13"/>
  <c r="N110" i="13" s="1"/>
  <c r="N112" i="13" s="1"/>
  <c r="M111" i="13"/>
  <c r="L111" i="13"/>
  <c r="K111" i="13"/>
  <c r="K110" i="13" s="1"/>
  <c r="U110" i="13"/>
  <c r="U112" i="13" s="1"/>
  <c r="T110" i="13"/>
  <c r="T112" i="13" s="1"/>
  <c r="S110" i="13"/>
  <c r="S112" i="13" s="1"/>
  <c r="R110" i="13"/>
  <c r="Q110" i="13"/>
  <c r="M110" i="13"/>
  <c r="M112" i="13" s="1"/>
  <c r="L110" i="13"/>
  <c r="L112" i="13" s="1"/>
  <c r="Q107" i="13"/>
  <c r="V106" i="13"/>
  <c r="V116" i="13" s="1"/>
  <c r="P106" i="13"/>
  <c r="P116" i="13" s="1"/>
  <c r="O106" i="13"/>
  <c r="O116" i="13" s="1"/>
  <c r="R105" i="13"/>
  <c r="O105" i="13"/>
  <c r="M105" i="13"/>
  <c r="M107" i="13" s="1"/>
  <c r="M102" i="13"/>
  <c r="V101" i="13"/>
  <c r="U101" i="13"/>
  <c r="T101" i="13"/>
  <c r="S101" i="13"/>
  <c r="R101" i="13"/>
  <c r="Q101" i="13"/>
  <c r="P101" i="13"/>
  <c r="O101" i="13"/>
  <c r="N101" i="13"/>
  <c r="M101" i="13"/>
  <c r="L101" i="13"/>
  <c r="K101" i="13"/>
  <c r="V100" i="13"/>
  <c r="U100" i="13"/>
  <c r="T100" i="13"/>
  <c r="S100" i="13"/>
  <c r="R100" i="13"/>
  <c r="Q100" i="13"/>
  <c r="P100" i="13"/>
  <c r="O100" i="13"/>
  <c r="N100" i="13"/>
  <c r="M100" i="13"/>
  <c r="L100" i="13"/>
  <c r="K100" i="13"/>
  <c r="V99" i="13"/>
  <c r="U99" i="13"/>
  <c r="T99" i="13"/>
  <c r="S99" i="13"/>
  <c r="R99" i="13"/>
  <c r="W99" i="13" s="1"/>
  <c r="Q99" i="13"/>
  <c r="P99" i="13"/>
  <c r="O99" i="13"/>
  <c r="N99" i="13"/>
  <c r="M99" i="13"/>
  <c r="L99" i="13"/>
  <c r="K99" i="13"/>
  <c r="V98" i="13"/>
  <c r="U98" i="13"/>
  <c r="T98" i="13"/>
  <c r="S98" i="13"/>
  <c r="R98" i="13"/>
  <c r="Q98" i="13"/>
  <c r="P98" i="13"/>
  <c r="W98" i="13" s="1"/>
  <c r="O98" i="13"/>
  <c r="N98" i="13"/>
  <c r="M98" i="13"/>
  <c r="L98" i="13"/>
  <c r="K98" i="13"/>
  <c r="V97" i="13"/>
  <c r="U97" i="13"/>
  <c r="T97" i="13"/>
  <c r="S97" i="13"/>
  <c r="R97" i="13"/>
  <c r="Q97" i="13"/>
  <c r="P97" i="13"/>
  <c r="O97" i="13"/>
  <c r="O102" i="13" s="1"/>
  <c r="N97" i="13"/>
  <c r="W97" i="13" s="1"/>
  <c r="M97" i="13"/>
  <c r="L97" i="13"/>
  <c r="K97" i="13"/>
  <c r="V96" i="13"/>
  <c r="V102" i="13" s="1"/>
  <c r="V105" i="13" s="1"/>
  <c r="V115" i="13" s="1"/>
  <c r="V117" i="13" s="1"/>
  <c r="U96" i="13"/>
  <c r="U106" i="13" s="1"/>
  <c r="U116" i="13" s="1"/>
  <c r="T96" i="13"/>
  <c r="T106" i="13" s="1"/>
  <c r="T116" i="13" s="1"/>
  <c r="S96" i="13"/>
  <c r="S106" i="13" s="1"/>
  <c r="R96" i="13"/>
  <c r="R106" i="13" s="1"/>
  <c r="Q96" i="13"/>
  <c r="Q106" i="13" s="1"/>
  <c r="Q116" i="13" s="1"/>
  <c r="P96" i="13"/>
  <c r="O96" i="13"/>
  <c r="N96" i="13"/>
  <c r="N106" i="13" s="1"/>
  <c r="M96" i="13"/>
  <c r="M106" i="13" s="1"/>
  <c r="L96" i="13"/>
  <c r="L106" i="13" s="1"/>
  <c r="L116" i="13" s="1"/>
  <c r="K96" i="13"/>
  <c r="K106" i="13" s="1"/>
  <c r="K116" i="13" s="1"/>
  <c r="V95" i="13"/>
  <c r="U95" i="13"/>
  <c r="T95" i="13"/>
  <c r="S95" i="13"/>
  <c r="S102" i="13" s="1"/>
  <c r="S105" i="13" s="1"/>
  <c r="R95" i="13"/>
  <c r="R102" i="13" s="1"/>
  <c r="Q95" i="13"/>
  <c r="Q102" i="13" s="1"/>
  <c r="Q105" i="13" s="1"/>
  <c r="P95" i="13"/>
  <c r="P102" i="13" s="1"/>
  <c r="P105" i="13" s="1"/>
  <c r="P107" i="13" s="1"/>
  <c r="O95" i="13"/>
  <c r="N95" i="13"/>
  <c r="M95" i="13"/>
  <c r="L95" i="13"/>
  <c r="K95" i="13"/>
  <c r="W90" i="13"/>
  <c r="P88" i="13"/>
  <c r="N88" i="13"/>
  <c r="K88" i="13"/>
  <c r="N86" i="13"/>
  <c r="M86" i="13"/>
  <c r="K83" i="13"/>
  <c r="V82" i="13"/>
  <c r="V88" i="13" s="1"/>
  <c r="U82" i="13"/>
  <c r="U88" i="13" s="1"/>
  <c r="T82" i="13"/>
  <c r="T88" i="13" s="1"/>
  <c r="S82" i="13"/>
  <c r="R82" i="13"/>
  <c r="R88" i="13" s="1"/>
  <c r="Q82" i="13"/>
  <c r="Q88" i="13" s="1"/>
  <c r="P82" i="13"/>
  <c r="O82" i="13"/>
  <c r="O88" i="13" s="1"/>
  <c r="N82" i="13"/>
  <c r="M82" i="13"/>
  <c r="M88" i="13" s="1"/>
  <c r="L82" i="13"/>
  <c r="L88" i="13" s="1"/>
  <c r="K82" i="13"/>
  <c r="V81" i="13"/>
  <c r="U81" i="13"/>
  <c r="T81" i="13"/>
  <c r="S81" i="13"/>
  <c r="R81" i="13"/>
  <c r="Q81" i="13"/>
  <c r="P81" i="13"/>
  <c r="O81" i="13"/>
  <c r="N81" i="13"/>
  <c r="M81" i="13"/>
  <c r="L81" i="13"/>
  <c r="K81" i="13"/>
  <c r="V80" i="13"/>
  <c r="U80" i="13"/>
  <c r="T80" i="13"/>
  <c r="S80" i="13"/>
  <c r="R80" i="13"/>
  <c r="Q80" i="13"/>
  <c r="P80" i="13"/>
  <c r="O80" i="13"/>
  <c r="N80" i="13"/>
  <c r="M80" i="13"/>
  <c r="L80" i="13"/>
  <c r="K80" i="13"/>
  <c r="AH79" i="13"/>
  <c r="V79" i="13"/>
  <c r="U79" i="13"/>
  <c r="T79" i="13"/>
  <c r="S79" i="13"/>
  <c r="R79" i="13"/>
  <c r="Q79" i="13"/>
  <c r="P79" i="13"/>
  <c r="O79" i="13"/>
  <c r="N79" i="13"/>
  <c r="M79" i="13"/>
  <c r="L79" i="13"/>
  <c r="K79" i="13"/>
  <c r="V78" i="13"/>
  <c r="U78" i="13"/>
  <c r="T78" i="13"/>
  <c r="S78" i="13"/>
  <c r="R78" i="13"/>
  <c r="Q78" i="13"/>
  <c r="P78" i="13"/>
  <c r="O78" i="13"/>
  <c r="N78" i="13"/>
  <c r="M78" i="13"/>
  <c r="L78" i="13"/>
  <c r="K78" i="13"/>
  <c r="V77" i="13"/>
  <c r="U77" i="13"/>
  <c r="T77" i="13"/>
  <c r="S77" i="13"/>
  <c r="R77" i="13"/>
  <c r="Q77" i="13"/>
  <c r="P77" i="13"/>
  <c r="O77" i="13"/>
  <c r="N77" i="13"/>
  <c r="M77" i="13"/>
  <c r="L77" i="13"/>
  <c r="K77" i="13"/>
  <c r="V76" i="13"/>
  <c r="V87" i="13" s="1"/>
  <c r="U76" i="13"/>
  <c r="U87" i="13" s="1"/>
  <c r="T76" i="13"/>
  <c r="T87" i="13" s="1"/>
  <c r="S76" i="13"/>
  <c r="S87" i="13" s="1"/>
  <c r="R76" i="13"/>
  <c r="R87" i="13" s="1"/>
  <c r="Q76" i="13"/>
  <c r="Q87" i="13" s="1"/>
  <c r="P76" i="13"/>
  <c r="P87" i="13" s="1"/>
  <c r="O76" i="13"/>
  <c r="O87" i="13" s="1"/>
  <c r="N76" i="13"/>
  <c r="N87" i="13" s="1"/>
  <c r="M76" i="13"/>
  <c r="M87" i="13" s="1"/>
  <c r="L76" i="13"/>
  <c r="K76" i="13"/>
  <c r="K87" i="13" s="1"/>
  <c r="V75" i="13"/>
  <c r="V86" i="13" s="1"/>
  <c r="U75" i="13"/>
  <c r="U86" i="13" s="1"/>
  <c r="T75" i="13"/>
  <c r="T86" i="13" s="1"/>
  <c r="S75" i="13"/>
  <c r="S86" i="13" s="1"/>
  <c r="R75" i="13"/>
  <c r="R86" i="13" s="1"/>
  <c r="Q75" i="13"/>
  <c r="Q86" i="13" s="1"/>
  <c r="P75" i="13"/>
  <c r="P86" i="13" s="1"/>
  <c r="O75" i="13"/>
  <c r="O86" i="13" s="1"/>
  <c r="N75" i="13"/>
  <c r="M75" i="13"/>
  <c r="L75" i="13"/>
  <c r="L86" i="13" s="1"/>
  <c r="K75" i="13"/>
  <c r="U71" i="13"/>
  <c r="T71" i="13"/>
  <c r="S71" i="13"/>
  <c r="R71" i="13"/>
  <c r="J71" i="13"/>
  <c r="Y71" i="13" s="1"/>
  <c r="R70" i="13"/>
  <c r="Q70" i="13"/>
  <c r="P70" i="13"/>
  <c r="O70" i="13"/>
  <c r="T69" i="13"/>
  <c r="S69" i="13"/>
  <c r="R69" i="13"/>
  <c r="O69" i="13"/>
  <c r="N69" i="13"/>
  <c r="J69" i="13"/>
  <c r="Y69" i="13" s="1"/>
  <c r="O68" i="13"/>
  <c r="N68" i="13"/>
  <c r="M68" i="13"/>
  <c r="L68" i="13"/>
  <c r="U67" i="13"/>
  <c r="T67" i="13"/>
  <c r="S67" i="13"/>
  <c r="J67" i="13"/>
  <c r="Y67" i="13" s="1"/>
  <c r="Y66" i="13"/>
  <c r="V66" i="13"/>
  <c r="T66" i="13"/>
  <c r="S66" i="13"/>
  <c r="R66" i="13"/>
  <c r="Q66" i="13"/>
  <c r="R65" i="13"/>
  <c r="Q65" i="13"/>
  <c r="P65" i="13"/>
  <c r="O65" i="13"/>
  <c r="U60" i="13"/>
  <c r="L60" i="13"/>
  <c r="K60" i="13"/>
  <c r="R59" i="13"/>
  <c r="P59" i="13"/>
  <c r="O59" i="13"/>
  <c r="N59" i="13"/>
  <c r="S58" i="13"/>
  <c r="K58" i="13"/>
  <c r="V57" i="13"/>
  <c r="U57" i="13"/>
  <c r="R56" i="13"/>
  <c r="Q56" i="13"/>
  <c r="P56" i="13"/>
  <c r="O56" i="13"/>
  <c r="M55" i="13"/>
  <c r="K55" i="13"/>
  <c r="T51" i="13"/>
  <c r="V50" i="13"/>
  <c r="U50" i="13"/>
  <c r="T50" i="13"/>
  <c r="S50" i="13"/>
  <c r="R50" i="13"/>
  <c r="Q50" i="13"/>
  <c r="P50" i="13"/>
  <c r="O50" i="13"/>
  <c r="N50" i="13"/>
  <c r="M50" i="13"/>
  <c r="L50" i="13"/>
  <c r="K50" i="13"/>
  <c r="V49" i="13"/>
  <c r="U49" i="13"/>
  <c r="T49" i="13"/>
  <c r="S49" i="13"/>
  <c r="R49" i="13"/>
  <c r="Q49" i="13"/>
  <c r="P49" i="13"/>
  <c r="O49" i="13"/>
  <c r="N49" i="13"/>
  <c r="M49" i="13"/>
  <c r="L49" i="13"/>
  <c r="K49" i="13"/>
  <c r="W48" i="13"/>
  <c r="V48" i="13"/>
  <c r="U48" i="13"/>
  <c r="T48" i="13"/>
  <c r="S48" i="13"/>
  <c r="R48" i="13"/>
  <c r="Q48" i="13"/>
  <c r="P48" i="13"/>
  <c r="O48" i="13"/>
  <c r="N48" i="13"/>
  <c r="M48" i="13"/>
  <c r="L48" i="13"/>
  <c r="K48" i="13"/>
  <c r="E48" i="13"/>
  <c r="V47" i="13"/>
  <c r="U47" i="13"/>
  <c r="W47" i="13" s="1"/>
  <c r="T47" i="13"/>
  <c r="S47" i="13"/>
  <c r="R47" i="13"/>
  <c r="Q47" i="13"/>
  <c r="P47" i="13"/>
  <c r="O47" i="13"/>
  <c r="N47" i="13"/>
  <c r="M47" i="13"/>
  <c r="L47" i="13"/>
  <c r="K47" i="13"/>
  <c r="V46" i="13"/>
  <c r="U46" i="13"/>
  <c r="U56" i="13" s="1"/>
  <c r="T46" i="13"/>
  <c r="T56" i="13" s="1"/>
  <c r="S46" i="13"/>
  <c r="S51" i="13" s="1"/>
  <c r="R46" i="13"/>
  <c r="Q46" i="13"/>
  <c r="P46" i="13"/>
  <c r="O46" i="13"/>
  <c r="N46" i="13"/>
  <c r="M46" i="13"/>
  <c r="L46" i="13"/>
  <c r="K46" i="13"/>
  <c r="V45" i="13"/>
  <c r="U45" i="13"/>
  <c r="T45" i="13"/>
  <c r="S45" i="13"/>
  <c r="R45" i="13"/>
  <c r="R51" i="13" s="1"/>
  <c r="Q45" i="13"/>
  <c r="P45" i="13"/>
  <c r="P55" i="13" s="1"/>
  <c r="O45" i="13"/>
  <c r="N45" i="13"/>
  <c r="M45" i="13"/>
  <c r="L45" i="13"/>
  <c r="K45" i="13"/>
  <c r="V44" i="13"/>
  <c r="U44" i="13"/>
  <c r="T44" i="13"/>
  <c r="S44" i="13"/>
  <c r="R44" i="13"/>
  <c r="Q44" i="13"/>
  <c r="P44" i="13"/>
  <c r="P51" i="13" s="1"/>
  <c r="O44" i="13"/>
  <c r="O51" i="13" s="1"/>
  <c r="N44" i="13"/>
  <c r="N51" i="13" s="1"/>
  <c r="M44" i="13"/>
  <c r="L44" i="13"/>
  <c r="K44" i="13"/>
  <c r="Q40" i="13"/>
  <c r="L40" i="13"/>
  <c r="K40" i="13"/>
  <c r="R39" i="13"/>
  <c r="Q39" i="13"/>
  <c r="P39" i="13"/>
  <c r="O39" i="13"/>
  <c r="N39" i="13"/>
  <c r="L39" i="13"/>
  <c r="K39" i="13"/>
  <c r="U38" i="13"/>
  <c r="N38" i="13"/>
  <c r="O37" i="13"/>
  <c r="N37" i="13"/>
  <c r="M37" i="13"/>
  <c r="L37" i="13"/>
  <c r="V35" i="13"/>
  <c r="U35" i="13"/>
  <c r="L34" i="13"/>
  <c r="J26" i="13"/>
  <c r="J25" i="13"/>
  <c r="V23" i="13"/>
  <c r="U23" i="13"/>
  <c r="AF8" i="13" s="1"/>
  <c r="O22" i="13"/>
  <c r="N22" i="13"/>
  <c r="M22" i="13"/>
  <c r="L22" i="13"/>
  <c r="K22" i="13"/>
  <c r="W22" i="13" s="1"/>
  <c r="V21" i="13"/>
  <c r="U21" i="13"/>
  <c r="T21" i="13"/>
  <c r="S21" i="13"/>
  <c r="R21" i="13"/>
  <c r="Q21" i="13"/>
  <c r="P21" i="13"/>
  <c r="O21" i="13"/>
  <c r="N21" i="13"/>
  <c r="V20" i="13"/>
  <c r="U20" i="13"/>
  <c r="T20" i="13"/>
  <c r="S20" i="13"/>
  <c r="R20" i="13"/>
  <c r="Q20" i="13"/>
  <c r="P20" i="13"/>
  <c r="O20" i="13"/>
  <c r="N20" i="13"/>
  <c r="M20" i="13"/>
  <c r="L20" i="13"/>
  <c r="W19" i="13"/>
  <c r="W18" i="13"/>
  <c r="X18" i="13" s="1"/>
  <c r="Y18" i="13" s="1"/>
  <c r="W17" i="13"/>
  <c r="X17" i="13" s="1"/>
  <c r="Y17" i="13" s="1"/>
  <c r="M14" i="13"/>
  <c r="K14" i="13"/>
  <c r="J14" i="13"/>
  <c r="AA13" i="13"/>
  <c r="V13" i="13"/>
  <c r="V60" i="13" s="1"/>
  <c r="U13" i="13"/>
  <c r="U40" i="13" s="1"/>
  <c r="T13" i="13"/>
  <c r="T60" i="13" s="1"/>
  <c r="S13" i="13"/>
  <c r="S60" i="13" s="1"/>
  <c r="R13" i="13"/>
  <c r="R60" i="13" s="1"/>
  <c r="Q13" i="13"/>
  <c r="Q71" i="13" s="1"/>
  <c r="P13" i="13"/>
  <c r="O13" i="13"/>
  <c r="N13" i="13"/>
  <c r="M13" i="13"/>
  <c r="L13" i="13"/>
  <c r="L71" i="13" s="1"/>
  <c r="K13" i="13"/>
  <c r="K71" i="13" s="1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AA11" i="13"/>
  <c r="V11" i="13"/>
  <c r="U11" i="13"/>
  <c r="X11" i="13" s="1"/>
  <c r="T11" i="13"/>
  <c r="S11" i="13"/>
  <c r="R11" i="13"/>
  <c r="Q11" i="13"/>
  <c r="Q43" i="12" s="1"/>
  <c r="P11" i="13"/>
  <c r="O11" i="13"/>
  <c r="N11" i="13"/>
  <c r="M11" i="13"/>
  <c r="L11" i="13"/>
  <c r="K11" i="13"/>
  <c r="J11" i="13"/>
  <c r="X10" i="13"/>
  <c r="V10" i="13"/>
  <c r="U10" i="13"/>
  <c r="T10" i="13"/>
  <c r="S10" i="13"/>
  <c r="R10" i="13"/>
  <c r="Q10" i="13"/>
  <c r="W10" i="13" s="1"/>
  <c r="P10" i="13"/>
  <c r="O10" i="13"/>
  <c r="N10" i="13"/>
  <c r="M10" i="13"/>
  <c r="L10" i="13"/>
  <c r="K10" i="13"/>
  <c r="J10" i="13"/>
  <c r="AA10" i="13" s="1"/>
  <c r="V9" i="13"/>
  <c r="U9" i="13"/>
  <c r="T9" i="13"/>
  <c r="S9" i="13"/>
  <c r="S59" i="13" s="1"/>
  <c r="R9" i="13"/>
  <c r="Q9" i="13"/>
  <c r="P9" i="13"/>
  <c r="O9" i="13"/>
  <c r="N9" i="13"/>
  <c r="N70" i="13" s="1"/>
  <c r="M9" i="13"/>
  <c r="M59" i="13" s="1"/>
  <c r="L9" i="13"/>
  <c r="L70" i="13" s="1"/>
  <c r="K9" i="13"/>
  <c r="K70" i="13" s="1"/>
  <c r="J9" i="13"/>
  <c r="J70" i="13" s="1"/>
  <c r="Y70" i="13" s="1"/>
  <c r="AG8" i="13"/>
  <c r="AE8" i="13"/>
  <c r="AA8" i="13"/>
  <c r="V8" i="13"/>
  <c r="V38" i="13" s="1"/>
  <c r="U8" i="13"/>
  <c r="X8" i="13" s="1"/>
  <c r="T8" i="13"/>
  <c r="T38" i="13" s="1"/>
  <c r="S8" i="13"/>
  <c r="S38" i="13" s="1"/>
  <c r="R8" i="13"/>
  <c r="R58" i="13" s="1"/>
  <c r="Q8" i="13"/>
  <c r="Q38" i="13" s="1"/>
  <c r="P8" i="13"/>
  <c r="P58" i="13" s="1"/>
  <c r="O8" i="13"/>
  <c r="O38" i="13" s="1"/>
  <c r="N8" i="13"/>
  <c r="M8" i="13"/>
  <c r="L8" i="13"/>
  <c r="L69" i="13" s="1"/>
  <c r="K8" i="13"/>
  <c r="K38" i="13" s="1"/>
  <c r="AH7" i="13"/>
  <c r="AG7" i="13"/>
  <c r="AF7" i="13"/>
  <c r="AE7" i="13"/>
  <c r="AA7" i="13"/>
  <c r="V7" i="13"/>
  <c r="V68" i="13" s="1"/>
  <c r="U7" i="13"/>
  <c r="U68" i="13" s="1"/>
  <c r="T7" i="13"/>
  <c r="T57" i="13" s="1"/>
  <c r="S7" i="13"/>
  <c r="R7" i="13"/>
  <c r="Q7" i="13"/>
  <c r="P7" i="13"/>
  <c r="O7" i="13"/>
  <c r="O57" i="13" s="1"/>
  <c r="N7" i="13"/>
  <c r="N57" i="13" s="1"/>
  <c r="M7" i="13"/>
  <c r="L7" i="13"/>
  <c r="L57" i="13" s="1"/>
  <c r="K7" i="13"/>
  <c r="K37" i="13" s="1"/>
  <c r="AG6" i="13"/>
  <c r="AA6" i="13"/>
  <c r="X6" i="13"/>
  <c r="W6" i="13"/>
  <c r="V6" i="13"/>
  <c r="V56" i="13" s="1"/>
  <c r="U6" i="13"/>
  <c r="U36" i="13" s="1"/>
  <c r="T6" i="13"/>
  <c r="T36" i="13" s="1"/>
  <c r="S6" i="13"/>
  <c r="S36" i="13" s="1"/>
  <c r="R6" i="13"/>
  <c r="R67" i="13" s="1"/>
  <c r="Q6" i="13"/>
  <c r="Q67" i="13" s="1"/>
  <c r="P6" i="13"/>
  <c r="P67" i="13" s="1"/>
  <c r="O6" i="13"/>
  <c r="O67" i="13" s="1"/>
  <c r="N6" i="13"/>
  <c r="N56" i="13" s="1"/>
  <c r="M6" i="13"/>
  <c r="M56" i="13" s="1"/>
  <c r="L6" i="13"/>
  <c r="L56" i="13" s="1"/>
  <c r="K6" i="13"/>
  <c r="K67" i="13" s="1"/>
  <c r="AG5" i="13"/>
  <c r="V5" i="13"/>
  <c r="V55" i="13" s="1"/>
  <c r="U5" i="13"/>
  <c r="U66" i="13" s="1"/>
  <c r="T5" i="13"/>
  <c r="T35" i="13" s="1"/>
  <c r="S5" i="13"/>
  <c r="S35" i="13" s="1"/>
  <c r="R5" i="13"/>
  <c r="R35" i="13" s="1"/>
  <c r="Q5" i="13"/>
  <c r="Q35" i="13" s="1"/>
  <c r="P5" i="13"/>
  <c r="P66" i="13" s="1"/>
  <c r="O5" i="13"/>
  <c r="N5" i="13"/>
  <c r="M5" i="13"/>
  <c r="L5" i="13"/>
  <c r="L55" i="13" s="1"/>
  <c r="K5" i="13"/>
  <c r="K66" i="13" s="1"/>
  <c r="J5" i="13"/>
  <c r="J66" i="13" s="1"/>
  <c r="AG4" i="13"/>
  <c r="AF4" i="13"/>
  <c r="AE4" i="13"/>
  <c r="V4" i="13"/>
  <c r="U4" i="13"/>
  <c r="T4" i="13"/>
  <c r="S4" i="13"/>
  <c r="R4" i="13"/>
  <c r="R34" i="13" s="1"/>
  <c r="Q4" i="13"/>
  <c r="Q54" i="13" s="1"/>
  <c r="P4" i="13"/>
  <c r="P34" i="13" s="1"/>
  <c r="O4" i="13"/>
  <c r="O34" i="13" s="1"/>
  <c r="N4" i="13"/>
  <c r="N65" i="13" s="1"/>
  <c r="M4" i="13"/>
  <c r="M65" i="13" s="1"/>
  <c r="L4" i="13"/>
  <c r="L65" i="13" s="1"/>
  <c r="K4" i="13"/>
  <c r="K65" i="13" s="1"/>
  <c r="J4" i="13"/>
  <c r="J65" i="13" s="1"/>
  <c r="AH3" i="13"/>
  <c r="AF3" i="13"/>
  <c r="E486" i="12"/>
  <c r="E143" i="12"/>
  <c r="V130" i="12"/>
  <c r="U130" i="12"/>
  <c r="T130" i="12"/>
  <c r="S130" i="12"/>
  <c r="R130" i="12"/>
  <c r="Q130" i="12"/>
  <c r="P130" i="12"/>
  <c r="O130" i="12"/>
  <c r="N130" i="12"/>
  <c r="M130" i="12"/>
  <c r="L130" i="12"/>
  <c r="K130" i="12"/>
  <c r="Q121" i="12"/>
  <c r="Q124" i="12" s="1"/>
  <c r="P121" i="12"/>
  <c r="P124" i="12" s="1"/>
  <c r="V120" i="12"/>
  <c r="U120" i="12"/>
  <c r="T120" i="12"/>
  <c r="S120" i="12"/>
  <c r="R120" i="12"/>
  <c r="Q120" i="12"/>
  <c r="P120" i="12"/>
  <c r="O120" i="12"/>
  <c r="N120" i="12"/>
  <c r="M120" i="12"/>
  <c r="L120" i="12"/>
  <c r="K120" i="12"/>
  <c r="V119" i="12"/>
  <c r="U119" i="12"/>
  <c r="T119" i="12"/>
  <c r="S119" i="12"/>
  <c r="R119" i="12"/>
  <c r="Q119" i="12"/>
  <c r="P119" i="12"/>
  <c r="O119" i="12"/>
  <c r="N119" i="12"/>
  <c r="M119" i="12"/>
  <c r="L119" i="12"/>
  <c r="K119" i="12"/>
  <c r="V118" i="12"/>
  <c r="U118" i="12"/>
  <c r="T118" i="12"/>
  <c r="S118" i="12"/>
  <c r="R118" i="12"/>
  <c r="Q118" i="12"/>
  <c r="P118" i="12"/>
  <c r="O118" i="12"/>
  <c r="N118" i="12"/>
  <c r="M118" i="12"/>
  <c r="L118" i="12"/>
  <c r="K118" i="12"/>
  <c r="V117" i="12"/>
  <c r="U117" i="12"/>
  <c r="T117" i="12"/>
  <c r="S117" i="12"/>
  <c r="R117" i="12"/>
  <c r="Q117" i="12"/>
  <c r="P117" i="12"/>
  <c r="O117" i="12"/>
  <c r="N117" i="12"/>
  <c r="M117" i="12"/>
  <c r="L117" i="12"/>
  <c r="K117" i="12"/>
  <c r="W117" i="12" s="1"/>
  <c r="V116" i="12"/>
  <c r="U116" i="12"/>
  <c r="T116" i="12"/>
  <c r="S116" i="12"/>
  <c r="R116" i="12"/>
  <c r="Q116" i="12"/>
  <c r="P116" i="12"/>
  <c r="O116" i="12"/>
  <c r="N116" i="12"/>
  <c r="M116" i="12"/>
  <c r="L116" i="12"/>
  <c r="K116" i="12"/>
  <c r="W116" i="12" s="1"/>
  <c r="V115" i="12"/>
  <c r="V125" i="12" s="1"/>
  <c r="V135" i="12" s="1"/>
  <c r="U115" i="12"/>
  <c r="U125" i="12" s="1"/>
  <c r="U135" i="12" s="1"/>
  <c r="T115" i="12"/>
  <c r="T125" i="12" s="1"/>
  <c r="T135" i="12" s="1"/>
  <c r="S115" i="12"/>
  <c r="S125" i="12" s="1"/>
  <c r="S135" i="12" s="1"/>
  <c r="R115" i="12"/>
  <c r="R125" i="12" s="1"/>
  <c r="R135" i="12" s="1"/>
  <c r="Q115" i="12"/>
  <c r="Q125" i="12" s="1"/>
  <c r="Q135" i="12" s="1"/>
  <c r="P115" i="12"/>
  <c r="P125" i="12" s="1"/>
  <c r="P135" i="12" s="1"/>
  <c r="O115" i="12"/>
  <c r="O125" i="12" s="1"/>
  <c r="O135" i="12" s="1"/>
  <c r="N115" i="12"/>
  <c r="N125" i="12" s="1"/>
  <c r="N135" i="12" s="1"/>
  <c r="M115" i="12"/>
  <c r="M125" i="12" s="1"/>
  <c r="M135" i="12" s="1"/>
  <c r="L115" i="12"/>
  <c r="L125" i="12" s="1"/>
  <c r="L135" i="12" s="1"/>
  <c r="K115" i="12"/>
  <c r="K125" i="12" s="1"/>
  <c r="K135" i="12" s="1"/>
  <c r="V114" i="12"/>
  <c r="U114" i="12"/>
  <c r="U121" i="12" s="1"/>
  <c r="U124" i="12" s="1"/>
  <c r="T114" i="12"/>
  <c r="T121" i="12" s="1"/>
  <c r="T124" i="12" s="1"/>
  <c r="S114" i="12"/>
  <c r="S121" i="12" s="1"/>
  <c r="S124" i="12" s="1"/>
  <c r="R114" i="12"/>
  <c r="Q114" i="12"/>
  <c r="P114" i="12"/>
  <c r="O114" i="12"/>
  <c r="N114" i="12"/>
  <c r="N121" i="12" s="1"/>
  <c r="N124" i="12" s="1"/>
  <c r="M114" i="12"/>
  <c r="L114" i="12"/>
  <c r="K114" i="12"/>
  <c r="W109" i="12"/>
  <c r="O108" i="12"/>
  <c r="T107" i="12"/>
  <c r="S107" i="12"/>
  <c r="R107" i="12"/>
  <c r="Q107" i="12"/>
  <c r="O107" i="12"/>
  <c r="M107" i="12"/>
  <c r="L106" i="12"/>
  <c r="T105" i="12"/>
  <c r="T108" i="12" s="1"/>
  <c r="V101" i="12"/>
  <c r="V107" i="12" s="1"/>
  <c r="U101" i="12"/>
  <c r="U107" i="12" s="1"/>
  <c r="T101" i="12"/>
  <c r="S101" i="12"/>
  <c r="R101" i="12"/>
  <c r="Q101" i="12"/>
  <c r="P101" i="12"/>
  <c r="P107" i="12" s="1"/>
  <c r="O101" i="12"/>
  <c r="N101" i="12"/>
  <c r="N107" i="12" s="1"/>
  <c r="M101" i="12"/>
  <c r="L101" i="12"/>
  <c r="L107" i="12" s="1"/>
  <c r="K101" i="12"/>
  <c r="K107" i="12" s="1"/>
  <c r="V100" i="12"/>
  <c r="U100" i="12"/>
  <c r="T100" i="12"/>
  <c r="S100" i="12"/>
  <c r="R100" i="12"/>
  <c r="Q100" i="12"/>
  <c r="P100" i="12"/>
  <c r="O100" i="12"/>
  <c r="N100" i="12"/>
  <c r="M100" i="12"/>
  <c r="L100" i="12"/>
  <c r="K100" i="12"/>
  <c r="V99" i="12"/>
  <c r="U99" i="12"/>
  <c r="T99" i="12"/>
  <c r="S99" i="12"/>
  <c r="R99" i="12"/>
  <c r="Q99" i="12"/>
  <c r="P99" i="12"/>
  <c r="O99" i="12"/>
  <c r="N99" i="12"/>
  <c r="M99" i="12"/>
  <c r="L99" i="12"/>
  <c r="K99" i="12"/>
  <c r="W99" i="12" s="1"/>
  <c r="V98" i="12"/>
  <c r="U98" i="12"/>
  <c r="T98" i="12"/>
  <c r="S98" i="12"/>
  <c r="R98" i="12"/>
  <c r="Q98" i="12"/>
  <c r="P98" i="12"/>
  <c r="O98" i="12"/>
  <c r="N98" i="12"/>
  <c r="M98" i="12"/>
  <c r="L98" i="12"/>
  <c r="K98" i="12"/>
  <c r="W98" i="12" s="1"/>
  <c r="AH97" i="12"/>
  <c r="V97" i="12"/>
  <c r="U97" i="12"/>
  <c r="T97" i="12"/>
  <c r="S97" i="12"/>
  <c r="R97" i="12"/>
  <c r="Q97" i="12"/>
  <c r="P97" i="12"/>
  <c r="O97" i="12"/>
  <c r="N97" i="12"/>
  <c r="M97" i="12"/>
  <c r="L97" i="12"/>
  <c r="K97" i="12"/>
  <c r="V96" i="12"/>
  <c r="U96" i="12"/>
  <c r="T96" i="12"/>
  <c r="S96" i="12"/>
  <c r="R96" i="12"/>
  <c r="Q96" i="12"/>
  <c r="P96" i="12"/>
  <c r="O96" i="12"/>
  <c r="N96" i="12"/>
  <c r="M96" i="12"/>
  <c r="L96" i="12"/>
  <c r="K96" i="12"/>
  <c r="W95" i="12"/>
  <c r="V95" i="12"/>
  <c r="U95" i="12"/>
  <c r="T95" i="12"/>
  <c r="S95" i="12"/>
  <c r="R95" i="12"/>
  <c r="Q95" i="12"/>
  <c r="P95" i="12"/>
  <c r="O95" i="12"/>
  <c r="N95" i="12"/>
  <c r="M95" i="12"/>
  <c r="L95" i="12"/>
  <c r="K95" i="12"/>
  <c r="W94" i="12"/>
  <c r="V94" i="12"/>
  <c r="V106" i="12" s="1"/>
  <c r="U94" i="12"/>
  <c r="U106" i="12" s="1"/>
  <c r="T94" i="12"/>
  <c r="T106" i="12" s="1"/>
  <c r="S94" i="12"/>
  <c r="S106" i="12" s="1"/>
  <c r="R94" i="12"/>
  <c r="R106" i="12" s="1"/>
  <c r="Q94" i="12"/>
  <c r="Q106" i="12" s="1"/>
  <c r="P94" i="12"/>
  <c r="P106" i="12" s="1"/>
  <c r="O94" i="12"/>
  <c r="O106" i="12" s="1"/>
  <c r="N94" i="12"/>
  <c r="N106" i="12" s="1"/>
  <c r="W106" i="12" s="1"/>
  <c r="M94" i="12"/>
  <c r="M106" i="12" s="1"/>
  <c r="L94" i="12"/>
  <c r="K94" i="12"/>
  <c r="K106" i="12" s="1"/>
  <c r="W93" i="12"/>
  <c r="V93" i="12"/>
  <c r="V105" i="12" s="1"/>
  <c r="V108" i="12" s="1"/>
  <c r="U93" i="12"/>
  <c r="U102" i="12" s="1"/>
  <c r="T93" i="12"/>
  <c r="T102" i="12" s="1"/>
  <c r="T122" i="12" s="1"/>
  <c r="S93" i="12"/>
  <c r="R93" i="12"/>
  <c r="Q93" i="12"/>
  <c r="P93" i="12"/>
  <c r="O93" i="12"/>
  <c r="O105" i="12" s="1"/>
  <c r="N93" i="12"/>
  <c r="M93" i="12"/>
  <c r="M105" i="12" s="1"/>
  <c r="M108" i="12" s="1"/>
  <c r="L93" i="12"/>
  <c r="L105" i="12" s="1"/>
  <c r="K93" i="12"/>
  <c r="K105" i="12" s="1"/>
  <c r="S89" i="12"/>
  <c r="Q89" i="12"/>
  <c r="P89" i="12"/>
  <c r="J89" i="12"/>
  <c r="V88" i="12"/>
  <c r="Q88" i="12"/>
  <c r="O88" i="12"/>
  <c r="N88" i="12"/>
  <c r="M88" i="12"/>
  <c r="N87" i="12"/>
  <c r="M87" i="12"/>
  <c r="L87" i="12"/>
  <c r="K87" i="12"/>
  <c r="J86" i="12"/>
  <c r="L85" i="12"/>
  <c r="K85" i="12"/>
  <c r="J85" i="12"/>
  <c r="Y85" i="12" s="1"/>
  <c r="M84" i="12"/>
  <c r="L84" i="12"/>
  <c r="K84" i="12"/>
  <c r="J84" i="12"/>
  <c r="Y84" i="12" s="1"/>
  <c r="Y83" i="12"/>
  <c r="N83" i="12"/>
  <c r="M83" i="12"/>
  <c r="L83" i="12"/>
  <c r="J83" i="12"/>
  <c r="J82" i="12"/>
  <c r="M81" i="12"/>
  <c r="L81" i="12"/>
  <c r="K81" i="12"/>
  <c r="J81" i="12"/>
  <c r="Y81" i="12" s="1"/>
  <c r="Y80" i="12"/>
  <c r="N80" i="12"/>
  <c r="L80" i="12"/>
  <c r="J80" i="12"/>
  <c r="J79" i="12"/>
  <c r="Y79" i="12" s="1"/>
  <c r="V73" i="12"/>
  <c r="T72" i="12"/>
  <c r="S72" i="12"/>
  <c r="R72" i="12"/>
  <c r="Q72" i="12"/>
  <c r="Q71" i="12"/>
  <c r="P71" i="12"/>
  <c r="O71" i="12"/>
  <c r="N71" i="12"/>
  <c r="N70" i="12"/>
  <c r="M70" i="12"/>
  <c r="L70" i="12"/>
  <c r="K70" i="12"/>
  <c r="K69" i="12"/>
  <c r="U67" i="12"/>
  <c r="T67" i="12"/>
  <c r="S67" i="12"/>
  <c r="R67" i="12"/>
  <c r="O66" i="12"/>
  <c r="O65" i="12"/>
  <c r="N65" i="12"/>
  <c r="M65" i="12"/>
  <c r="L65" i="12"/>
  <c r="K64" i="12"/>
  <c r="V60" i="12"/>
  <c r="U60" i="12"/>
  <c r="T60" i="12"/>
  <c r="S60" i="12"/>
  <c r="R60" i="12"/>
  <c r="Q60" i="12"/>
  <c r="P60" i="12"/>
  <c r="O60" i="12"/>
  <c r="N60" i="12"/>
  <c r="M60" i="12"/>
  <c r="L60" i="12"/>
  <c r="K60" i="12"/>
  <c r="W60" i="12" s="1"/>
  <c r="V59" i="12"/>
  <c r="U59" i="12"/>
  <c r="T59" i="12"/>
  <c r="S59" i="12"/>
  <c r="R59" i="12"/>
  <c r="Q59" i="12"/>
  <c r="P59" i="12"/>
  <c r="O59" i="12"/>
  <c r="N59" i="12"/>
  <c r="M59" i="12"/>
  <c r="L59" i="12"/>
  <c r="K59" i="12"/>
  <c r="V58" i="12"/>
  <c r="U58" i="12"/>
  <c r="T58" i="12"/>
  <c r="S58" i="12"/>
  <c r="R58" i="12"/>
  <c r="Q58" i="12"/>
  <c r="P58" i="12"/>
  <c r="O58" i="12"/>
  <c r="N58" i="12"/>
  <c r="M58" i="12"/>
  <c r="L58" i="12"/>
  <c r="K58" i="12"/>
  <c r="V57" i="12"/>
  <c r="U57" i="12"/>
  <c r="T57" i="12"/>
  <c r="S57" i="12"/>
  <c r="R57" i="12"/>
  <c r="Q57" i="12"/>
  <c r="P57" i="12"/>
  <c r="O57" i="12"/>
  <c r="N57" i="12"/>
  <c r="M57" i="12"/>
  <c r="L57" i="12"/>
  <c r="K57" i="12"/>
  <c r="W57" i="12" s="1"/>
  <c r="W56" i="12"/>
  <c r="V56" i="12"/>
  <c r="U56" i="12"/>
  <c r="T56" i="12"/>
  <c r="S56" i="12"/>
  <c r="R56" i="12"/>
  <c r="Q56" i="12"/>
  <c r="P56" i="12"/>
  <c r="O56" i="12"/>
  <c r="N56" i="12"/>
  <c r="M56" i="12"/>
  <c r="L56" i="12"/>
  <c r="K56" i="12"/>
  <c r="V55" i="12"/>
  <c r="U55" i="12"/>
  <c r="W55" i="12" s="1"/>
  <c r="T55" i="12"/>
  <c r="S55" i="12"/>
  <c r="R55" i="12"/>
  <c r="Q55" i="12"/>
  <c r="P55" i="12"/>
  <c r="O55" i="12"/>
  <c r="N55" i="12"/>
  <c r="M55" i="12"/>
  <c r="L55" i="12"/>
  <c r="K55" i="12"/>
  <c r="V54" i="12"/>
  <c r="U54" i="12"/>
  <c r="T54" i="12"/>
  <c r="S54" i="12"/>
  <c r="R54" i="12"/>
  <c r="Q54" i="12"/>
  <c r="P54" i="12"/>
  <c r="O54" i="12"/>
  <c r="N54" i="12"/>
  <c r="M54" i="12"/>
  <c r="L54" i="12"/>
  <c r="K54" i="12"/>
  <c r="V53" i="12"/>
  <c r="U53" i="12"/>
  <c r="T53" i="12"/>
  <c r="S53" i="12"/>
  <c r="R53" i="12"/>
  <c r="Q53" i="12"/>
  <c r="P53" i="12"/>
  <c r="O53" i="12"/>
  <c r="N53" i="12"/>
  <c r="M53" i="12"/>
  <c r="L53" i="12"/>
  <c r="K53" i="12"/>
  <c r="V52" i="12"/>
  <c r="U52" i="12"/>
  <c r="T52" i="12"/>
  <c r="S52" i="12"/>
  <c r="R52" i="12"/>
  <c r="Q52" i="12"/>
  <c r="P52" i="12"/>
  <c r="O52" i="12"/>
  <c r="N52" i="12"/>
  <c r="M52" i="12"/>
  <c r="L52" i="12"/>
  <c r="K52" i="12"/>
  <c r="V51" i="12"/>
  <c r="U51" i="12"/>
  <c r="T51" i="12"/>
  <c r="S51" i="12"/>
  <c r="R51" i="12"/>
  <c r="Q51" i="12"/>
  <c r="P51" i="12"/>
  <c r="O51" i="12"/>
  <c r="N51" i="12"/>
  <c r="M51" i="12"/>
  <c r="L51" i="12"/>
  <c r="K51" i="12"/>
  <c r="W51" i="12" s="1"/>
  <c r="V50" i="12"/>
  <c r="V61" i="12" s="1"/>
  <c r="U50" i="12"/>
  <c r="T50" i="12"/>
  <c r="T61" i="12" s="1"/>
  <c r="S50" i="12"/>
  <c r="S61" i="12" s="1"/>
  <c r="R50" i="12"/>
  <c r="R61" i="12" s="1"/>
  <c r="Q50" i="12"/>
  <c r="P50" i="12"/>
  <c r="P61" i="12" s="1"/>
  <c r="O50" i="12"/>
  <c r="O61" i="12" s="1"/>
  <c r="N50" i="12"/>
  <c r="M50" i="12"/>
  <c r="L50" i="12"/>
  <c r="K50" i="12"/>
  <c r="S46" i="12"/>
  <c r="Q46" i="12"/>
  <c r="N46" i="12"/>
  <c r="L46" i="12"/>
  <c r="V45" i="12"/>
  <c r="S45" i="12"/>
  <c r="R45" i="12"/>
  <c r="N45" i="12"/>
  <c r="T44" i="12"/>
  <c r="S44" i="12"/>
  <c r="R44" i="12"/>
  <c r="Q44" i="12"/>
  <c r="O44" i="12"/>
  <c r="M44" i="12"/>
  <c r="S43" i="12"/>
  <c r="R43" i="12"/>
  <c r="P43" i="12"/>
  <c r="N43" i="12"/>
  <c r="R42" i="12"/>
  <c r="U41" i="12"/>
  <c r="S41" i="12"/>
  <c r="Q41" i="12"/>
  <c r="P41" i="12"/>
  <c r="O41" i="12"/>
  <c r="N41" i="12"/>
  <c r="P40" i="12"/>
  <c r="O40" i="12"/>
  <c r="N40" i="12"/>
  <c r="M40" i="12"/>
  <c r="O39" i="12"/>
  <c r="N39" i="12"/>
  <c r="N38" i="12"/>
  <c r="M38" i="12"/>
  <c r="L38" i="12"/>
  <c r="K38" i="12"/>
  <c r="L37" i="12"/>
  <c r="K37" i="12"/>
  <c r="K36" i="12"/>
  <c r="S27" i="12"/>
  <c r="Q27" i="12"/>
  <c r="P27" i="12"/>
  <c r="O27" i="12"/>
  <c r="N27" i="12"/>
  <c r="M27" i="12"/>
  <c r="W25" i="12"/>
  <c r="V25" i="12"/>
  <c r="AF9" i="12" s="1"/>
  <c r="U25" i="12"/>
  <c r="O24" i="12"/>
  <c r="N24" i="12"/>
  <c r="AF8" i="12" s="1"/>
  <c r="AH8" i="12" s="1"/>
  <c r="M24" i="12"/>
  <c r="L24" i="12"/>
  <c r="L27" i="12" s="1"/>
  <c r="K24" i="12"/>
  <c r="V23" i="12"/>
  <c r="U23" i="12"/>
  <c r="T23" i="12"/>
  <c r="S23" i="12"/>
  <c r="R23" i="12"/>
  <c r="Q23" i="12"/>
  <c r="P23" i="12"/>
  <c r="O23" i="12"/>
  <c r="W23" i="12" s="1"/>
  <c r="N23" i="12"/>
  <c r="V22" i="12"/>
  <c r="V27" i="12" s="1"/>
  <c r="U22" i="12"/>
  <c r="U27" i="12" s="1"/>
  <c r="T22" i="12"/>
  <c r="S22" i="12"/>
  <c r="R22" i="12"/>
  <c r="R27" i="12" s="1"/>
  <c r="Q22" i="12"/>
  <c r="P22" i="12"/>
  <c r="O22" i="12"/>
  <c r="N22" i="12"/>
  <c r="M22" i="12"/>
  <c r="L22" i="12"/>
  <c r="E22" i="12"/>
  <c r="J27" i="12" s="1"/>
  <c r="W21" i="12"/>
  <c r="W20" i="12"/>
  <c r="X19" i="12"/>
  <c r="Y19" i="12" s="1"/>
  <c r="W19" i="12"/>
  <c r="Q16" i="12"/>
  <c r="V15" i="12"/>
  <c r="U15" i="12"/>
  <c r="T15" i="12"/>
  <c r="T74" i="12" s="1"/>
  <c r="S15" i="12"/>
  <c r="S74" i="12" s="1"/>
  <c r="R15" i="12"/>
  <c r="R89" i="12" s="1"/>
  <c r="Q15" i="12"/>
  <c r="Q74" i="12" s="1"/>
  <c r="P15" i="12"/>
  <c r="P46" i="12" s="1"/>
  <c r="O15" i="12"/>
  <c r="O89" i="12" s="1"/>
  <c r="N15" i="12"/>
  <c r="N89" i="12" s="1"/>
  <c r="M15" i="12"/>
  <c r="M89" i="12" s="1"/>
  <c r="L15" i="12"/>
  <c r="L89" i="12" s="1"/>
  <c r="K15" i="12"/>
  <c r="K89" i="12" s="1"/>
  <c r="U14" i="12"/>
  <c r="U88" i="12" s="1"/>
  <c r="T14" i="12"/>
  <c r="S14" i="12"/>
  <c r="S73" i="12" s="1"/>
  <c r="R14" i="12"/>
  <c r="R73" i="12" s="1"/>
  <c r="Q14" i="12"/>
  <c r="Q45" i="12" s="1"/>
  <c r="P14" i="12"/>
  <c r="P88" i="12" s="1"/>
  <c r="O14" i="12"/>
  <c r="O45" i="12" s="1"/>
  <c r="N14" i="12"/>
  <c r="N73" i="12" s="1"/>
  <c r="M14" i="12"/>
  <c r="M45" i="12" s="1"/>
  <c r="L14" i="12"/>
  <c r="L88" i="12" s="1"/>
  <c r="K14" i="12"/>
  <c r="K88" i="12" s="1"/>
  <c r="J14" i="12"/>
  <c r="J88" i="12" s="1"/>
  <c r="W13" i="12"/>
  <c r="V13" i="12"/>
  <c r="V87" i="12" s="1"/>
  <c r="U13" i="12"/>
  <c r="U87" i="12" s="1"/>
  <c r="T13" i="12"/>
  <c r="T87" i="12" s="1"/>
  <c r="S13" i="12"/>
  <c r="S87" i="12" s="1"/>
  <c r="R13" i="12"/>
  <c r="R87" i="12" s="1"/>
  <c r="Q13" i="12"/>
  <c r="Q87" i="12" s="1"/>
  <c r="P13" i="12"/>
  <c r="P72" i="12" s="1"/>
  <c r="O13" i="12"/>
  <c r="O72" i="12" s="1"/>
  <c r="N13" i="12"/>
  <c r="N72" i="12" s="1"/>
  <c r="M13" i="12"/>
  <c r="M72" i="12" s="1"/>
  <c r="L13" i="12"/>
  <c r="L72" i="12" s="1"/>
  <c r="K13" i="12"/>
  <c r="K72" i="12" s="1"/>
  <c r="J13" i="12"/>
  <c r="V12" i="12"/>
  <c r="V86" i="12" s="1"/>
  <c r="U12" i="12"/>
  <c r="U86" i="12" s="1"/>
  <c r="T12" i="12"/>
  <c r="T86" i="12" s="1"/>
  <c r="S12" i="12"/>
  <c r="S86" i="12" s="1"/>
  <c r="R12" i="12"/>
  <c r="R86" i="12" s="1"/>
  <c r="Q12" i="12"/>
  <c r="Q86" i="12" s="1"/>
  <c r="P12" i="12"/>
  <c r="P86" i="12" s="1"/>
  <c r="O12" i="12"/>
  <c r="O43" i="12" s="1"/>
  <c r="N12" i="12"/>
  <c r="N86" i="12" s="1"/>
  <c r="M12" i="12"/>
  <c r="L12" i="12"/>
  <c r="K12" i="12"/>
  <c r="J12" i="12"/>
  <c r="J16" i="12" s="1"/>
  <c r="V11" i="12"/>
  <c r="V85" i="12" s="1"/>
  <c r="U11" i="12"/>
  <c r="U85" i="12" s="1"/>
  <c r="T11" i="12"/>
  <c r="T85" i="12" s="1"/>
  <c r="S11" i="12"/>
  <c r="S85" i="12" s="1"/>
  <c r="R11" i="12"/>
  <c r="R85" i="12" s="1"/>
  <c r="Q11" i="12"/>
  <c r="Q85" i="12" s="1"/>
  <c r="P11" i="12"/>
  <c r="O11" i="12"/>
  <c r="O42" i="12" s="1"/>
  <c r="N11" i="12"/>
  <c r="M11" i="12"/>
  <c r="L11" i="12"/>
  <c r="L42" i="12" s="1"/>
  <c r="K11" i="12"/>
  <c r="K42" i="12" s="1"/>
  <c r="V10" i="12"/>
  <c r="V69" i="12" s="1"/>
  <c r="U10" i="12"/>
  <c r="T10" i="12"/>
  <c r="T69" i="12" s="1"/>
  <c r="S10" i="12"/>
  <c r="S69" i="12" s="1"/>
  <c r="R10" i="12"/>
  <c r="Q10" i="12"/>
  <c r="P10" i="12"/>
  <c r="O10" i="12"/>
  <c r="N10" i="12"/>
  <c r="N69" i="12" s="1"/>
  <c r="M10" i="12"/>
  <c r="M41" i="12" s="1"/>
  <c r="L10" i="12"/>
  <c r="L41" i="12" s="1"/>
  <c r="K10" i="12"/>
  <c r="K41" i="12" s="1"/>
  <c r="V9" i="12"/>
  <c r="V68" i="12" s="1"/>
  <c r="U9" i="12"/>
  <c r="T9" i="12"/>
  <c r="T16" i="12" s="1"/>
  <c r="S9" i="12"/>
  <c r="S68" i="12" s="1"/>
  <c r="R9" i="12"/>
  <c r="Q9" i="12"/>
  <c r="Q68" i="12" s="1"/>
  <c r="P9" i="12"/>
  <c r="P68" i="12" s="1"/>
  <c r="O9" i="12"/>
  <c r="O68" i="12" s="1"/>
  <c r="N9" i="12"/>
  <c r="N68" i="12" s="1"/>
  <c r="M9" i="12"/>
  <c r="M68" i="12" s="1"/>
  <c r="L9" i="12"/>
  <c r="L40" i="12" s="1"/>
  <c r="K9" i="12"/>
  <c r="K40" i="12" s="1"/>
  <c r="AG8" i="12"/>
  <c r="V8" i="12"/>
  <c r="U8" i="12"/>
  <c r="U82" i="12" s="1"/>
  <c r="T8" i="12"/>
  <c r="T82" i="12" s="1"/>
  <c r="S8" i="12"/>
  <c r="S82" i="12" s="1"/>
  <c r="R8" i="12"/>
  <c r="R82" i="12" s="1"/>
  <c r="Q8" i="12"/>
  <c r="P8" i="12"/>
  <c r="P67" i="12" s="1"/>
  <c r="O8" i="12"/>
  <c r="N8" i="12"/>
  <c r="M8" i="12"/>
  <c r="L8" i="12"/>
  <c r="K8" i="12"/>
  <c r="AG7" i="12"/>
  <c r="AF7" i="12"/>
  <c r="AE7" i="12" s="1"/>
  <c r="W7" i="12"/>
  <c r="V7" i="12"/>
  <c r="V81" i="12" s="1"/>
  <c r="U7" i="12"/>
  <c r="U81" i="12" s="1"/>
  <c r="T7" i="12"/>
  <c r="T81" i="12" s="1"/>
  <c r="S7" i="12"/>
  <c r="R7" i="12"/>
  <c r="R66" i="12" s="1"/>
  <c r="Q7" i="12"/>
  <c r="Q66" i="12" s="1"/>
  <c r="P7" i="12"/>
  <c r="P66" i="12" s="1"/>
  <c r="O7" i="12"/>
  <c r="O81" i="12" s="1"/>
  <c r="N7" i="12"/>
  <c r="M7" i="12"/>
  <c r="L7" i="12"/>
  <c r="L66" i="12" s="1"/>
  <c r="K7" i="12"/>
  <c r="K66" i="12" s="1"/>
  <c r="AG6" i="12"/>
  <c r="V6" i="12"/>
  <c r="U6" i="12"/>
  <c r="U37" i="12" s="1"/>
  <c r="T6" i="12"/>
  <c r="T37" i="12" s="1"/>
  <c r="S6" i="12"/>
  <c r="S37" i="12" s="1"/>
  <c r="R6" i="12"/>
  <c r="R37" i="12" s="1"/>
  <c r="Q6" i="12"/>
  <c r="Q37" i="12" s="1"/>
  <c r="P6" i="12"/>
  <c r="P37" i="12" s="1"/>
  <c r="O6" i="12"/>
  <c r="O37" i="12" s="1"/>
  <c r="N6" i="12"/>
  <c r="N37" i="12" s="1"/>
  <c r="M6" i="12"/>
  <c r="L6" i="12"/>
  <c r="K6" i="12"/>
  <c r="AG5" i="12"/>
  <c r="AF5" i="12"/>
  <c r="AE5" i="12"/>
  <c r="V5" i="12"/>
  <c r="U5" i="12"/>
  <c r="U64" i="12" s="1"/>
  <c r="T5" i="12"/>
  <c r="T64" i="12" s="1"/>
  <c r="S5" i="12"/>
  <c r="S16" i="12" s="1"/>
  <c r="R5" i="12"/>
  <c r="R64" i="12" s="1"/>
  <c r="Q5" i="12"/>
  <c r="Q64" i="12" s="1"/>
  <c r="P5" i="12"/>
  <c r="O5" i="12"/>
  <c r="N5" i="12"/>
  <c r="M5" i="12"/>
  <c r="M79" i="12" s="1"/>
  <c r="L5" i="12"/>
  <c r="K5" i="12"/>
  <c r="K79" i="12" s="1"/>
  <c r="AG4" i="12"/>
  <c r="AF4" i="12"/>
  <c r="AH4" i="12" s="1"/>
  <c r="AG3" i="12"/>
  <c r="AF3" i="12"/>
  <c r="AH3" i="12" s="1"/>
  <c r="AE3" i="12"/>
  <c r="E537" i="11"/>
  <c r="E453" i="11"/>
  <c r="E214" i="11"/>
  <c r="U117" i="11" s="1"/>
  <c r="E209" i="11"/>
  <c r="E208" i="11"/>
  <c r="E146" i="11" s="1"/>
  <c r="E203" i="11"/>
  <c r="V138" i="11"/>
  <c r="S138" i="11"/>
  <c r="V133" i="11"/>
  <c r="U133" i="11"/>
  <c r="T133" i="11"/>
  <c r="S133" i="11"/>
  <c r="R133" i="11"/>
  <c r="Q133" i="11"/>
  <c r="P133" i="11"/>
  <c r="O133" i="11"/>
  <c r="N133" i="11"/>
  <c r="M133" i="11"/>
  <c r="L133" i="11"/>
  <c r="K133" i="11"/>
  <c r="W133" i="11" s="1"/>
  <c r="S128" i="11"/>
  <c r="S127" i="11"/>
  <c r="K124" i="11"/>
  <c r="K127" i="11" s="1"/>
  <c r="V123" i="11"/>
  <c r="U123" i="11"/>
  <c r="T123" i="11"/>
  <c r="S123" i="11"/>
  <c r="R123" i="11"/>
  <c r="Q123" i="11"/>
  <c r="P123" i="11"/>
  <c r="O123" i="11"/>
  <c r="N123" i="11"/>
  <c r="M123" i="11"/>
  <c r="L123" i="11"/>
  <c r="K123" i="11"/>
  <c r="V122" i="11"/>
  <c r="U122" i="11"/>
  <c r="T122" i="11"/>
  <c r="S122" i="11"/>
  <c r="R122" i="11"/>
  <c r="Q122" i="11"/>
  <c r="P122" i="11"/>
  <c r="O122" i="11"/>
  <c r="N122" i="11"/>
  <c r="M122" i="11"/>
  <c r="L122" i="11"/>
  <c r="W122" i="11" s="1"/>
  <c r="K122" i="11"/>
  <c r="V121" i="11"/>
  <c r="U121" i="11"/>
  <c r="T121" i="11"/>
  <c r="S121" i="11"/>
  <c r="R121" i="11"/>
  <c r="Q121" i="11"/>
  <c r="P121" i="11"/>
  <c r="O121" i="11"/>
  <c r="N121" i="11"/>
  <c r="M121" i="11"/>
  <c r="L121" i="11"/>
  <c r="W121" i="11" s="1"/>
  <c r="K121" i="11"/>
  <c r="V120" i="11"/>
  <c r="U120" i="11"/>
  <c r="T120" i="11"/>
  <c r="S120" i="11"/>
  <c r="R120" i="11"/>
  <c r="Q120" i="11"/>
  <c r="P120" i="11"/>
  <c r="O120" i="11"/>
  <c r="N120" i="11"/>
  <c r="M120" i="11"/>
  <c r="L120" i="11"/>
  <c r="K120" i="11"/>
  <c r="V119" i="11"/>
  <c r="U119" i="11"/>
  <c r="T119" i="11"/>
  <c r="S119" i="11"/>
  <c r="R119" i="11"/>
  <c r="Q119" i="11"/>
  <c r="P119" i="11"/>
  <c r="O119" i="11"/>
  <c r="N119" i="11"/>
  <c r="M119" i="11"/>
  <c r="L119" i="11"/>
  <c r="L124" i="11" s="1"/>
  <c r="L127" i="11" s="1"/>
  <c r="K119" i="11"/>
  <c r="V118" i="11"/>
  <c r="V128" i="11" s="1"/>
  <c r="T118" i="11"/>
  <c r="T128" i="11" s="1"/>
  <c r="T138" i="11" s="1"/>
  <c r="S118" i="11"/>
  <c r="R118" i="11"/>
  <c r="R128" i="11" s="1"/>
  <c r="R138" i="11" s="1"/>
  <c r="Q118" i="11"/>
  <c r="Q128" i="11" s="1"/>
  <c r="Q138" i="11" s="1"/>
  <c r="P118" i="11"/>
  <c r="P128" i="11" s="1"/>
  <c r="P138" i="11" s="1"/>
  <c r="O118" i="11"/>
  <c r="O128" i="11" s="1"/>
  <c r="O138" i="11" s="1"/>
  <c r="N118" i="11"/>
  <c r="N128" i="11" s="1"/>
  <c r="N138" i="11" s="1"/>
  <c r="M118" i="11"/>
  <c r="M128" i="11" s="1"/>
  <c r="M138" i="11" s="1"/>
  <c r="L118" i="11"/>
  <c r="L128" i="11" s="1"/>
  <c r="K118" i="11"/>
  <c r="V117" i="11"/>
  <c r="V124" i="11" s="1"/>
  <c r="V127" i="11" s="1"/>
  <c r="T117" i="11"/>
  <c r="T124" i="11" s="1"/>
  <c r="T127" i="11" s="1"/>
  <c r="S117" i="11"/>
  <c r="S124" i="11" s="1"/>
  <c r="R117" i="11"/>
  <c r="R124" i="11" s="1"/>
  <c r="R127" i="11" s="1"/>
  <c r="Q117" i="11"/>
  <c r="P117" i="11"/>
  <c r="P124" i="11" s="1"/>
  <c r="P127" i="11" s="1"/>
  <c r="O117" i="11"/>
  <c r="N117" i="11"/>
  <c r="N124" i="11" s="1"/>
  <c r="N127" i="11" s="1"/>
  <c r="M117" i="11"/>
  <c r="L117" i="11"/>
  <c r="K117" i="11"/>
  <c r="W112" i="11"/>
  <c r="T110" i="11"/>
  <c r="S110" i="11"/>
  <c r="Q110" i="11"/>
  <c r="P110" i="11"/>
  <c r="N110" i="11"/>
  <c r="L110" i="11"/>
  <c r="R109" i="11"/>
  <c r="T108" i="11"/>
  <c r="R108" i="11"/>
  <c r="R111" i="11" s="1"/>
  <c r="T105" i="11"/>
  <c r="V104" i="11"/>
  <c r="V110" i="11" s="1"/>
  <c r="U104" i="11"/>
  <c r="U110" i="11" s="1"/>
  <c r="T104" i="11"/>
  <c r="S104" i="11"/>
  <c r="R104" i="11"/>
  <c r="R110" i="11" s="1"/>
  <c r="Q104" i="11"/>
  <c r="P104" i="11"/>
  <c r="O104" i="11"/>
  <c r="O110" i="11" s="1"/>
  <c r="N104" i="11"/>
  <c r="M104" i="11"/>
  <c r="L104" i="11"/>
  <c r="K104" i="11"/>
  <c r="K110" i="11" s="1"/>
  <c r="V103" i="11"/>
  <c r="U103" i="11"/>
  <c r="T103" i="11"/>
  <c r="S103" i="11"/>
  <c r="R103" i="11"/>
  <c r="Q103" i="11"/>
  <c r="P103" i="11"/>
  <c r="O103" i="11"/>
  <c r="N103" i="11"/>
  <c r="M103" i="11"/>
  <c r="L103" i="11"/>
  <c r="K103" i="11"/>
  <c r="W103" i="11" s="1"/>
  <c r="W102" i="11"/>
  <c r="V102" i="11"/>
  <c r="U102" i="11"/>
  <c r="T102" i="11"/>
  <c r="S102" i="11"/>
  <c r="R102" i="11"/>
  <c r="Q102" i="11"/>
  <c r="P102" i="11"/>
  <c r="O102" i="11"/>
  <c r="N102" i="11"/>
  <c r="M102" i="11"/>
  <c r="L102" i="11"/>
  <c r="K102" i="11"/>
  <c r="V101" i="11"/>
  <c r="W101" i="11" s="1"/>
  <c r="U101" i="11"/>
  <c r="T101" i="11"/>
  <c r="S101" i="11"/>
  <c r="R101" i="11"/>
  <c r="Q101" i="11"/>
  <c r="P101" i="11"/>
  <c r="O101" i="11"/>
  <c r="N101" i="11"/>
  <c r="M101" i="11"/>
  <c r="L101" i="11"/>
  <c r="K101" i="11"/>
  <c r="AH100" i="11"/>
  <c r="V100" i="11"/>
  <c r="U100" i="11"/>
  <c r="T100" i="11"/>
  <c r="S100" i="11"/>
  <c r="R100" i="11"/>
  <c r="Q100" i="11"/>
  <c r="P100" i="11"/>
  <c r="O100" i="11"/>
  <c r="N100" i="11"/>
  <c r="M100" i="11"/>
  <c r="L100" i="11"/>
  <c r="K100" i="11"/>
  <c r="W100" i="11" s="1"/>
  <c r="V99" i="11"/>
  <c r="U99" i="11"/>
  <c r="T99" i="11"/>
  <c r="S99" i="11"/>
  <c r="S105" i="11" s="1"/>
  <c r="R99" i="11"/>
  <c r="Q99" i="11"/>
  <c r="P99" i="11"/>
  <c r="O99" i="11"/>
  <c r="N99" i="11"/>
  <c r="M99" i="11"/>
  <c r="L99" i="11"/>
  <c r="K99" i="11"/>
  <c r="V98" i="11"/>
  <c r="U98" i="11"/>
  <c r="T98" i="11"/>
  <c r="S98" i="11"/>
  <c r="R98" i="11"/>
  <c r="Q98" i="11"/>
  <c r="P98" i="11"/>
  <c r="O98" i="11"/>
  <c r="N98" i="11"/>
  <c r="M98" i="11"/>
  <c r="L98" i="11"/>
  <c r="K98" i="11"/>
  <c r="V97" i="11"/>
  <c r="V109" i="11" s="1"/>
  <c r="U97" i="11"/>
  <c r="U109" i="11" s="1"/>
  <c r="T97" i="11"/>
  <c r="T109" i="11" s="1"/>
  <c r="S97" i="11"/>
  <c r="S109" i="11" s="1"/>
  <c r="R97" i="11"/>
  <c r="Q97" i="11"/>
  <c r="Q109" i="11" s="1"/>
  <c r="P97" i="11"/>
  <c r="P109" i="11" s="1"/>
  <c r="O97" i="11"/>
  <c r="O109" i="11" s="1"/>
  <c r="N97" i="11"/>
  <c r="N109" i="11" s="1"/>
  <c r="M97" i="11"/>
  <c r="M109" i="11" s="1"/>
  <c r="L97" i="11"/>
  <c r="L109" i="11" s="1"/>
  <c r="K97" i="11"/>
  <c r="W97" i="11" s="1"/>
  <c r="V96" i="11"/>
  <c r="V105" i="11" s="1"/>
  <c r="T96" i="11"/>
  <c r="S96" i="11"/>
  <c r="S108" i="11" s="1"/>
  <c r="R96" i="11"/>
  <c r="Q96" i="11"/>
  <c r="Q108" i="11" s="1"/>
  <c r="P96" i="11"/>
  <c r="P108" i="11" s="1"/>
  <c r="P111" i="11" s="1"/>
  <c r="O96" i="11"/>
  <c r="N96" i="11"/>
  <c r="M96" i="11"/>
  <c r="L96" i="11"/>
  <c r="L108" i="11" s="1"/>
  <c r="K96" i="11"/>
  <c r="K108" i="11" s="1"/>
  <c r="J92" i="11"/>
  <c r="J91" i="11"/>
  <c r="U90" i="11"/>
  <c r="T90" i="11"/>
  <c r="R89" i="11"/>
  <c r="Q89" i="11"/>
  <c r="J89" i="11"/>
  <c r="S88" i="11"/>
  <c r="R88" i="11"/>
  <c r="J88" i="11"/>
  <c r="Y88" i="11" s="1"/>
  <c r="Y87" i="11"/>
  <c r="S87" i="11"/>
  <c r="J87" i="11"/>
  <c r="U86" i="11"/>
  <c r="T86" i="11"/>
  <c r="J86" i="11"/>
  <c r="Y86" i="11" s="1"/>
  <c r="S85" i="11"/>
  <c r="R85" i="11"/>
  <c r="J85" i="11"/>
  <c r="J93" i="11" s="1"/>
  <c r="Y93" i="11" s="1"/>
  <c r="Y84" i="11"/>
  <c r="T84" i="11"/>
  <c r="S84" i="11"/>
  <c r="J84" i="11"/>
  <c r="T83" i="11"/>
  <c r="J83" i="11"/>
  <c r="Y83" i="11" s="1"/>
  <c r="V82" i="11"/>
  <c r="U82" i="11"/>
  <c r="J82" i="11"/>
  <c r="Y82" i="11" s="1"/>
  <c r="Q77" i="11"/>
  <c r="P77" i="11"/>
  <c r="N76" i="11"/>
  <c r="M76" i="11"/>
  <c r="K75" i="11"/>
  <c r="U73" i="11"/>
  <c r="T73" i="11"/>
  <c r="R72" i="11"/>
  <c r="Q72" i="11"/>
  <c r="O71" i="11"/>
  <c r="N71" i="11"/>
  <c r="L70" i="11"/>
  <c r="K70" i="11"/>
  <c r="V68" i="11"/>
  <c r="P64" i="11"/>
  <c r="O64" i="11"/>
  <c r="V63" i="11"/>
  <c r="U63" i="11"/>
  <c r="T63" i="11"/>
  <c r="S63" i="11"/>
  <c r="R63" i="11"/>
  <c r="Q63" i="11"/>
  <c r="P63" i="11"/>
  <c r="O63" i="11"/>
  <c r="N63" i="11"/>
  <c r="M63" i="11"/>
  <c r="L63" i="11"/>
  <c r="K63" i="11"/>
  <c r="W63" i="11" s="1"/>
  <c r="V62" i="11"/>
  <c r="U62" i="11"/>
  <c r="T62" i="11"/>
  <c r="S62" i="11"/>
  <c r="R62" i="11"/>
  <c r="Q62" i="11"/>
  <c r="P62" i="11"/>
  <c r="O62" i="11"/>
  <c r="N62" i="11"/>
  <c r="M62" i="11"/>
  <c r="L62" i="11"/>
  <c r="K62" i="11"/>
  <c r="W62" i="11" s="1"/>
  <c r="V61" i="11"/>
  <c r="W61" i="11" s="1"/>
  <c r="U61" i="11"/>
  <c r="T61" i="11"/>
  <c r="S61" i="11"/>
  <c r="R61" i="11"/>
  <c r="Q61" i="11"/>
  <c r="P61" i="11"/>
  <c r="O61" i="11"/>
  <c r="N61" i="11"/>
  <c r="M61" i="11"/>
  <c r="L61" i="11"/>
  <c r="K61" i="11"/>
  <c r="V60" i="11"/>
  <c r="U60" i="11"/>
  <c r="T60" i="11"/>
  <c r="S60" i="11"/>
  <c r="R60" i="11"/>
  <c r="Q60" i="11"/>
  <c r="P60" i="11"/>
  <c r="O60" i="11"/>
  <c r="N60" i="11"/>
  <c r="M60" i="11"/>
  <c r="L60" i="11"/>
  <c r="K60" i="11"/>
  <c r="V59" i="11"/>
  <c r="U59" i="11"/>
  <c r="T59" i="11"/>
  <c r="S59" i="11"/>
  <c r="R59" i="11"/>
  <c r="Q59" i="11"/>
  <c r="P59" i="11"/>
  <c r="O59" i="11"/>
  <c r="N59" i="11"/>
  <c r="M59" i="11"/>
  <c r="L59" i="11"/>
  <c r="K59" i="11"/>
  <c r="V58" i="11"/>
  <c r="U58" i="11"/>
  <c r="T58" i="11"/>
  <c r="S58" i="11"/>
  <c r="R58" i="11"/>
  <c r="Q58" i="11"/>
  <c r="P58" i="11"/>
  <c r="O58" i="11"/>
  <c r="N58" i="11"/>
  <c r="M58" i="11"/>
  <c r="W58" i="11" s="1"/>
  <c r="L58" i="11"/>
  <c r="K58" i="11"/>
  <c r="V57" i="11"/>
  <c r="U57" i="11"/>
  <c r="T57" i="11"/>
  <c r="S57" i="11"/>
  <c r="R57" i="11"/>
  <c r="Q57" i="11"/>
  <c r="P57" i="11"/>
  <c r="O57" i="11"/>
  <c r="N57" i="11"/>
  <c r="M57" i="11"/>
  <c r="L57" i="11"/>
  <c r="K57" i="11"/>
  <c r="W57" i="11" s="1"/>
  <c r="W56" i="11"/>
  <c r="V56" i="11"/>
  <c r="U56" i="11"/>
  <c r="T56" i="11"/>
  <c r="S56" i="11"/>
  <c r="R56" i="11"/>
  <c r="Q56" i="11"/>
  <c r="P56" i="11"/>
  <c r="O56" i="11"/>
  <c r="N56" i="11"/>
  <c r="M56" i="11"/>
  <c r="L56" i="11"/>
  <c r="K56" i="11"/>
  <c r="V55" i="11"/>
  <c r="U55" i="11"/>
  <c r="T55" i="11"/>
  <c r="S55" i="11"/>
  <c r="R55" i="11"/>
  <c r="Q55" i="11"/>
  <c r="P55" i="11"/>
  <c r="O55" i="11"/>
  <c r="N55" i="11"/>
  <c r="M55" i="11"/>
  <c r="L55" i="11"/>
  <c r="K55" i="11"/>
  <c r="W55" i="11" s="1"/>
  <c r="V54" i="11"/>
  <c r="U54" i="11"/>
  <c r="T54" i="11"/>
  <c r="S54" i="11"/>
  <c r="R54" i="11"/>
  <c r="Q54" i="11"/>
  <c r="P54" i="11"/>
  <c r="O54" i="11"/>
  <c r="N54" i="11"/>
  <c r="M54" i="11"/>
  <c r="L54" i="11"/>
  <c r="K54" i="11"/>
  <c r="W54" i="11" s="1"/>
  <c r="V53" i="11"/>
  <c r="U53" i="11"/>
  <c r="U64" i="11" s="1"/>
  <c r="T53" i="11"/>
  <c r="T64" i="11" s="1"/>
  <c r="S53" i="11"/>
  <c r="S64" i="11" s="1"/>
  <c r="R53" i="11"/>
  <c r="R64" i="11" s="1"/>
  <c r="Q53" i="11"/>
  <c r="P53" i="11"/>
  <c r="O53" i="11"/>
  <c r="N53" i="11"/>
  <c r="M53" i="11"/>
  <c r="L53" i="11"/>
  <c r="L64" i="11" s="1"/>
  <c r="K53" i="11"/>
  <c r="K64" i="11" s="1"/>
  <c r="U49" i="11"/>
  <c r="N49" i="11"/>
  <c r="M49" i="11"/>
  <c r="L49" i="11"/>
  <c r="S48" i="11"/>
  <c r="L48" i="11"/>
  <c r="K48" i="11"/>
  <c r="S47" i="11"/>
  <c r="L47" i="11"/>
  <c r="K47" i="11"/>
  <c r="T45" i="11"/>
  <c r="R45" i="11"/>
  <c r="Q45" i="11"/>
  <c r="V43" i="11"/>
  <c r="P43" i="11"/>
  <c r="O43" i="11"/>
  <c r="N43" i="11"/>
  <c r="V42" i="11"/>
  <c r="U42" i="11"/>
  <c r="U41" i="11"/>
  <c r="T41" i="11"/>
  <c r="T40" i="11"/>
  <c r="S40" i="11"/>
  <c r="O40" i="11"/>
  <c r="E34" i="11"/>
  <c r="J31" i="11"/>
  <c r="P30" i="11"/>
  <c r="W28" i="11"/>
  <c r="V28" i="11"/>
  <c r="U28" i="11"/>
  <c r="E28" i="11"/>
  <c r="O27" i="11"/>
  <c r="W27" i="11" s="1"/>
  <c r="N27" i="11"/>
  <c r="M27" i="11"/>
  <c r="M30" i="11" s="1"/>
  <c r="L27" i="11"/>
  <c r="K27" i="11"/>
  <c r="K30" i="11" s="1"/>
  <c r="V26" i="11"/>
  <c r="V30" i="11" s="1"/>
  <c r="U26" i="11"/>
  <c r="T26" i="11"/>
  <c r="S26" i="11"/>
  <c r="R26" i="11"/>
  <c r="Q26" i="11"/>
  <c r="Q30" i="11" s="1"/>
  <c r="P26" i="11"/>
  <c r="O26" i="11"/>
  <c r="O30" i="11" s="1"/>
  <c r="N26" i="11"/>
  <c r="E26" i="11"/>
  <c r="J30" i="11" s="1"/>
  <c r="V25" i="11"/>
  <c r="U25" i="11"/>
  <c r="T25" i="11"/>
  <c r="T30" i="11" s="1"/>
  <c r="S25" i="11"/>
  <c r="S30" i="11" s="1"/>
  <c r="R25" i="11"/>
  <c r="R30" i="11" s="1"/>
  <c r="Q25" i="11"/>
  <c r="P25" i="11"/>
  <c r="O25" i="11"/>
  <c r="N25" i="11"/>
  <c r="N30" i="11" s="1"/>
  <c r="M25" i="11"/>
  <c r="L25" i="11"/>
  <c r="L30" i="11" s="1"/>
  <c r="W24" i="11"/>
  <c r="W23" i="11"/>
  <c r="X23" i="11" s="1"/>
  <c r="Y23" i="11" s="1"/>
  <c r="W22" i="11"/>
  <c r="X22" i="11" s="1"/>
  <c r="Y22" i="11" s="1"/>
  <c r="X21" i="11"/>
  <c r="Y21" i="11" s="1"/>
  <c r="W21" i="11"/>
  <c r="J18" i="11"/>
  <c r="J17" i="11"/>
  <c r="V16" i="11"/>
  <c r="V92" i="11" s="1"/>
  <c r="U16" i="11"/>
  <c r="U92" i="11" s="1"/>
  <c r="T16" i="11"/>
  <c r="T92" i="11" s="1"/>
  <c r="S16" i="11"/>
  <c r="R16" i="11"/>
  <c r="Q16" i="11"/>
  <c r="Q92" i="11" s="1"/>
  <c r="P16" i="11"/>
  <c r="P92" i="11" s="1"/>
  <c r="O16" i="11"/>
  <c r="O92" i="11" s="1"/>
  <c r="N16" i="11"/>
  <c r="N77" i="11" s="1"/>
  <c r="M16" i="11"/>
  <c r="M77" i="11" s="1"/>
  <c r="L16" i="11"/>
  <c r="L77" i="11" s="1"/>
  <c r="K16" i="11"/>
  <c r="K77" i="11" s="1"/>
  <c r="V15" i="11"/>
  <c r="V48" i="11" s="1"/>
  <c r="U15" i="11"/>
  <c r="T15" i="11"/>
  <c r="S15" i="11"/>
  <c r="S91" i="11" s="1"/>
  <c r="R15" i="11"/>
  <c r="R91" i="11" s="1"/>
  <c r="Q15" i="11"/>
  <c r="Q91" i="11" s="1"/>
  <c r="P15" i="11"/>
  <c r="P91" i="11" s="1"/>
  <c r="O15" i="11"/>
  <c r="O91" i="11" s="1"/>
  <c r="N15" i="11"/>
  <c r="N91" i="11" s="1"/>
  <c r="M15" i="11"/>
  <c r="M91" i="11" s="1"/>
  <c r="L15" i="11"/>
  <c r="L91" i="11" s="1"/>
  <c r="K15" i="11"/>
  <c r="K76" i="11" s="1"/>
  <c r="V14" i="11"/>
  <c r="U14" i="11"/>
  <c r="U75" i="11" s="1"/>
  <c r="T14" i="11"/>
  <c r="T75" i="11" s="1"/>
  <c r="S14" i="11"/>
  <c r="S75" i="11" s="1"/>
  <c r="R14" i="11"/>
  <c r="R90" i="11" s="1"/>
  <c r="Q14" i="11"/>
  <c r="Q90" i="11" s="1"/>
  <c r="P14" i="11"/>
  <c r="P90" i="11" s="1"/>
  <c r="O14" i="11"/>
  <c r="O90" i="11" s="1"/>
  <c r="N14" i="11"/>
  <c r="N90" i="11" s="1"/>
  <c r="M14" i="11"/>
  <c r="M90" i="11" s="1"/>
  <c r="L14" i="11"/>
  <c r="L90" i="11" s="1"/>
  <c r="K14" i="11"/>
  <c r="K90" i="11" s="1"/>
  <c r="J14" i="11"/>
  <c r="J90" i="11" s="1"/>
  <c r="V13" i="11"/>
  <c r="V46" i="11" s="1"/>
  <c r="U13" i="11"/>
  <c r="U74" i="11" s="1"/>
  <c r="T13" i="11"/>
  <c r="T74" i="11" s="1"/>
  <c r="S13" i="11"/>
  <c r="S74" i="11" s="1"/>
  <c r="R13" i="11"/>
  <c r="R74" i="11" s="1"/>
  <c r="Q13" i="11"/>
  <c r="Q74" i="11" s="1"/>
  <c r="P13" i="11"/>
  <c r="P74" i="11" s="1"/>
  <c r="O13" i="11"/>
  <c r="O89" i="11" s="1"/>
  <c r="N13" i="11"/>
  <c r="N89" i="11" s="1"/>
  <c r="M13" i="11"/>
  <c r="M89" i="11" s="1"/>
  <c r="L13" i="11"/>
  <c r="L89" i="11" s="1"/>
  <c r="K13" i="11"/>
  <c r="W13" i="11" s="1"/>
  <c r="AG12" i="11"/>
  <c r="AF12" i="11"/>
  <c r="AE12" i="11" s="1"/>
  <c r="V12" i="11"/>
  <c r="V45" i="11" s="1"/>
  <c r="U12" i="11"/>
  <c r="U45" i="11" s="1"/>
  <c r="T12" i="11"/>
  <c r="T88" i="11" s="1"/>
  <c r="S12" i="11"/>
  <c r="S45" i="11" s="1"/>
  <c r="R12" i="11"/>
  <c r="R73" i="11" s="1"/>
  <c r="Q12" i="11"/>
  <c r="Q73" i="11" s="1"/>
  <c r="P12" i="11"/>
  <c r="P88" i="11" s="1"/>
  <c r="O12" i="11"/>
  <c r="N12" i="11"/>
  <c r="M12" i="11"/>
  <c r="M88" i="11" s="1"/>
  <c r="L12" i="11"/>
  <c r="L88" i="11" s="1"/>
  <c r="K12" i="11"/>
  <c r="K88" i="11" s="1"/>
  <c r="AG11" i="11"/>
  <c r="V11" i="11"/>
  <c r="V72" i="11" s="1"/>
  <c r="U11" i="11"/>
  <c r="T11" i="11"/>
  <c r="S11" i="11"/>
  <c r="S44" i="11" s="1"/>
  <c r="R11" i="11"/>
  <c r="R44" i="11" s="1"/>
  <c r="Q11" i="11"/>
  <c r="Q87" i="11" s="1"/>
  <c r="P11" i="11"/>
  <c r="P87" i="11" s="1"/>
  <c r="O11" i="11"/>
  <c r="O72" i="11" s="1"/>
  <c r="N11" i="11"/>
  <c r="N72" i="11" s="1"/>
  <c r="M11" i="11"/>
  <c r="M72" i="11" s="1"/>
  <c r="L11" i="11"/>
  <c r="L72" i="11" s="1"/>
  <c r="K11" i="11"/>
  <c r="K72" i="11" s="1"/>
  <c r="AG10" i="11"/>
  <c r="V10" i="11"/>
  <c r="U10" i="11"/>
  <c r="U71" i="11" s="1"/>
  <c r="T10" i="11"/>
  <c r="T43" i="11" s="1"/>
  <c r="S10" i="11"/>
  <c r="R10" i="11"/>
  <c r="R86" i="11" s="1"/>
  <c r="Q10" i="11"/>
  <c r="Q86" i="11" s="1"/>
  <c r="P10" i="11"/>
  <c r="P86" i="11" s="1"/>
  <c r="O10" i="11"/>
  <c r="O86" i="11" s="1"/>
  <c r="N10" i="11"/>
  <c r="N86" i="11" s="1"/>
  <c r="M10" i="11"/>
  <c r="M86" i="11" s="1"/>
  <c r="L10" i="11"/>
  <c r="L71" i="11" s="1"/>
  <c r="K10" i="11"/>
  <c r="AG9" i="11"/>
  <c r="AF9" i="11"/>
  <c r="AE9" i="11" s="1"/>
  <c r="V9" i="11"/>
  <c r="V70" i="11" s="1"/>
  <c r="U9" i="11"/>
  <c r="U70" i="11" s="1"/>
  <c r="T9" i="11"/>
  <c r="T70" i="11" s="1"/>
  <c r="S9" i="11"/>
  <c r="S42" i="11" s="1"/>
  <c r="R9" i="11"/>
  <c r="Q9" i="11"/>
  <c r="P9" i="11"/>
  <c r="P17" i="11" s="1"/>
  <c r="O9" i="11"/>
  <c r="O85" i="11" s="1"/>
  <c r="N9" i="11"/>
  <c r="N85" i="11" s="1"/>
  <c r="M9" i="11"/>
  <c r="M85" i="11" s="1"/>
  <c r="L9" i="11"/>
  <c r="L85" i="11" s="1"/>
  <c r="K9" i="11"/>
  <c r="K85" i="11" s="1"/>
  <c r="AG8" i="11"/>
  <c r="AF8" i="11"/>
  <c r="AE8" i="11" s="1"/>
  <c r="AH8" i="11" s="1"/>
  <c r="V8" i="11"/>
  <c r="U8" i="11"/>
  <c r="U69" i="11" s="1"/>
  <c r="T8" i="11"/>
  <c r="T69" i="11" s="1"/>
  <c r="S8" i="11"/>
  <c r="S69" i="11" s="1"/>
  <c r="R8" i="11"/>
  <c r="R41" i="11" s="1"/>
  <c r="Q8" i="11"/>
  <c r="Q84" i="11" s="1"/>
  <c r="P8" i="11"/>
  <c r="P84" i="11" s="1"/>
  <c r="O8" i="11"/>
  <c r="O17" i="11" s="1"/>
  <c r="N8" i="11"/>
  <c r="N84" i="11" s="1"/>
  <c r="M8" i="11"/>
  <c r="M84" i="11" s="1"/>
  <c r="L8" i="11"/>
  <c r="L84" i="11" s="1"/>
  <c r="K8" i="11"/>
  <c r="K84" i="11" s="1"/>
  <c r="AG7" i="11"/>
  <c r="AF7" i="11"/>
  <c r="AE7" i="11" s="1"/>
  <c r="AH7" i="11" s="1"/>
  <c r="V7" i="11"/>
  <c r="U7" i="11"/>
  <c r="T7" i="11"/>
  <c r="T68" i="11" s="1"/>
  <c r="S7" i="11"/>
  <c r="S68" i="11" s="1"/>
  <c r="R7" i="11"/>
  <c r="R83" i="11" s="1"/>
  <c r="Q7" i="11"/>
  <c r="Q40" i="11" s="1"/>
  <c r="P7" i="11"/>
  <c r="P40" i="11" s="1"/>
  <c r="O7" i="11"/>
  <c r="O83" i="11" s="1"/>
  <c r="N7" i="11"/>
  <c r="M7" i="11"/>
  <c r="L7" i="11"/>
  <c r="K7" i="11"/>
  <c r="AG6" i="11"/>
  <c r="AF6" i="11"/>
  <c r="AE6" i="11" s="1"/>
  <c r="V6" i="11"/>
  <c r="V17" i="11" s="1"/>
  <c r="U6" i="11"/>
  <c r="T6" i="11"/>
  <c r="S6" i="11"/>
  <c r="R6" i="11"/>
  <c r="Q6" i="11"/>
  <c r="Q82" i="11" s="1"/>
  <c r="P6" i="11"/>
  <c r="P67" i="11" s="1"/>
  <c r="O6" i="11"/>
  <c r="O67" i="11" s="1"/>
  <c r="N6" i="11"/>
  <c r="N67" i="11" s="1"/>
  <c r="M6" i="11"/>
  <c r="L6" i="11"/>
  <c r="K6" i="11"/>
  <c r="AF5" i="11"/>
  <c r="W1" i="11"/>
  <c r="E149" i="10"/>
  <c r="L141" i="10"/>
  <c r="V136" i="10"/>
  <c r="U136" i="10"/>
  <c r="T136" i="10"/>
  <c r="S136" i="10"/>
  <c r="R136" i="10"/>
  <c r="Q136" i="10"/>
  <c r="P136" i="10"/>
  <c r="O136" i="10"/>
  <c r="W136" i="10" s="1"/>
  <c r="N136" i="10"/>
  <c r="M136" i="10"/>
  <c r="L136" i="10"/>
  <c r="K136" i="10"/>
  <c r="O131" i="10"/>
  <c r="L131" i="10"/>
  <c r="K131" i="10"/>
  <c r="K141" i="10" s="1"/>
  <c r="O130" i="10"/>
  <c r="V126" i="10"/>
  <c r="W126" i="10" s="1"/>
  <c r="U126" i="10"/>
  <c r="T126" i="10"/>
  <c r="S126" i="10"/>
  <c r="R126" i="10"/>
  <c r="Q126" i="10"/>
  <c r="P126" i="10"/>
  <c r="O126" i="10"/>
  <c r="N126" i="10"/>
  <c r="M126" i="10"/>
  <c r="L126" i="10"/>
  <c r="K126" i="10"/>
  <c r="V125" i="10"/>
  <c r="U125" i="10"/>
  <c r="T125" i="10"/>
  <c r="S125" i="10"/>
  <c r="R125" i="10"/>
  <c r="Q125" i="10"/>
  <c r="P125" i="10"/>
  <c r="O125" i="10"/>
  <c r="N125" i="10"/>
  <c r="M125" i="10"/>
  <c r="L125" i="10"/>
  <c r="K125" i="10"/>
  <c r="V124" i="10"/>
  <c r="U124" i="10"/>
  <c r="T124" i="10"/>
  <c r="S124" i="10"/>
  <c r="R124" i="10"/>
  <c r="Q124" i="10"/>
  <c r="P124" i="10"/>
  <c r="O124" i="10"/>
  <c r="N124" i="10"/>
  <c r="M124" i="10"/>
  <c r="L124" i="10"/>
  <c r="K124" i="10"/>
  <c r="V123" i="10"/>
  <c r="U123" i="10"/>
  <c r="T123" i="10"/>
  <c r="S123" i="10"/>
  <c r="R123" i="10"/>
  <c r="Q123" i="10"/>
  <c r="P123" i="10"/>
  <c r="O123" i="10"/>
  <c r="N123" i="10"/>
  <c r="M123" i="10"/>
  <c r="L123" i="10"/>
  <c r="K123" i="10"/>
  <c r="V122" i="10"/>
  <c r="U122" i="10"/>
  <c r="T122" i="10"/>
  <c r="S122" i="10"/>
  <c r="R122" i="10"/>
  <c r="Q122" i="10"/>
  <c r="P122" i="10"/>
  <c r="O122" i="10"/>
  <c r="N122" i="10"/>
  <c r="W122" i="10" s="1"/>
  <c r="M122" i="10"/>
  <c r="L122" i="10"/>
  <c r="K122" i="10"/>
  <c r="V121" i="10"/>
  <c r="U121" i="10"/>
  <c r="T121" i="10"/>
  <c r="S121" i="10"/>
  <c r="R121" i="10"/>
  <c r="Q121" i="10"/>
  <c r="P121" i="10"/>
  <c r="O121" i="10"/>
  <c r="N121" i="10"/>
  <c r="M121" i="10"/>
  <c r="L121" i="10"/>
  <c r="K121" i="10"/>
  <c r="W121" i="10" s="1"/>
  <c r="V120" i="10"/>
  <c r="U120" i="10"/>
  <c r="T120" i="10"/>
  <c r="S120" i="10"/>
  <c r="R120" i="10"/>
  <c r="Q120" i="10"/>
  <c r="P120" i="10"/>
  <c r="O120" i="10"/>
  <c r="N120" i="10"/>
  <c r="M120" i="10"/>
  <c r="L120" i="10"/>
  <c r="K120" i="10"/>
  <c r="W120" i="10" s="1"/>
  <c r="V119" i="10"/>
  <c r="V131" i="10" s="1"/>
  <c r="U119" i="10"/>
  <c r="U131" i="10" s="1"/>
  <c r="U141" i="10" s="1"/>
  <c r="T119" i="10"/>
  <c r="T131" i="10" s="1"/>
  <c r="T141" i="10" s="1"/>
  <c r="S119" i="10"/>
  <c r="S131" i="10" s="1"/>
  <c r="S141" i="10" s="1"/>
  <c r="R119" i="10"/>
  <c r="R131" i="10" s="1"/>
  <c r="R141" i="10" s="1"/>
  <c r="Q119" i="10"/>
  <c r="Q127" i="10" s="1"/>
  <c r="Q130" i="10" s="1"/>
  <c r="P119" i="10"/>
  <c r="P131" i="10" s="1"/>
  <c r="P141" i="10" s="1"/>
  <c r="O119" i="10"/>
  <c r="N119" i="10"/>
  <c r="N131" i="10" s="1"/>
  <c r="N141" i="10" s="1"/>
  <c r="M119" i="10"/>
  <c r="M131" i="10" s="1"/>
  <c r="M141" i="10" s="1"/>
  <c r="L119" i="10"/>
  <c r="K119" i="10"/>
  <c r="V118" i="10"/>
  <c r="U118" i="10"/>
  <c r="T118" i="10"/>
  <c r="S118" i="10"/>
  <c r="R118" i="10"/>
  <c r="Q118" i="10"/>
  <c r="P118" i="10"/>
  <c r="P127" i="10" s="1"/>
  <c r="P130" i="10" s="1"/>
  <c r="O118" i="10"/>
  <c r="O127" i="10" s="1"/>
  <c r="N118" i="10"/>
  <c r="M118" i="10"/>
  <c r="L118" i="10"/>
  <c r="K118" i="10"/>
  <c r="W113" i="10"/>
  <c r="V111" i="10"/>
  <c r="S111" i="10"/>
  <c r="P111" i="10"/>
  <c r="O111" i="10"/>
  <c r="S110" i="10"/>
  <c r="M110" i="10"/>
  <c r="L110" i="10"/>
  <c r="K110" i="10"/>
  <c r="V109" i="10"/>
  <c r="Q109" i="10"/>
  <c r="Q112" i="10" s="1"/>
  <c r="P109" i="10"/>
  <c r="P112" i="10" s="1"/>
  <c r="V105" i="10"/>
  <c r="U105" i="10"/>
  <c r="U111" i="10" s="1"/>
  <c r="T105" i="10"/>
  <c r="T111" i="10" s="1"/>
  <c r="S105" i="10"/>
  <c r="R105" i="10"/>
  <c r="R111" i="10" s="1"/>
  <c r="Q105" i="10"/>
  <c r="Q111" i="10" s="1"/>
  <c r="P105" i="10"/>
  <c r="O105" i="10"/>
  <c r="N105" i="10"/>
  <c r="N111" i="10" s="1"/>
  <c r="M105" i="10"/>
  <c r="M111" i="10" s="1"/>
  <c r="L105" i="10"/>
  <c r="L111" i="10" s="1"/>
  <c r="K105" i="10"/>
  <c r="K111" i="10" s="1"/>
  <c r="V104" i="10"/>
  <c r="U104" i="10"/>
  <c r="T104" i="10"/>
  <c r="S104" i="10"/>
  <c r="R104" i="10"/>
  <c r="Q104" i="10"/>
  <c r="P104" i="10"/>
  <c r="O104" i="10"/>
  <c r="N104" i="10"/>
  <c r="M104" i="10"/>
  <c r="L104" i="10"/>
  <c r="K104" i="10"/>
  <c r="V103" i="10"/>
  <c r="U103" i="10"/>
  <c r="T103" i="10"/>
  <c r="S103" i="10"/>
  <c r="R103" i="10"/>
  <c r="Q103" i="10"/>
  <c r="P103" i="10"/>
  <c r="O103" i="10"/>
  <c r="N103" i="10"/>
  <c r="M103" i="10"/>
  <c r="L103" i="10"/>
  <c r="K103" i="10"/>
  <c r="V102" i="10"/>
  <c r="U102" i="10"/>
  <c r="T102" i="10"/>
  <c r="S102" i="10"/>
  <c r="R102" i="10"/>
  <c r="Q102" i="10"/>
  <c r="P102" i="10"/>
  <c r="O102" i="10"/>
  <c r="N102" i="10"/>
  <c r="M102" i="10"/>
  <c r="W102" i="10" s="1"/>
  <c r="L102" i="10"/>
  <c r="K102" i="10"/>
  <c r="V101" i="10"/>
  <c r="U101" i="10"/>
  <c r="T101" i="10"/>
  <c r="S101" i="10"/>
  <c r="R101" i="10"/>
  <c r="Q101" i="10"/>
  <c r="P101" i="10"/>
  <c r="O101" i="10"/>
  <c r="N101" i="10"/>
  <c r="M101" i="10"/>
  <c r="L101" i="10"/>
  <c r="K101" i="10"/>
  <c r="V100" i="10"/>
  <c r="U100" i="10"/>
  <c r="T100" i="10"/>
  <c r="S100" i="10"/>
  <c r="R100" i="10"/>
  <c r="Q100" i="10"/>
  <c r="P100" i="10"/>
  <c r="O100" i="10"/>
  <c r="N100" i="10"/>
  <c r="M100" i="10"/>
  <c r="L100" i="10"/>
  <c r="K100" i="10"/>
  <c r="W99" i="10"/>
  <c r="V99" i="10"/>
  <c r="U99" i="10"/>
  <c r="T99" i="10"/>
  <c r="S99" i="10"/>
  <c r="R99" i="10"/>
  <c r="Q99" i="10"/>
  <c r="P99" i="10"/>
  <c r="O99" i="10"/>
  <c r="N99" i="10"/>
  <c r="M99" i="10"/>
  <c r="L99" i="10"/>
  <c r="K99" i="10"/>
  <c r="V98" i="10"/>
  <c r="U98" i="10"/>
  <c r="U110" i="10" s="1"/>
  <c r="T98" i="10"/>
  <c r="T110" i="10" s="1"/>
  <c r="S98" i="10"/>
  <c r="R98" i="10"/>
  <c r="R110" i="10" s="1"/>
  <c r="Q98" i="10"/>
  <c r="Q110" i="10" s="1"/>
  <c r="P98" i="10"/>
  <c r="P110" i="10" s="1"/>
  <c r="O98" i="10"/>
  <c r="O110" i="10" s="1"/>
  <c r="N98" i="10"/>
  <c r="N110" i="10" s="1"/>
  <c r="M98" i="10"/>
  <c r="L98" i="10"/>
  <c r="K98" i="10"/>
  <c r="V97" i="10"/>
  <c r="U97" i="10"/>
  <c r="U109" i="10" s="1"/>
  <c r="T97" i="10"/>
  <c r="S97" i="10"/>
  <c r="R97" i="10"/>
  <c r="Q97" i="10"/>
  <c r="P97" i="10"/>
  <c r="O97" i="10"/>
  <c r="N97" i="10"/>
  <c r="N109" i="10" s="1"/>
  <c r="N112" i="10" s="1"/>
  <c r="M97" i="10"/>
  <c r="L97" i="10"/>
  <c r="L109" i="10" s="1"/>
  <c r="L112" i="10" s="1"/>
  <c r="K97" i="10"/>
  <c r="K106" i="10" s="1"/>
  <c r="K107" i="10" s="1"/>
  <c r="J93" i="10"/>
  <c r="T92" i="10"/>
  <c r="Q92" i="10"/>
  <c r="J92" i="10"/>
  <c r="V91" i="10"/>
  <c r="N91" i="10"/>
  <c r="M91" i="10"/>
  <c r="J91" i="10"/>
  <c r="S90" i="10"/>
  <c r="Q90" i="10"/>
  <c r="J90" i="10"/>
  <c r="Y89" i="10"/>
  <c r="R89" i="10"/>
  <c r="P89" i="10"/>
  <c r="J89" i="10"/>
  <c r="P88" i="10"/>
  <c r="L88" i="10"/>
  <c r="Y87" i="10"/>
  <c r="M87" i="10"/>
  <c r="L87" i="10"/>
  <c r="K87" i="10"/>
  <c r="J87" i="10"/>
  <c r="J86" i="10"/>
  <c r="Y85" i="10"/>
  <c r="J85" i="10"/>
  <c r="Y84" i="10"/>
  <c r="Y83" i="10"/>
  <c r="V83" i="10"/>
  <c r="J83" i="10"/>
  <c r="O78" i="10"/>
  <c r="M78" i="10"/>
  <c r="Q77" i="10"/>
  <c r="T76" i="10"/>
  <c r="S76" i="10"/>
  <c r="M76" i="10"/>
  <c r="P75" i="10"/>
  <c r="O75" i="10"/>
  <c r="N75" i="10"/>
  <c r="U74" i="10"/>
  <c r="R72" i="10"/>
  <c r="Q72" i="10"/>
  <c r="K72" i="10"/>
  <c r="N71" i="10"/>
  <c r="M71" i="10"/>
  <c r="U69" i="10"/>
  <c r="T69" i="10"/>
  <c r="Q68" i="10"/>
  <c r="O68" i="10"/>
  <c r="V64" i="10"/>
  <c r="U64" i="10"/>
  <c r="T64" i="10"/>
  <c r="S64" i="10"/>
  <c r="R64" i="10"/>
  <c r="Q64" i="10"/>
  <c r="P64" i="10"/>
  <c r="O64" i="10"/>
  <c r="N64" i="10"/>
  <c r="M64" i="10"/>
  <c r="L64" i="10"/>
  <c r="K64" i="10"/>
  <c r="V63" i="10"/>
  <c r="U63" i="10"/>
  <c r="T63" i="10"/>
  <c r="S63" i="10"/>
  <c r="R63" i="10"/>
  <c r="R77" i="10" s="1"/>
  <c r="Q63" i="10"/>
  <c r="P63" i="10"/>
  <c r="O63" i="10"/>
  <c r="N63" i="10"/>
  <c r="M63" i="10"/>
  <c r="L63" i="10"/>
  <c r="K63" i="10"/>
  <c r="V62" i="10"/>
  <c r="U62" i="10"/>
  <c r="T62" i="10"/>
  <c r="S62" i="10"/>
  <c r="R62" i="10"/>
  <c r="Q62" i="10"/>
  <c r="P62" i="10"/>
  <c r="O62" i="10"/>
  <c r="N62" i="10"/>
  <c r="M62" i="10"/>
  <c r="L62" i="10"/>
  <c r="K62" i="10"/>
  <c r="V61" i="10"/>
  <c r="U61" i="10"/>
  <c r="T61" i="10"/>
  <c r="S61" i="10"/>
  <c r="R61" i="10"/>
  <c r="Q61" i="10"/>
  <c r="P61" i="10"/>
  <c r="O61" i="10"/>
  <c r="N61" i="10"/>
  <c r="M61" i="10"/>
  <c r="L61" i="10"/>
  <c r="W61" i="10" s="1"/>
  <c r="K61" i="10"/>
  <c r="V60" i="10"/>
  <c r="U60" i="10"/>
  <c r="T60" i="10"/>
  <c r="S60" i="10"/>
  <c r="R60" i="10"/>
  <c r="Q60" i="10"/>
  <c r="P60" i="10"/>
  <c r="O60" i="10"/>
  <c r="N60" i="10"/>
  <c r="M60" i="10"/>
  <c r="L60" i="10"/>
  <c r="K60" i="10"/>
  <c r="W60" i="10" s="1"/>
  <c r="V59" i="10"/>
  <c r="W59" i="10" s="1"/>
  <c r="U59" i="10"/>
  <c r="T59" i="10"/>
  <c r="S59" i="10"/>
  <c r="R59" i="10"/>
  <c r="Q59" i="10"/>
  <c r="P59" i="10"/>
  <c r="P73" i="10" s="1"/>
  <c r="O59" i="10"/>
  <c r="N59" i="10"/>
  <c r="M59" i="10"/>
  <c r="L59" i="10"/>
  <c r="K59" i="10"/>
  <c r="V58" i="10"/>
  <c r="U58" i="10"/>
  <c r="T58" i="10"/>
  <c r="S58" i="10"/>
  <c r="S72" i="10" s="1"/>
  <c r="R58" i="10"/>
  <c r="Q58" i="10"/>
  <c r="P58" i="10"/>
  <c r="O58" i="10"/>
  <c r="N58" i="10"/>
  <c r="M58" i="10"/>
  <c r="L58" i="10"/>
  <c r="K58" i="10"/>
  <c r="V57" i="10"/>
  <c r="U57" i="10"/>
  <c r="T57" i="10"/>
  <c r="S57" i="10"/>
  <c r="R57" i="10"/>
  <c r="Q57" i="10"/>
  <c r="P57" i="10"/>
  <c r="O57" i="10"/>
  <c r="N57" i="10"/>
  <c r="M57" i="10"/>
  <c r="L57" i="10"/>
  <c r="K57" i="10"/>
  <c r="W57" i="10" s="1"/>
  <c r="V56" i="10"/>
  <c r="U56" i="10"/>
  <c r="T56" i="10"/>
  <c r="S56" i="10"/>
  <c r="R56" i="10"/>
  <c r="Q56" i="10"/>
  <c r="P56" i="10"/>
  <c r="O56" i="10"/>
  <c r="N56" i="10"/>
  <c r="M56" i="10"/>
  <c r="L56" i="10"/>
  <c r="K56" i="10"/>
  <c r="V55" i="10"/>
  <c r="V65" i="10" s="1"/>
  <c r="U55" i="10"/>
  <c r="T55" i="10"/>
  <c r="T65" i="10" s="1"/>
  <c r="S55" i="10"/>
  <c r="R55" i="10"/>
  <c r="Q55" i="10"/>
  <c r="P55" i="10"/>
  <c r="O55" i="10"/>
  <c r="N55" i="10"/>
  <c r="M55" i="10"/>
  <c r="L55" i="10"/>
  <c r="K55" i="10"/>
  <c r="W55" i="10" s="1"/>
  <c r="W54" i="10"/>
  <c r="V54" i="10"/>
  <c r="U54" i="10"/>
  <c r="U65" i="10" s="1"/>
  <c r="T54" i="10"/>
  <c r="S54" i="10"/>
  <c r="S65" i="10" s="1"/>
  <c r="R54" i="10"/>
  <c r="Q54" i="10"/>
  <c r="Q65" i="10" s="1"/>
  <c r="P54" i="10"/>
  <c r="P65" i="10" s="1"/>
  <c r="O54" i="10"/>
  <c r="O65" i="10" s="1"/>
  <c r="N54" i="10"/>
  <c r="M54" i="10"/>
  <c r="L54" i="10"/>
  <c r="K54" i="10"/>
  <c r="E51" i="10"/>
  <c r="V50" i="10"/>
  <c r="R50" i="10"/>
  <c r="Q50" i="10"/>
  <c r="P50" i="10"/>
  <c r="O50" i="10"/>
  <c r="V49" i="10"/>
  <c r="U49" i="10"/>
  <c r="Q49" i="10"/>
  <c r="M49" i="10"/>
  <c r="L49" i="10"/>
  <c r="V48" i="10"/>
  <c r="U48" i="10"/>
  <c r="T48" i="10"/>
  <c r="O48" i="10"/>
  <c r="N48" i="10"/>
  <c r="M48" i="10"/>
  <c r="U47" i="10"/>
  <c r="S47" i="10"/>
  <c r="P47" i="10"/>
  <c r="O47" i="10"/>
  <c r="M47" i="10"/>
  <c r="V46" i="10"/>
  <c r="T46" i="10"/>
  <c r="S46" i="10"/>
  <c r="R46" i="10"/>
  <c r="N46" i="10"/>
  <c r="L46" i="10"/>
  <c r="K46" i="10"/>
  <c r="S45" i="10"/>
  <c r="R45" i="10"/>
  <c r="Q45" i="10"/>
  <c r="K45" i="10"/>
  <c r="R44" i="10"/>
  <c r="Q44" i="10"/>
  <c r="P44" i="10"/>
  <c r="Q43" i="10"/>
  <c r="P43" i="10"/>
  <c r="O43" i="10"/>
  <c r="P42" i="10"/>
  <c r="O42" i="10"/>
  <c r="N42" i="10"/>
  <c r="O41" i="10"/>
  <c r="N41" i="10"/>
  <c r="M41" i="10"/>
  <c r="U40" i="10"/>
  <c r="L40" i="10"/>
  <c r="J32" i="10"/>
  <c r="T31" i="10"/>
  <c r="R31" i="10"/>
  <c r="Q31" i="10"/>
  <c r="P31" i="10"/>
  <c r="L31" i="10"/>
  <c r="J31" i="10"/>
  <c r="V29" i="10"/>
  <c r="W29" i="10" s="1"/>
  <c r="U29" i="10"/>
  <c r="W28" i="10"/>
  <c r="O28" i="10"/>
  <c r="N28" i="10"/>
  <c r="AF12" i="10" s="1"/>
  <c r="AE12" i="10" s="1"/>
  <c r="M28" i="10"/>
  <c r="L28" i="10"/>
  <c r="K28" i="10"/>
  <c r="K31" i="10" s="1"/>
  <c r="V27" i="10"/>
  <c r="U27" i="10"/>
  <c r="T27" i="10"/>
  <c r="S27" i="10"/>
  <c r="R27" i="10"/>
  <c r="Q27" i="10"/>
  <c r="P27" i="10"/>
  <c r="O27" i="10"/>
  <c r="AF11" i="10" s="1"/>
  <c r="N27" i="10"/>
  <c r="W27" i="10" s="1"/>
  <c r="X27" i="10" s="1"/>
  <c r="Y27" i="10" s="1"/>
  <c r="V26" i="10"/>
  <c r="V31" i="10" s="1"/>
  <c r="U26" i="10"/>
  <c r="U31" i="10" s="1"/>
  <c r="T26" i="10"/>
  <c r="S26" i="10"/>
  <c r="S31" i="10" s="1"/>
  <c r="R26" i="10"/>
  <c r="Q26" i="10"/>
  <c r="P26" i="10"/>
  <c r="O26" i="10"/>
  <c r="N26" i="10"/>
  <c r="N31" i="10" s="1"/>
  <c r="M26" i="10"/>
  <c r="M31" i="10" s="1"/>
  <c r="L26" i="10"/>
  <c r="W26" i="10" s="1"/>
  <c r="X25" i="10"/>
  <c r="Y25" i="10" s="1"/>
  <c r="W25" i="10"/>
  <c r="X24" i="10"/>
  <c r="Y24" i="10" s="1"/>
  <c r="W24" i="10"/>
  <c r="Y23" i="10"/>
  <c r="X23" i="10"/>
  <c r="W23" i="10"/>
  <c r="W22" i="10"/>
  <c r="X22" i="10" s="1"/>
  <c r="Y22" i="10" s="1"/>
  <c r="X21" i="10"/>
  <c r="Y21" i="10" s="1"/>
  <c r="W21" i="10"/>
  <c r="K17" i="10"/>
  <c r="J17" i="10"/>
  <c r="J18" i="10" s="1"/>
  <c r="V16" i="10"/>
  <c r="U16" i="10"/>
  <c r="U93" i="10" s="1"/>
  <c r="T16" i="10"/>
  <c r="T93" i="10" s="1"/>
  <c r="S16" i="10"/>
  <c r="S93" i="10" s="1"/>
  <c r="R16" i="10"/>
  <c r="R93" i="10" s="1"/>
  <c r="Q16" i="10"/>
  <c r="Q93" i="10" s="1"/>
  <c r="P16" i="10"/>
  <c r="P93" i="10" s="1"/>
  <c r="O16" i="10"/>
  <c r="O93" i="10" s="1"/>
  <c r="N16" i="10"/>
  <c r="N93" i="10" s="1"/>
  <c r="M16" i="10"/>
  <c r="M50" i="10" s="1"/>
  <c r="L16" i="10"/>
  <c r="K16" i="10"/>
  <c r="K78" i="10" s="1"/>
  <c r="V15" i="10"/>
  <c r="V77" i="10" s="1"/>
  <c r="U15" i="10"/>
  <c r="U77" i="10" s="1"/>
  <c r="T15" i="10"/>
  <c r="T49" i="10" s="1"/>
  <c r="S15" i="10"/>
  <c r="S92" i="10" s="1"/>
  <c r="R15" i="10"/>
  <c r="R92" i="10" s="1"/>
  <c r="Q15" i="10"/>
  <c r="P15" i="10"/>
  <c r="O15" i="10"/>
  <c r="O49" i="10" s="1"/>
  <c r="N15" i="10"/>
  <c r="M15" i="10"/>
  <c r="M92" i="10" s="1"/>
  <c r="L15" i="10"/>
  <c r="L92" i="10" s="1"/>
  <c r="K15" i="10"/>
  <c r="K49" i="10" s="1"/>
  <c r="V14" i="10"/>
  <c r="V76" i="10" s="1"/>
  <c r="U14" i="10"/>
  <c r="U76" i="10" s="1"/>
  <c r="T14" i="10"/>
  <c r="T91" i="10" s="1"/>
  <c r="S14" i="10"/>
  <c r="S48" i="10" s="1"/>
  <c r="R14" i="10"/>
  <c r="Q14" i="10"/>
  <c r="Q91" i="10" s="1"/>
  <c r="P14" i="10"/>
  <c r="O14" i="10"/>
  <c r="O76" i="10" s="1"/>
  <c r="N14" i="10"/>
  <c r="N76" i="10" s="1"/>
  <c r="M14" i="10"/>
  <c r="L14" i="10"/>
  <c r="L76" i="10" s="1"/>
  <c r="K14" i="10"/>
  <c r="K76" i="10" s="1"/>
  <c r="V13" i="10"/>
  <c r="V75" i="10" s="1"/>
  <c r="U13" i="10"/>
  <c r="U75" i="10" s="1"/>
  <c r="T13" i="10"/>
  <c r="S13" i="10"/>
  <c r="S75" i="10" s="1"/>
  <c r="R13" i="10"/>
  <c r="Q13" i="10"/>
  <c r="Q47" i="10" s="1"/>
  <c r="P13" i="10"/>
  <c r="P90" i="10" s="1"/>
  <c r="O13" i="10"/>
  <c r="O90" i="10" s="1"/>
  <c r="N13" i="10"/>
  <c r="N90" i="10" s="1"/>
  <c r="M13" i="10"/>
  <c r="M90" i="10" s="1"/>
  <c r="L13" i="10"/>
  <c r="L75" i="10" s="1"/>
  <c r="K13" i="10"/>
  <c r="K75" i="10" s="1"/>
  <c r="AG12" i="10"/>
  <c r="W12" i="10"/>
  <c r="V12" i="10"/>
  <c r="V74" i="10" s="1"/>
  <c r="U12" i="10"/>
  <c r="U89" i="10" s="1"/>
  <c r="T12" i="10"/>
  <c r="T74" i="10" s="1"/>
  <c r="S12" i="10"/>
  <c r="S74" i="10" s="1"/>
  <c r="R12" i="10"/>
  <c r="R74" i="10" s="1"/>
  <c r="Q12" i="10"/>
  <c r="Q46" i="10" s="1"/>
  <c r="P12" i="10"/>
  <c r="P74" i="10" s="1"/>
  <c r="O12" i="10"/>
  <c r="N12" i="10"/>
  <c r="N89" i="10" s="1"/>
  <c r="M12" i="10"/>
  <c r="M89" i="10" s="1"/>
  <c r="L12" i="10"/>
  <c r="L89" i="10" s="1"/>
  <c r="K12" i="10"/>
  <c r="K89" i="10" s="1"/>
  <c r="AG11" i="10"/>
  <c r="AE11" i="10"/>
  <c r="AH11" i="10" s="1"/>
  <c r="V11" i="10"/>
  <c r="U11" i="10"/>
  <c r="U73" i="10" s="1"/>
  <c r="T11" i="10"/>
  <c r="T73" i="10" s="1"/>
  <c r="S11" i="10"/>
  <c r="S73" i="10" s="1"/>
  <c r="R11" i="10"/>
  <c r="R73" i="10" s="1"/>
  <c r="Q11" i="10"/>
  <c r="Q73" i="10" s="1"/>
  <c r="P11" i="10"/>
  <c r="P45" i="10" s="1"/>
  <c r="O11" i="10"/>
  <c r="N11" i="10"/>
  <c r="N88" i="10" s="1"/>
  <c r="M11" i="10"/>
  <c r="L11" i="10"/>
  <c r="L73" i="10" s="1"/>
  <c r="K11" i="10"/>
  <c r="K88" i="10" s="1"/>
  <c r="J11" i="10"/>
  <c r="J88" i="10" s="1"/>
  <c r="Y88" i="10" s="1"/>
  <c r="AG10" i="10"/>
  <c r="AF10" i="10"/>
  <c r="AE10" i="10" s="1"/>
  <c r="V10" i="10"/>
  <c r="U10" i="10"/>
  <c r="U87" i="10" s="1"/>
  <c r="T10" i="10"/>
  <c r="S10" i="10"/>
  <c r="S87" i="10" s="1"/>
  <c r="R10" i="10"/>
  <c r="R87" i="10" s="1"/>
  <c r="Q10" i="10"/>
  <c r="Q87" i="10" s="1"/>
  <c r="P10" i="10"/>
  <c r="P87" i="10" s="1"/>
  <c r="O10" i="10"/>
  <c r="O87" i="10" s="1"/>
  <c r="N10" i="10"/>
  <c r="N44" i="10" s="1"/>
  <c r="M10" i="10"/>
  <c r="M44" i="10" s="1"/>
  <c r="L10" i="10"/>
  <c r="L44" i="10" s="1"/>
  <c r="K10" i="10"/>
  <c r="K44" i="10" s="1"/>
  <c r="AG9" i="10"/>
  <c r="AF9" i="10"/>
  <c r="AE9" i="10" s="1"/>
  <c r="V9" i="10"/>
  <c r="V71" i="10" s="1"/>
  <c r="U9" i="10"/>
  <c r="U86" i="10" s="1"/>
  <c r="T9" i="10"/>
  <c r="T86" i="10" s="1"/>
  <c r="S9" i="10"/>
  <c r="S86" i="10" s="1"/>
  <c r="R9" i="10"/>
  <c r="R86" i="10" s="1"/>
  <c r="Q9" i="10"/>
  <c r="Q86" i="10" s="1"/>
  <c r="P9" i="10"/>
  <c r="P86" i="10" s="1"/>
  <c r="O9" i="10"/>
  <c r="O86" i="10" s="1"/>
  <c r="N9" i="10"/>
  <c r="N86" i="10" s="1"/>
  <c r="M9" i="10"/>
  <c r="M86" i="10" s="1"/>
  <c r="L9" i="10"/>
  <c r="K9" i="10"/>
  <c r="K71" i="10" s="1"/>
  <c r="AH8" i="10"/>
  <c r="AG8" i="10"/>
  <c r="AF8" i="10"/>
  <c r="AE8" i="10"/>
  <c r="V8" i="10"/>
  <c r="V85" i="10" s="1"/>
  <c r="U8" i="10"/>
  <c r="U85" i="10" s="1"/>
  <c r="T8" i="10"/>
  <c r="T70" i="10" s="1"/>
  <c r="S8" i="10"/>
  <c r="S70" i="10" s="1"/>
  <c r="R8" i="10"/>
  <c r="Q8" i="10"/>
  <c r="P8" i="10"/>
  <c r="O8" i="10"/>
  <c r="O85" i="10" s="1"/>
  <c r="N8" i="10"/>
  <c r="N85" i="10" s="1"/>
  <c r="M8" i="10"/>
  <c r="M42" i="10" s="1"/>
  <c r="L8" i="10"/>
  <c r="L42" i="10" s="1"/>
  <c r="K8" i="10"/>
  <c r="K42" i="10" s="1"/>
  <c r="AG7" i="10"/>
  <c r="AF7" i="10"/>
  <c r="AE7" i="10" s="1"/>
  <c r="AH7" i="10" s="1"/>
  <c r="V7" i="10"/>
  <c r="U7" i="10"/>
  <c r="U84" i="10" s="1"/>
  <c r="T7" i="10"/>
  <c r="T84" i="10" s="1"/>
  <c r="S7" i="10"/>
  <c r="S69" i="10" s="1"/>
  <c r="R7" i="10"/>
  <c r="R69" i="10" s="1"/>
  <c r="Q7" i="10"/>
  <c r="Q69" i="10" s="1"/>
  <c r="P7" i="10"/>
  <c r="P41" i="10" s="1"/>
  <c r="O7" i="10"/>
  <c r="O84" i="10" s="1"/>
  <c r="N7" i="10"/>
  <c r="N69" i="10" s="1"/>
  <c r="M7" i="10"/>
  <c r="M69" i="10" s="1"/>
  <c r="L7" i="10"/>
  <c r="L41" i="10" s="1"/>
  <c r="K7" i="10"/>
  <c r="K41" i="10" s="1"/>
  <c r="J7" i="10"/>
  <c r="J84" i="10" s="1"/>
  <c r="J94" i="10" s="1"/>
  <c r="Y94" i="10" s="1"/>
  <c r="AG6" i="10"/>
  <c r="AF6" i="10"/>
  <c r="AE6" i="10" s="1"/>
  <c r="AH6" i="10" s="1"/>
  <c r="V6" i="10"/>
  <c r="V17" i="10" s="1"/>
  <c r="U6" i="10"/>
  <c r="U83" i="10" s="1"/>
  <c r="T6" i="10"/>
  <c r="T83" i="10" s="1"/>
  <c r="S6" i="10"/>
  <c r="S83" i="10" s="1"/>
  <c r="R6" i="10"/>
  <c r="R83" i="10" s="1"/>
  <c r="Q6" i="10"/>
  <c r="Q83" i="10" s="1"/>
  <c r="P6" i="10"/>
  <c r="P83" i="10" s="1"/>
  <c r="O6" i="10"/>
  <c r="N6" i="10"/>
  <c r="M6" i="10"/>
  <c r="L6" i="10"/>
  <c r="L68" i="10" s="1"/>
  <c r="K6" i="10"/>
  <c r="K40" i="10" s="1"/>
  <c r="AF5" i="10"/>
  <c r="W1" i="10"/>
  <c r="E273" i="9"/>
  <c r="E161" i="9"/>
  <c r="M153" i="9"/>
  <c r="V148" i="9"/>
  <c r="U148" i="9"/>
  <c r="T148" i="9"/>
  <c r="S148" i="9"/>
  <c r="R148" i="9"/>
  <c r="Q148" i="9"/>
  <c r="P148" i="9"/>
  <c r="O148" i="9"/>
  <c r="N148" i="9"/>
  <c r="M148" i="9"/>
  <c r="L148" i="9"/>
  <c r="K148" i="9"/>
  <c r="P147" i="9"/>
  <c r="P149" i="9" s="1"/>
  <c r="U143" i="9"/>
  <c r="U153" i="9" s="1"/>
  <c r="M143" i="9"/>
  <c r="V138" i="9"/>
  <c r="U138" i="9"/>
  <c r="T138" i="9"/>
  <c r="S138" i="9"/>
  <c r="R138" i="9"/>
  <c r="Q138" i="9"/>
  <c r="P138" i="9"/>
  <c r="O138" i="9"/>
  <c r="N138" i="9"/>
  <c r="M138" i="9"/>
  <c r="L138" i="9"/>
  <c r="K138" i="9"/>
  <c r="V137" i="9"/>
  <c r="U137" i="9"/>
  <c r="T137" i="9"/>
  <c r="S137" i="9"/>
  <c r="R137" i="9"/>
  <c r="Q137" i="9"/>
  <c r="P137" i="9"/>
  <c r="O137" i="9"/>
  <c r="N137" i="9"/>
  <c r="M137" i="9"/>
  <c r="L137" i="9"/>
  <c r="K137" i="9"/>
  <c r="V136" i="9"/>
  <c r="U136" i="9"/>
  <c r="T136" i="9"/>
  <c r="S136" i="9"/>
  <c r="R136" i="9"/>
  <c r="Q136" i="9"/>
  <c r="P136" i="9"/>
  <c r="O136" i="9"/>
  <c r="N136" i="9"/>
  <c r="M136" i="9"/>
  <c r="L136" i="9"/>
  <c r="K136" i="9"/>
  <c r="V135" i="9"/>
  <c r="U135" i="9"/>
  <c r="T135" i="9"/>
  <c r="S135" i="9"/>
  <c r="R135" i="9"/>
  <c r="Q135" i="9"/>
  <c r="P135" i="9"/>
  <c r="O135" i="9"/>
  <c r="N135" i="9"/>
  <c r="M135" i="9"/>
  <c r="L135" i="9"/>
  <c r="K135" i="9"/>
  <c r="W135" i="9" s="1"/>
  <c r="V134" i="9"/>
  <c r="U134" i="9"/>
  <c r="T134" i="9"/>
  <c r="S134" i="9"/>
  <c r="R134" i="9"/>
  <c r="Q134" i="9"/>
  <c r="P134" i="9"/>
  <c r="O134" i="9"/>
  <c r="N134" i="9"/>
  <c r="M134" i="9"/>
  <c r="L134" i="9"/>
  <c r="K134" i="9"/>
  <c r="W134" i="9" s="1"/>
  <c r="V133" i="9"/>
  <c r="U133" i="9"/>
  <c r="T133" i="9"/>
  <c r="S133" i="9"/>
  <c r="R133" i="9"/>
  <c r="Q133" i="9"/>
  <c r="P133" i="9"/>
  <c r="O133" i="9"/>
  <c r="N133" i="9"/>
  <c r="M133" i="9"/>
  <c r="L133" i="9"/>
  <c r="K133" i="9"/>
  <c r="V132" i="9"/>
  <c r="U132" i="9"/>
  <c r="T132" i="9"/>
  <c r="S132" i="9"/>
  <c r="R132" i="9"/>
  <c r="Q132" i="9"/>
  <c r="P132" i="9"/>
  <c r="O132" i="9"/>
  <c r="N132" i="9"/>
  <c r="M132" i="9"/>
  <c r="L132" i="9"/>
  <c r="K132" i="9"/>
  <c r="V131" i="9"/>
  <c r="V139" i="9" s="1"/>
  <c r="V142" i="9" s="1"/>
  <c r="U131" i="9"/>
  <c r="U139" i="9" s="1"/>
  <c r="U142" i="9" s="1"/>
  <c r="T131" i="9"/>
  <c r="S131" i="9"/>
  <c r="R131" i="9"/>
  <c r="Q131" i="9"/>
  <c r="P131" i="9"/>
  <c r="O131" i="9"/>
  <c r="N131" i="9"/>
  <c r="N139" i="9" s="1"/>
  <c r="N142" i="9" s="1"/>
  <c r="M131" i="9"/>
  <c r="M139" i="9" s="1"/>
  <c r="M142" i="9" s="1"/>
  <c r="L131" i="9"/>
  <c r="W131" i="9" s="1"/>
  <c r="K131" i="9"/>
  <c r="V130" i="9"/>
  <c r="V143" i="9" s="1"/>
  <c r="V153" i="9" s="1"/>
  <c r="U130" i="9"/>
  <c r="T130" i="9"/>
  <c r="T143" i="9" s="1"/>
  <c r="T153" i="9" s="1"/>
  <c r="S130" i="9"/>
  <c r="S143" i="9" s="1"/>
  <c r="S153" i="9" s="1"/>
  <c r="R130" i="9"/>
  <c r="R143" i="9" s="1"/>
  <c r="R153" i="9" s="1"/>
  <c r="Q130" i="9"/>
  <c r="Q143" i="9" s="1"/>
  <c r="Q153" i="9" s="1"/>
  <c r="P130" i="9"/>
  <c r="P143" i="9" s="1"/>
  <c r="P153" i="9" s="1"/>
  <c r="O130" i="9"/>
  <c r="O143" i="9" s="1"/>
  <c r="O153" i="9" s="1"/>
  <c r="N130" i="9"/>
  <c r="N143" i="9" s="1"/>
  <c r="N153" i="9" s="1"/>
  <c r="M130" i="9"/>
  <c r="L130" i="9"/>
  <c r="L143" i="9" s="1"/>
  <c r="L153" i="9" s="1"/>
  <c r="K130" i="9"/>
  <c r="V129" i="9"/>
  <c r="U129" i="9"/>
  <c r="T129" i="9"/>
  <c r="S129" i="9"/>
  <c r="S139" i="9" s="1"/>
  <c r="S142" i="9" s="1"/>
  <c r="R129" i="9"/>
  <c r="Q129" i="9"/>
  <c r="P129" i="9"/>
  <c r="O129" i="9"/>
  <c r="N129" i="9"/>
  <c r="M129" i="9"/>
  <c r="L129" i="9"/>
  <c r="L139" i="9" s="1"/>
  <c r="L142" i="9" s="1"/>
  <c r="K129" i="9"/>
  <c r="W124" i="9"/>
  <c r="R122" i="9"/>
  <c r="Q122" i="9"/>
  <c r="P122" i="9"/>
  <c r="N122" i="9"/>
  <c r="U121" i="9"/>
  <c r="T121" i="9"/>
  <c r="T123" i="9" s="1"/>
  <c r="O121" i="9"/>
  <c r="N121" i="9"/>
  <c r="T120" i="9"/>
  <c r="M117" i="9"/>
  <c r="K117" i="9"/>
  <c r="V116" i="9"/>
  <c r="V122" i="9" s="1"/>
  <c r="U116" i="9"/>
  <c r="U122" i="9" s="1"/>
  <c r="T116" i="9"/>
  <c r="T122" i="9" s="1"/>
  <c r="S116" i="9"/>
  <c r="S122" i="9" s="1"/>
  <c r="R116" i="9"/>
  <c r="Q116" i="9"/>
  <c r="P116" i="9"/>
  <c r="O116" i="9"/>
  <c r="O122" i="9" s="1"/>
  <c r="N116" i="9"/>
  <c r="M116" i="9"/>
  <c r="M122" i="9" s="1"/>
  <c r="L116" i="9"/>
  <c r="K116" i="9"/>
  <c r="V115" i="9"/>
  <c r="U115" i="9"/>
  <c r="T115" i="9"/>
  <c r="T22" i="9" s="1"/>
  <c r="S115" i="9"/>
  <c r="R115" i="9"/>
  <c r="Q115" i="9"/>
  <c r="P115" i="9"/>
  <c r="O115" i="9"/>
  <c r="N115" i="9"/>
  <c r="M115" i="9"/>
  <c r="L115" i="9"/>
  <c r="K115" i="9"/>
  <c r="V114" i="9"/>
  <c r="U114" i="9"/>
  <c r="T114" i="9"/>
  <c r="S114" i="9"/>
  <c r="R114" i="9"/>
  <c r="Q114" i="9"/>
  <c r="W114" i="9" s="1"/>
  <c r="P114" i="9"/>
  <c r="O114" i="9"/>
  <c r="N114" i="9"/>
  <c r="M114" i="9"/>
  <c r="L114" i="9"/>
  <c r="K114" i="9"/>
  <c r="V113" i="9"/>
  <c r="U113" i="9"/>
  <c r="T113" i="9"/>
  <c r="S113" i="9"/>
  <c r="R113" i="9"/>
  <c r="Q113" i="9"/>
  <c r="P113" i="9"/>
  <c r="O113" i="9"/>
  <c r="W113" i="9" s="1"/>
  <c r="N113" i="9"/>
  <c r="M113" i="9"/>
  <c r="L113" i="9"/>
  <c r="K113" i="9"/>
  <c r="V112" i="9"/>
  <c r="U112" i="9"/>
  <c r="T112" i="9"/>
  <c r="S112" i="9"/>
  <c r="R112" i="9"/>
  <c r="Q112" i="9"/>
  <c r="P112" i="9"/>
  <c r="O112" i="9"/>
  <c r="N112" i="9"/>
  <c r="N22" i="9" s="1"/>
  <c r="M112" i="9"/>
  <c r="L112" i="9"/>
  <c r="K112" i="9"/>
  <c r="W112" i="9" s="1"/>
  <c r="V111" i="9"/>
  <c r="U111" i="9"/>
  <c r="T111" i="9"/>
  <c r="S111" i="9"/>
  <c r="R111" i="9"/>
  <c r="Q111" i="9"/>
  <c r="P111" i="9"/>
  <c r="O111" i="9"/>
  <c r="N111" i="9"/>
  <c r="M111" i="9"/>
  <c r="L111" i="9"/>
  <c r="K111" i="9"/>
  <c r="V110" i="9"/>
  <c r="U110" i="9"/>
  <c r="T110" i="9"/>
  <c r="S110" i="9"/>
  <c r="R110" i="9"/>
  <c r="Q110" i="9"/>
  <c r="P110" i="9"/>
  <c r="O110" i="9"/>
  <c r="N110" i="9"/>
  <c r="M110" i="9"/>
  <c r="L110" i="9"/>
  <c r="K110" i="9"/>
  <c r="W110" i="9" s="1"/>
  <c r="V109" i="9"/>
  <c r="U109" i="9"/>
  <c r="T109" i="9"/>
  <c r="S109" i="9"/>
  <c r="S121" i="9" s="1"/>
  <c r="R109" i="9"/>
  <c r="R121" i="9" s="1"/>
  <c r="Q109" i="9"/>
  <c r="Q121" i="9" s="1"/>
  <c r="P109" i="9"/>
  <c r="P121" i="9" s="1"/>
  <c r="O109" i="9"/>
  <c r="N109" i="9"/>
  <c r="M109" i="9"/>
  <c r="M121" i="9" s="1"/>
  <c r="L109" i="9"/>
  <c r="L121" i="9" s="1"/>
  <c r="K109" i="9"/>
  <c r="V108" i="9"/>
  <c r="V120" i="9" s="1"/>
  <c r="U108" i="9"/>
  <c r="T108" i="9"/>
  <c r="S108" i="9"/>
  <c r="S117" i="9" s="1"/>
  <c r="R108" i="9"/>
  <c r="Q108" i="9"/>
  <c r="P108" i="9"/>
  <c r="O108" i="9"/>
  <c r="O120" i="9" s="1"/>
  <c r="N108" i="9"/>
  <c r="N120" i="9" s="1"/>
  <c r="M108" i="9"/>
  <c r="M120" i="9" s="1"/>
  <c r="M123" i="9" s="1"/>
  <c r="L108" i="9"/>
  <c r="L120" i="9" s="1"/>
  <c r="K108" i="9"/>
  <c r="K120" i="9" s="1"/>
  <c r="V103" i="9"/>
  <c r="U103" i="9"/>
  <c r="T103" i="9"/>
  <c r="P102" i="9"/>
  <c r="O102" i="9"/>
  <c r="N102" i="9"/>
  <c r="O99" i="9"/>
  <c r="M99" i="9"/>
  <c r="V97" i="9"/>
  <c r="S97" i="9"/>
  <c r="O96" i="9"/>
  <c r="V94" i="9"/>
  <c r="O93" i="9"/>
  <c r="V88" i="9"/>
  <c r="S87" i="9"/>
  <c r="R87" i="9"/>
  <c r="Q87" i="9"/>
  <c r="N86" i="9"/>
  <c r="M86" i="9"/>
  <c r="L86" i="9"/>
  <c r="V84" i="9"/>
  <c r="U84" i="9"/>
  <c r="T84" i="9"/>
  <c r="Q83" i="9"/>
  <c r="O83" i="9"/>
  <c r="S80" i="9"/>
  <c r="Q80" i="9"/>
  <c r="N79" i="9"/>
  <c r="K79" i="9"/>
  <c r="U77" i="9"/>
  <c r="S77" i="9"/>
  <c r="V73" i="9"/>
  <c r="U73" i="9"/>
  <c r="T73" i="9"/>
  <c r="S73" i="9"/>
  <c r="R73" i="9"/>
  <c r="Q73" i="9"/>
  <c r="P73" i="9"/>
  <c r="O73" i="9"/>
  <c r="N73" i="9"/>
  <c r="M73" i="9"/>
  <c r="L73" i="9"/>
  <c r="K73" i="9"/>
  <c r="W73" i="9" s="1"/>
  <c r="V72" i="9"/>
  <c r="U72" i="9"/>
  <c r="T72" i="9"/>
  <c r="S72" i="9"/>
  <c r="R72" i="9"/>
  <c r="Q72" i="9"/>
  <c r="P72" i="9"/>
  <c r="O72" i="9"/>
  <c r="N72" i="9"/>
  <c r="M72" i="9"/>
  <c r="L72" i="9"/>
  <c r="K72" i="9"/>
  <c r="W72" i="9" s="1"/>
  <c r="V71" i="9"/>
  <c r="U71" i="9"/>
  <c r="W71" i="9" s="1"/>
  <c r="T71" i="9"/>
  <c r="S71" i="9"/>
  <c r="R71" i="9"/>
  <c r="Q71" i="9"/>
  <c r="P71" i="9"/>
  <c r="O71" i="9"/>
  <c r="N71" i="9"/>
  <c r="M71" i="9"/>
  <c r="L71" i="9"/>
  <c r="K71" i="9"/>
  <c r="V70" i="9"/>
  <c r="U70" i="9"/>
  <c r="T70" i="9"/>
  <c r="S70" i="9"/>
  <c r="R70" i="9"/>
  <c r="Q70" i="9"/>
  <c r="P70" i="9"/>
  <c r="O70" i="9"/>
  <c r="N70" i="9"/>
  <c r="M70" i="9"/>
  <c r="L70" i="9"/>
  <c r="K70" i="9"/>
  <c r="V69" i="9"/>
  <c r="U69" i="9"/>
  <c r="T69" i="9"/>
  <c r="S69" i="9"/>
  <c r="R69" i="9"/>
  <c r="Q69" i="9"/>
  <c r="P69" i="9"/>
  <c r="O69" i="9"/>
  <c r="W69" i="9" s="1"/>
  <c r="N69" i="9"/>
  <c r="M69" i="9"/>
  <c r="L69" i="9"/>
  <c r="K69" i="9"/>
  <c r="V68" i="9"/>
  <c r="U68" i="9"/>
  <c r="T68" i="9"/>
  <c r="S68" i="9"/>
  <c r="R68" i="9"/>
  <c r="Q68" i="9"/>
  <c r="P68" i="9"/>
  <c r="O68" i="9"/>
  <c r="N68" i="9"/>
  <c r="M68" i="9"/>
  <c r="L68" i="9"/>
  <c r="K68" i="9"/>
  <c r="E68" i="9"/>
  <c r="V67" i="9"/>
  <c r="U67" i="9"/>
  <c r="T67" i="9"/>
  <c r="S67" i="9"/>
  <c r="R67" i="9"/>
  <c r="Q67" i="9"/>
  <c r="P67" i="9"/>
  <c r="O67" i="9"/>
  <c r="N67" i="9"/>
  <c r="M67" i="9"/>
  <c r="L67" i="9"/>
  <c r="K67" i="9"/>
  <c r="W67" i="9" s="1"/>
  <c r="W66" i="9"/>
  <c r="V66" i="9"/>
  <c r="U66" i="9"/>
  <c r="T66" i="9"/>
  <c r="S66" i="9"/>
  <c r="R66" i="9"/>
  <c r="Q66" i="9"/>
  <c r="P66" i="9"/>
  <c r="O66" i="9"/>
  <c r="N66" i="9"/>
  <c r="M66" i="9"/>
  <c r="L66" i="9"/>
  <c r="K66" i="9"/>
  <c r="V65" i="9"/>
  <c r="U65" i="9"/>
  <c r="T65" i="9"/>
  <c r="S65" i="9"/>
  <c r="R65" i="9"/>
  <c r="Q65" i="9"/>
  <c r="P65" i="9"/>
  <c r="O65" i="9"/>
  <c r="N65" i="9"/>
  <c r="M65" i="9"/>
  <c r="L65" i="9"/>
  <c r="K65" i="9"/>
  <c r="V64" i="9"/>
  <c r="U64" i="9"/>
  <c r="T64" i="9"/>
  <c r="S64" i="9"/>
  <c r="R64" i="9"/>
  <c r="Q64" i="9"/>
  <c r="P64" i="9"/>
  <c r="O64" i="9"/>
  <c r="N64" i="9"/>
  <c r="M64" i="9"/>
  <c r="L64" i="9"/>
  <c r="K64" i="9"/>
  <c r="V63" i="9"/>
  <c r="U63" i="9"/>
  <c r="T63" i="9"/>
  <c r="S63" i="9"/>
  <c r="R63" i="9"/>
  <c r="Q63" i="9"/>
  <c r="P63" i="9"/>
  <c r="P74" i="9" s="1"/>
  <c r="O63" i="9"/>
  <c r="N63" i="9"/>
  <c r="W63" i="9" s="1"/>
  <c r="M63" i="9"/>
  <c r="L63" i="9"/>
  <c r="K63" i="9"/>
  <c r="V62" i="9"/>
  <c r="U62" i="9"/>
  <c r="U74" i="9" s="1"/>
  <c r="T62" i="9"/>
  <c r="S62" i="9"/>
  <c r="S74" i="9" s="1"/>
  <c r="R62" i="9"/>
  <c r="Q62" i="9"/>
  <c r="P62" i="9"/>
  <c r="O62" i="9"/>
  <c r="N62" i="9"/>
  <c r="M62" i="9"/>
  <c r="M74" i="9" s="1"/>
  <c r="L62" i="9"/>
  <c r="K62" i="9"/>
  <c r="S58" i="9"/>
  <c r="O58" i="9"/>
  <c r="N58" i="9"/>
  <c r="M58" i="9"/>
  <c r="K58" i="9"/>
  <c r="V57" i="9"/>
  <c r="U57" i="9"/>
  <c r="U56" i="9"/>
  <c r="Q56" i="9"/>
  <c r="O56" i="9"/>
  <c r="U55" i="9"/>
  <c r="T55" i="9"/>
  <c r="S55" i="9"/>
  <c r="R55" i="9"/>
  <c r="Q55" i="9"/>
  <c r="Q54" i="9"/>
  <c r="P54" i="9"/>
  <c r="O54" i="9"/>
  <c r="U53" i="9"/>
  <c r="O53" i="9"/>
  <c r="N53" i="9"/>
  <c r="M53" i="9"/>
  <c r="R52" i="9"/>
  <c r="Q52" i="9"/>
  <c r="M52" i="9"/>
  <c r="L52" i="9"/>
  <c r="K52" i="9"/>
  <c r="V49" i="9"/>
  <c r="U49" i="9"/>
  <c r="U48" i="9"/>
  <c r="T48" i="9"/>
  <c r="S47" i="9"/>
  <c r="V38" i="9"/>
  <c r="U38" i="9"/>
  <c r="M38" i="9"/>
  <c r="L38" i="9"/>
  <c r="V36" i="9"/>
  <c r="U36" i="9"/>
  <c r="O35" i="9"/>
  <c r="N35" i="9"/>
  <c r="M35" i="9"/>
  <c r="L35" i="9"/>
  <c r="K35" i="9"/>
  <c r="W35" i="9" s="1"/>
  <c r="V34" i="9"/>
  <c r="U34" i="9"/>
  <c r="T34" i="9"/>
  <c r="S34" i="9"/>
  <c r="R34" i="9"/>
  <c r="AG14" i="9" s="1"/>
  <c r="AF14" i="9" s="1"/>
  <c r="AI14" i="9" s="1"/>
  <c r="Q34" i="9"/>
  <c r="P34" i="9"/>
  <c r="O34" i="9"/>
  <c r="N34" i="9"/>
  <c r="W34" i="9" s="1"/>
  <c r="V33" i="9"/>
  <c r="U33" i="9"/>
  <c r="T33" i="9"/>
  <c r="T38" i="9" s="1"/>
  <c r="S33" i="9"/>
  <c r="S38" i="9" s="1"/>
  <c r="R33" i="9"/>
  <c r="R38" i="9" s="1"/>
  <c r="Q33" i="9"/>
  <c r="Q38" i="9" s="1"/>
  <c r="P33" i="9"/>
  <c r="P38" i="9" s="1"/>
  <c r="O33" i="9"/>
  <c r="O38" i="9" s="1"/>
  <c r="N33" i="9"/>
  <c r="M33" i="9"/>
  <c r="L33" i="9"/>
  <c r="W32" i="9"/>
  <c r="W31" i="9"/>
  <c r="X31" i="9" s="1"/>
  <c r="Y31" i="9" s="1"/>
  <c r="W30" i="9"/>
  <c r="X29" i="9"/>
  <c r="Y29" i="9" s="1"/>
  <c r="W29" i="9"/>
  <c r="W28" i="9"/>
  <c r="X28" i="9" s="1"/>
  <c r="Y28" i="9" s="1"/>
  <c r="W27" i="9"/>
  <c r="X27" i="9" s="1"/>
  <c r="Y27" i="9" s="1"/>
  <c r="S22" i="9"/>
  <c r="R22" i="9"/>
  <c r="Q22" i="9"/>
  <c r="P22" i="9"/>
  <c r="P23" i="9" s="1"/>
  <c r="O22" i="9"/>
  <c r="O23" i="9" s="1"/>
  <c r="M22" i="9"/>
  <c r="K22" i="9"/>
  <c r="J19" i="9"/>
  <c r="P18" i="9"/>
  <c r="O18" i="9"/>
  <c r="V17" i="9"/>
  <c r="U17" i="9"/>
  <c r="T17" i="9"/>
  <c r="S17" i="9"/>
  <c r="S88" i="9" s="1"/>
  <c r="R17" i="9"/>
  <c r="R88" i="9" s="1"/>
  <c r="Q17" i="9"/>
  <c r="Q104" i="9" s="1"/>
  <c r="P17" i="9"/>
  <c r="P88" i="9" s="1"/>
  <c r="O17" i="9"/>
  <c r="O104" i="9" s="1"/>
  <c r="N17" i="9"/>
  <c r="N88" i="9" s="1"/>
  <c r="M17" i="9"/>
  <c r="M88" i="9" s="1"/>
  <c r="L17" i="9"/>
  <c r="L88" i="9" s="1"/>
  <c r="K17" i="9"/>
  <c r="K88" i="9" s="1"/>
  <c r="AH16" i="9"/>
  <c r="V16" i="9"/>
  <c r="V87" i="9" s="1"/>
  <c r="U16" i="9"/>
  <c r="U87" i="9" s="1"/>
  <c r="T16" i="9"/>
  <c r="T87" i="9" s="1"/>
  <c r="S16" i="9"/>
  <c r="S57" i="9" s="1"/>
  <c r="R16" i="9"/>
  <c r="R103" i="9" s="1"/>
  <c r="Q16" i="9"/>
  <c r="Q103" i="9" s="1"/>
  <c r="P16" i="9"/>
  <c r="P103" i="9" s="1"/>
  <c r="O16" i="9"/>
  <c r="O87" i="9" s="1"/>
  <c r="N16" i="9"/>
  <c r="N103" i="9" s="1"/>
  <c r="M16" i="9"/>
  <c r="L16" i="9"/>
  <c r="K16" i="9"/>
  <c r="AH15" i="9"/>
  <c r="AG15" i="9"/>
  <c r="AF15" i="9" s="1"/>
  <c r="V15" i="9"/>
  <c r="V86" i="9" s="1"/>
  <c r="U15" i="9"/>
  <c r="T15" i="9"/>
  <c r="S15" i="9"/>
  <c r="R15" i="9"/>
  <c r="Q15" i="9"/>
  <c r="Q86" i="9" s="1"/>
  <c r="P15" i="9"/>
  <c r="P56" i="9" s="1"/>
  <c r="O15" i="9"/>
  <c r="O86" i="9" s="1"/>
  <c r="N15" i="9"/>
  <c r="N56" i="9" s="1"/>
  <c r="M15" i="9"/>
  <c r="M56" i="9" s="1"/>
  <c r="L15" i="9"/>
  <c r="L102" i="9" s="1"/>
  <c r="K15" i="9"/>
  <c r="K102" i="9" s="1"/>
  <c r="AH14" i="9"/>
  <c r="V14" i="9"/>
  <c r="V101" i="9" s="1"/>
  <c r="U14" i="9"/>
  <c r="U101" i="9" s="1"/>
  <c r="T14" i="9"/>
  <c r="T101" i="9" s="1"/>
  <c r="S14" i="9"/>
  <c r="S101" i="9" s="1"/>
  <c r="R14" i="9"/>
  <c r="R101" i="9" s="1"/>
  <c r="Q14" i="9"/>
  <c r="P14" i="9"/>
  <c r="P101" i="9" s="1"/>
  <c r="O14" i="9"/>
  <c r="O85" i="9" s="1"/>
  <c r="N14" i="9"/>
  <c r="N55" i="9" s="1"/>
  <c r="M14" i="9"/>
  <c r="M55" i="9" s="1"/>
  <c r="L14" i="9"/>
  <c r="K14" i="9"/>
  <c r="AH13" i="9"/>
  <c r="V13" i="9"/>
  <c r="V54" i="9" s="1"/>
  <c r="U13" i="9"/>
  <c r="U100" i="9" s="1"/>
  <c r="T13" i="9"/>
  <c r="T54" i="9" s="1"/>
  <c r="S13" i="9"/>
  <c r="R13" i="9"/>
  <c r="Q13" i="9"/>
  <c r="Q100" i="9" s="1"/>
  <c r="P13" i="9"/>
  <c r="P100" i="9" s="1"/>
  <c r="O13" i="9"/>
  <c r="O100" i="9" s="1"/>
  <c r="N13" i="9"/>
  <c r="N54" i="9" s="1"/>
  <c r="M13" i="9"/>
  <c r="M54" i="9" s="1"/>
  <c r="L13" i="9"/>
  <c r="L84" i="9" s="1"/>
  <c r="K13" i="9"/>
  <c r="K54" i="9" s="1"/>
  <c r="AH12" i="9"/>
  <c r="AG12" i="9"/>
  <c r="AF12" i="9" s="1"/>
  <c r="V12" i="9"/>
  <c r="V53" i="9" s="1"/>
  <c r="U12" i="9"/>
  <c r="T12" i="9"/>
  <c r="T53" i="9" s="1"/>
  <c r="S12" i="9"/>
  <c r="S53" i="9" s="1"/>
  <c r="R12" i="9"/>
  <c r="R99" i="9" s="1"/>
  <c r="Q12" i="9"/>
  <c r="Q53" i="9" s="1"/>
  <c r="P12" i="9"/>
  <c r="P99" i="9" s="1"/>
  <c r="O12" i="9"/>
  <c r="N12" i="9"/>
  <c r="N99" i="9" s="1"/>
  <c r="M12" i="9"/>
  <c r="M83" i="9" s="1"/>
  <c r="L12" i="9"/>
  <c r="K12" i="9"/>
  <c r="J12" i="9"/>
  <c r="AH11" i="9"/>
  <c r="AF11" i="9" s="1"/>
  <c r="AI11" i="9" s="1"/>
  <c r="AG11" i="9"/>
  <c r="V11" i="9"/>
  <c r="V82" i="9" s="1"/>
  <c r="U11" i="9"/>
  <c r="T11" i="9"/>
  <c r="S11" i="9"/>
  <c r="R11" i="9"/>
  <c r="R98" i="9" s="1"/>
  <c r="Q11" i="9"/>
  <c r="Q98" i="9" s="1"/>
  <c r="P11" i="9"/>
  <c r="P98" i="9" s="1"/>
  <c r="O11" i="9"/>
  <c r="O98" i="9" s="1"/>
  <c r="N11" i="9"/>
  <c r="N98" i="9" s="1"/>
  <c r="M11" i="9"/>
  <c r="M98" i="9" s="1"/>
  <c r="L11" i="9"/>
  <c r="L98" i="9" s="1"/>
  <c r="K11" i="9"/>
  <c r="K98" i="9" s="1"/>
  <c r="AH10" i="9"/>
  <c r="AG10" i="9"/>
  <c r="AF10" i="9"/>
  <c r="AI10" i="9" s="1"/>
  <c r="V10" i="9"/>
  <c r="V51" i="9" s="1"/>
  <c r="U10" i="9"/>
  <c r="T10" i="9"/>
  <c r="T81" i="9" s="1"/>
  <c r="S10" i="9"/>
  <c r="S81" i="9" s="1"/>
  <c r="R10" i="9"/>
  <c r="R81" i="9" s="1"/>
  <c r="Q10" i="9"/>
  <c r="Q97" i="9" s="1"/>
  <c r="P10" i="9"/>
  <c r="P97" i="9" s="1"/>
  <c r="O10" i="9"/>
  <c r="O97" i="9" s="1"/>
  <c r="N10" i="9"/>
  <c r="N97" i="9" s="1"/>
  <c r="M10" i="9"/>
  <c r="L10" i="9"/>
  <c r="K10" i="9"/>
  <c r="K51" i="9" s="1"/>
  <c r="J10" i="9"/>
  <c r="AH9" i="9"/>
  <c r="AG9" i="9"/>
  <c r="AF9" i="9"/>
  <c r="V9" i="9"/>
  <c r="U9" i="9"/>
  <c r="T9" i="9"/>
  <c r="S9" i="9"/>
  <c r="S50" i="9" s="1"/>
  <c r="R9" i="9"/>
  <c r="R50" i="9" s="1"/>
  <c r="Q9" i="9"/>
  <c r="Q50" i="9" s="1"/>
  <c r="P9" i="9"/>
  <c r="P80" i="9" s="1"/>
  <c r="O9" i="9"/>
  <c r="O50" i="9" s="1"/>
  <c r="N9" i="9"/>
  <c r="N80" i="9" s="1"/>
  <c r="M9" i="9"/>
  <c r="L9" i="9"/>
  <c r="L80" i="9" s="1"/>
  <c r="K9" i="9"/>
  <c r="K96" i="9" s="1"/>
  <c r="J9" i="9"/>
  <c r="J18" i="9" s="1"/>
  <c r="V8" i="9"/>
  <c r="V95" i="9" s="1"/>
  <c r="U8" i="9"/>
  <c r="U95" i="9" s="1"/>
  <c r="T8" i="9"/>
  <c r="T95" i="9" s="1"/>
  <c r="S8" i="9"/>
  <c r="S49" i="9" s="1"/>
  <c r="R8" i="9"/>
  <c r="Q8" i="9"/>
  <c r="P8" i="9"/>
  <c r="P49" i="9" s="1"/>
  <c r="O8" i="9"/>
  <c r="O79" i="9" s="1"/>
  <c r="N8" i="9"/>
  <c r="N49" i="9" s="1"/>
  <c r="M8" i="9"/>
  <c r="M79" i="9" s="1"/>
  <c r="L8" i="9"/>
  <c r="L49" i="9" s="1"/>
  <c r="K8" i="9"/>
  <c r="AH7" i="9"/>
  <c r="AG7" i="9"/>
  <c r="AF7" i="9"/>
  <c r="AI7" i="9" s="1"/>
  <c r="V7" i="9"/>
  <c r="V78" i="9" s="1"/>
  <c r="U7" i="9"/>
  <c r="T7" i="9"/>
  <c r="T78" i="9" s="1"/>
  <c r="S7" i="9"/>
  <c r="R7" i="9"/>
  <c r="Q7" i="9"/>
  <c r="P7" i="9"/>
  <c r="P94" i="9" s="1"/>
  <c r="O7" i="9"/>
  <c r="O94" i="9" s="1"/>
  <c r="N7" i="9"/>
  <c r="N94" i="9" s="1"/>
  <c r="M7" i="9"/>
  <c r="M94" i="9" s="1"/>
  <c r="L7" i="9"/>
  <c r="L78" i="9" s="1"/>
  <c r="K7" i="9"/>
  <c r="K94" i="9" s="1"/>
  <c r="AG6" i="9"/>
  <c r="V6" i="9"/>
  <c r="V18" i="9" s="1"/>
  <c r="V24" i="9" s="1"/>
  <c r="U6" i="9"/>
  <c r="T6" i="9"/>
  <c r="T18" i="9" s="1"/>
  <c r="S6" i="9"/>
  <c r="S18" i="9" s="1"/>
  <c r="R6" i="9"/>
  <c r="Q6" i="9"/>
  <c r="Q47" i="9" s="1"/>
  <c r="P6" i="9"/>
  <c r="P93" i="9" s="1"/>
  <c r="O6" i="9"/>
  <c r="O47" i="9" s="1"/>
  <c r="N6" i="9"/>
  <c r="N93" i="9" s="1"/>
  <c r="M6" i="9"/>
  <c r="L6" i="9"/>
  <c r="L93" i="9" s="1"/>
  <c r="K6" i="9"/>
  <c r="W1" i="9"/>
  <c r="E201" i="8"/>
  <c r="V167" i="8"/>
  <c r="U167" i="8"/>
  <c r="T167" i="8"/>
  <c r="S167" i="8"/>
  <c r="R167" i="8"/>
  <c r="Q167" i="8"/>
  <c r="P167" i="8"/>
  <c r="O167" i="8"/>
  <c r="N167" i="8"/>
  <c r="M167" i="8"/>
  <c r="L167" i="8"/>
  <c r="K167" i="8"/>
  <c r="U162" i="8"/>
  <c r="U172" i="8" s="1"/>
  <c r="V157" i="8"/>
  <c r="U157" i="8"/>
  <c r="T157" i="8"/>
  <c r="S157" i="8"/>
  <c r="R157" i="8"/>
  <c r="Q157" i="8"/>
  <c r="P157" i="8"/>
  <c r="O157" i="8"/>
  <c r="N157" i="8"/>
  <c r="M157" i="8"/>
  <c r="L157" i="8"/>
  <c r="K157" i="8"/>
  <c r="V156" i="8"/>
  <c r="U156" i="8"/>
  <c r="T156" i="8"/>
  <c r="S156" i="8"/>
  <c r="R156" i="8"/>
  <c r="Q156" i="8"/>
  <c r="P156" i="8"/>
  <c r="O156" i="8"/>
  <c r="N156" i="8"/>
  <c r="M156" i="8"/>
  <c r="L156" i="8"/>
  <c r="K156" i="8"/>
  <c r="V155" i="8"/>
  <c r="U155" i="8"/>
  <c r="T155" i="8"/>
  <c r="S155" i="8"/>
  <c r="R155" i="8"/>
  <c r="Q155" i="8"/>
  <c r="P155" i="8"/>
  <c r="O155" i="8"/>
  <c r="N155" i="8"/>
  <c r="M155" i="8"/>
  <c r="L155" i="8"/>
  <c r="K155" i="8"/>
  <c r="W155" i="8" s="1"/>
  <c r="V154" i="8"/>
  <c r="U154" i="8"/>
  <c r="T154" i="8"/>
  <c r="S154" i="8"/>
  <c r="R154" i="8"/>
  <c r="Q154" i="8"/>
  <c r="P154" i="8"/>
  <c r="O154" i="8"/>
  <c r="N154" i="8"/>
  <c r="M154" i="8"/>
  <c r="L154" i="8"/>
  <c r="K154" i="8"/>
  <c r="V153" i="8"/>
  <c r="U153" i="8"/>
  <c r="T153" i="8"/>
  <c r="S153" i="8"/>
  <c r="R153" i="8"/>
  <c r="Q153" i="8"/>
  <c r="P153" i="8"/>
  <c r="O153" i="8"/>
  <c r="N153" i="8"/>
  <c r="M153" i="8"/>
  <c r="L153" i="8"/>
  <c r="K153" i="8"/>
  <c r="V152" i="8"/>
  <c r="U152" i="8"/>
  <c r="T152" i="8"/>
  <c r="S152" i="8"/>
  <c r="R152" i="8"/>
  <c r="Q152" i="8"/>
  <c r="P152" i="8"/>
  <c r="O152" i="8"/>
  <c r="N152" i="8"/>
  <c r="M152" i="8"/>
  <c r="L152" i="8"/>
  <c r="K152" i="8"/>
  <c r="V151" i="8"/>
  <c r="U151" i="8"/>
  <c r="T151" i="8"/>
  <c r="S151" i="8"/>
  <c r="R151" i="8"/>
  <c r="Q151" i="8"/>
  <c r="W151" i="8" s="1"/>
  <c r="P151" i="8"/>
  <c r="O151" i="8"/>
  <c r="N151" i="8"/>
  <c r="M151" i="8"/>
  <c r="L151" i="8"/>
  <c r="K151" i="8"/>
  <c r="V150" i="8"/>
  <c r="U150" i="8"/>
  <c r="T150" i="8"/>
  <c r="S150" i="8"/>
  <c r="R150" i="8"/>
  <c r="Q150" i="8"/>
  <c r="P150" i="8"/>
  <c r="O150" i="8"/>
  <c r="N150" i="8"/>
  <c r="M150" i="8"/>
  <c r="L150" i="8"/>
  <c r="K150" i="8"/>
  <c r="V149" i="8"/>
  <c r="V162" i="8" s="1"/>
  <c r="V172" i="8" s="1"/>
  <c r="U149" i="8"/>
  <c r="T149" i="8"/>
  <c r="T162" i="8" s="1"/>
  <c r="T172" i="8" s="1"/>
  <c r="S149" i="8"/>
  <c r="S162" i="8" s="1"/>
  <c r="S172" i="8" s="1"/>
  <c r="R149" i="8"/>
  <c r="R162" i="8" s="1"/>
  <c r="Q149" i="8"/>
  <c r="Q162" i="8" s="1"/>
  <c r="Q172" i="8" s="1"/>
  <c r="P149" i="8"/>
  <c r="P162" i="8" s="1"/>
  <c r="P172" i="8" s="1"/>
  <c r="O149" i="8"/>
  <c r="O162" i="8" s="1"/>
  <c r="O172" i="8" s="1"/>
  <c r="N149" i="8"/>
  <c r="N162" i="8" s="1"/>
  <c r="N172" i="8" s="1"/>
  <c r="M149" i="8"/>
  <c r="M162" i="8" s="1"/>
  <c r="M172" i="8" s="1"/>
  <c r="L149" i="8"/>
  <c r="L162" i="8" s="1"/>
  <c r="L172" i="8" s="1"/>
  <c r="K149" i="8"/>
  <c r="K162" i="8" s="1"/>
  <c r="V148" i="8"/>
  <c r="U148" i="8"/>
  <c r="T148" i="8"/>
  <c r="T158" i="8" s="1"/>
  <c r="T161" i="8" s="1"/>
  <c r="S148" i="8"/>
  <c r="R148" i="8"/>
  <c r="Q148" i="8"/>
  <c r="Q158" i="8" s="1"/>
  <c r="Q161" i="8" s="1"/>
  <c r="P148" i="8"/>
  <c r="P158" i="8" s="1"/>
  <c r="P161" i="8" s="1"/>
  <c r="O148" i="8"/>
  <c r="O158" i="8" s="1"/>
  <c r="O161" i="8" s="1"/>
  <c r="N148" i="8"/>
  <c r="N158" i="8" s="1"/>
  <c r="N161" i="8" s="1"/>
  <c r="N163" i="8" s="1"/>
  <c r="M148" i="8"/>
  <c r="M158" i="8" s="1"/>
  <c r="M161" i="8" s="1"/>
  <c r="L148" i="8"/>
  <c r="K148" i="8"/>
  <c r="W143" i="8"/>
  <c r="S141" i="8"/>
  <c r="R141" i="8"/>
  <c r="Q141" i="8"/>
  <c r="O141" i="8"/>
  <c r="L141" i="8"/>
  <c r="V139" i="8"/>
  <c r="R139" i="8"/>
  <c r="Q139" i="8"/>
  <c r="V135" i="8"/>
  <c r="V141" i="8" s="1"/>
  <c r="U135" i="8"/>
  <c r="U141" i="8" s="1"/>
  <c r="T135" i="8"/>
  <c r="T141" i="8" s="1"/>
  <c r="S135" i="8"/>
  <c r="R135" i="8"/>
  <c r="Q135" i="8"/>
  <c r="P135" i="8"/>
  <c r="P141" i="8" s="1"/>
  <c r="O135" i="8"/>
  <c r="N135" i="8"/>
  <c r="N141" i="8" s="1"/>
  <c r="M135" i="8"/>
  <c r="M141" i="8" s="1"/>
  <c r="L135" i="8"/>
  <c r="K135" i="8"/>
  <c r="V134" i="8"/>
  <c r="U134" i="8"/>
  <c r="T134" i="8"/>
  <c r="S134" i="8"/>
  <c r="R134" i="8"/>
  <c r="Q134" i="8"/>
  <c r="P134" i="8"/>
  <c r="O134" i="8"/>
  <c r="N134" i="8"/>
  <c r="M134" i="8"/>
  <c r="L134" i="8"/>
  <c r="K134" i="8"/>
  <c r="W134" i="8" s="1"/>
  <c r="V133" i="8"/>
  <c r="U133" i="8"/>
  <c r="U22" i="8" s="1"/>
  <c r="T133" i="8"/>
  <c r="S133" i="8"/>
  <c r="R133" i="8"/>
  <c r="Q133" i="8"/>
  <c r="P133" i="8"/>
  <c r="O133" i="8"/>
  <c r="N133" i="8"/>
  <c r="M133" i="8"/>
  <c r="L133" i="8"/>
  <c r="K133" i="8"/>
  <c r="V132" i="8"/>
  <c r="U132" i="8"/>
  <c r="T132" i="8"/>
  <c r="S132" i="8"/>
  <c r="S22" i="8" s="1"/>
  <c r="R132" i="8"/>
  <c r="Q132" i="8"/>
  <c r="P132" i="8"/>
  <c r="O132" i="8"/>
  <c r="N132" i="8"/>
  <c r="M132" i="8"/>
  <c r="L132" i="8"/>
  <c r="K132" i="8"/>
  <c r="V131" i="8"/>
  <c r="U131" i="8"/>
  <c r="T131" i="8"/>
  <c r="S131" i="8"/>
  <c r="R131" i="8"/>
  <c r="R22" i="8" s="1"/>
  <c r="Q131" i="8"/>
  <c r="Q22" i="8" s="1"/>
  <c r="Q23" i="8" s="1"/>
  <c r="P131" i="8"/>
  <c r="O131" i="8"/>
  <c r="N131" i="8"/>
  <c r="M131" i="8"/>
  <c r="L131" i="8"/>
  <c r="K131" i="8"/>
  <c r="V130" i="8"/>
  <c r="U130" i="8"/>
  <c r="T130" i="8"/>
  <c r="S130" i="8"/>
  <c r="R130" i="8"/>
  <c r="Q130" i="8"/>
  <c r="P130" i="8"/>
  <c r="P22" i="8" s="1"/>
  <c r="O130" i="8"/>
  <c r="O22" i="8" s="1"/>
  <c r="N130" i="8"/>
  <c r="M130" i="8"/>
  <c r="L130" i="8"/>
  <c r="K130" i="8"/>
  <c r="V129" i="8"/>
  <c r="U129" i="8"/>
  <c r="T129" i="8"/>
  <c r="S129" i="8"/>
  <c r="R129" i="8"/>
  <c r="Q129" i="8"/>
  <c r="P129" i="8"/>
  <c r="O129" i="8"/>
  <c r="N129" i="8"/>
  <c r="N22" i="8" s="1"/>
  <c r="M129" i="8"/>
  <c r="L129" i="8"/>
  <c r="K129" i="8"/>
  <c r="V128" i="8"/>
  <c r="V22" i="8" s="1"/>
  <c r="U128" i="8"/>
  <c r="U140" i="8" s="1"/>
  <c r="T128" i="8"/>
  <c r="T140" i="8" s="1"/>
  <c r="S128" i="8"/>
  <c r="S140" i="8" s="1"/>
  <c r="R128" i="8"/>
  <c r="R140" i="8" s="1"/>
  <c r="R142" i="8" s="1"/>
  <c r="Q128" i="8"/>
  <c r="Q140" i="8" s="1"/>
  <c r="P128" i="8"/>
  <c r="P140" i="8" s="1"/>
  <c r="O128" i="8"/>
  <c r="O140" i="8" s="1"/>
  <c r="N128" i="8"/>
  <c r="N140" i="8" s="1"/>
  <c r="M128" i="8"/>
  <c r="M140" i="8" s="1"/>
  <c r="L128" i="8"/>
  <c r="K128" i="8"/>
  <c r="V127" i="8"/>
  <c r="U127" i="8"/>
  <c r="U136" i="8" s="1"/>
  <c r="T127" i="8"/>
  <c r="S127" i="8"/>
  <c r="S139" i="8" s="1"/>
  <c r="S142" i="8" s="1"/>
  <c r="R127" i="8"/>
  <c r="Q127" i="8"/>
  <c r="P127" i="8"/>
  <c r="P139" i="8" s="1"/>
  <c r="P142" i="8" s="1"/>
  <c r="O127" i="8"/>
  <c r="O139" i="8" s="1"/>
  <c r="N127" i="8"/>
  <c r="N139" i="8" s="1"/>
  <c r="N142" i="8" s="1"/>
  <c r="M127" i="8"/>
  <c r="M139" i="8" s="1"/>
  <c r="L127" i="8"/>
  <c r="L139" i="8" s="1"/>
  <c r="K127" i="8"/>
  <c r="K139" i="8" s="1"/>
  <c r="S123" i="8"/>
  <c r="R123" i="8"/>
  <c r="P123" i="8"/>
  <c r="M123" i="8"/>
  <c r="P122" i="8"/>
  <c r="V119" i="8"/>
  <c r="U118" i="8"/>
  <c r="S118" i="8"/>
  <c r="P118" i="8"/>
  <c r="R116" i="8"/>
  <c r="Q116" i="8"/>
  <c r="M114" i="8"/>
  <c r="V113" i="8"/>
  <c r="K113" i="8"/>
  <c r="T112" i="8"/>
  <c r="U107" i="8"/>
  <c r="P107" i="8"/>
  <c r="S106" i="8"/>
  <c r="R106" i="8"/>
  <c r="P106" i="8"/>
  <c r="P105" i="8"/>
  <c r="M104" i="8"/>
  <c r="L104" i="8"/>
  <c r="T103" i="8"/>
  <c r="V102" i="8"/>
  <c r="T102" i="8"/>
  <c r="Q102" i="8"/>
  <c r="Q100" i="8"/>
  <c r="P100" i="8"/>
  <c r="N100" i="8"/>
  <c r="N99" i="8"/>
  <c r="M99" i="8"/>
  <c r="K99" i="8"/>
  <c r="U98" i="8"/>
  <c r="K98" i="8"/>
  <c r="U97" i="8"/>
  <c r="T96" i="8"/>
  <c r="R96" i="8"/>
  <c r="V92" i="8"/>
  <c r="U92" i="8"/>
  <c r="T92" i="8"/>
  <c r="S92" i="8"/>
  <c r="R92" i="8"/>
  <c r="Q92" i="8"/>
  <c r="P92" i="8"/>
  <c r="O92" i="8"/>
  <c r="N92" i="8"/>
  <c r="M92" i="8"/>
  <c r="L92" i="8"/>
  <c r="K92" i="8"/>
  <c r="V91" i="8"/>
  <c r="U91" i="8"/>
  <c r="T91" i="8"/>
  <c r="S91" i="8"/>
  <c r="R91" i="8"/>
  <c r="Q91" i="8"/>
  <c r="P91" i="8"/>
  <c r="O91" i="8"/>
  <c r="N91" i="8"/>
  <c r="M91" i="8"/>
  <c r="L91" i="8"/>
  <c r="K91" i="8"/>
  <c r="V90" i="8"/>
  <c r="U90" i="8"/>
  <c r="T90" i="8"/>
  <c r="S90" i="8"/>
  <c r="R90" i="8"/>
  <c r="Q90" i="8"/>
  <c r="P90" i="8"/>
  <c r="O90" i="8"/>
  <c r="N90" i="8"/>
  <c r="M90" i="8"/>
  <c r="L90" i="8"/>
  <c r="K90" i="8"/>
  <c r="W90" i="8" s="1"/>
  <c r="V89" i="8"/>
  <c r="U89" i="8"/>
  <c r="T89" i="8"/>
  <c r="S89" i="8"/>
  <c r="R89" i="8"/>
  <c r="Q89" i="8"/>
  <c r="P89" i="8"/>
  <c r="O89" i="8"/>
  <c r="N89" i="8"/>
  <c r="M89" i="8"/>
  <c r="L89" i="8"/>
  <c r="K89" i="8"/>
  <c r="V88" i="8"/>
  <c r="U88" i="8"/>
  <c r="T88" i="8"/>
  <c r="S88" i="8"/>
  <c r="R88" i="8"/>
  <c r="R93" i="8" s="1"/>
  <c r="Q88" i="8"/>
  <c r="P88" i="8"/>
  <c r="O88" i="8"/>
  <c r="N88" i="8"/>
  <c r="M88" i="8"/>
  <c r="L88" i="8"/>
  <c r="K88" i="8"/>
  <c r="V87" i="8"/>
  <c r="U87" i="8"/>
  <c r="T87" i="8"/>
  <c r="S87" i="8"/>
  <c r="R87" i="8"/>
  <c r="Q87" i="8"/>
  <c r="P87" i="8"/>
  <c r="O87" i="8"/>
  <c r="O93" i="8" s="1"/>
  <c r="N87" i="8"/>
  <c r="M87" i="8"/>
  <c r="L87" i="8"/>
  <c r="K87" i="8"/>
  <c r="V86" i="8"/>
  <c r="U86" i="8"/>
  <c r="T86" i="8"/>
  <c r="S86" i="8"/>
  <c r="R86" i="8"/>
  <c r="Q86" i="8"/>
  <c r="P86" i="8"/>
  <c r="O86" i="8"/>
  <c r="N86" i="8"/>
  <c r="M86" i="8"/>
  <c r="L86" i="8"/>
  <c r="K86" i="8"/>
  <c r="W85" i="8"/>
  <c r="V85" i="8"/>
  <c r="U85" i="8"/>
  <c r="T85" i="8"/>
  <c r="S85" i="8"/>
  <c r="R85" i="8"/>
  <c r="Q85" i="8"/>
  <c r="P85" i="8"/>
  <c r="O85" i="8"/>
  <c r="N85" i="8"/>
  <c r="M85" i="8"/>
  <c r="L85" i="8"/>
  <c r="K85" i="8"/>
  <c r="V84" i="8"/>
  <c r="U84" i="8"/>
  <c r="T84" i="8"/>
  <c r="W84" i="8" s="1"/>
  <c r="S84" i="8"/>
  <c r="R84" i="8"/>
  <c r="Q84" i="8"/>
  <c r="P84" i="8"/>
  <c r="O84" i="8"/>
  <c r="N84" i="8"/>
  <c r="M84" i="8"/>
  <c r="L84" i="8"/>
  <c r="K84" i="8"/>
  <c r="V83" i="8"/>
  <c r="U83" i="8"/>
  <c r="T83" i="8"/>
  <c r="S83" i="8"/>
  <c r="R83" i="8"/>
  <c r="Q83" i="8"/>
  <c r="P83" i="8"/>
  <c r="O83" i="8"/>
  <c r="N83" i="8"/>
  <c r="M83" i="8"/>
  <c r="L83" i="8"/>
  <c r="K83" i="8"/>
  <c r="V82" i="8"/>
  <c r="U82" i="8"/>
  <c r="T82" i="8"/>
  <c r="S82" i="8"/>
  <c r="R82" i="8"/>
  <c r="Q82" i="8"/>
  <c r="P82" i="8"/>
  <c r="O82" i="8"/>
  <c r="N82" i="8"/>
  <c r="M82" i="8"/>
  <c r="L82" i="8"/>
  <c r="K82" i="8"/>
  <c r="W82" i="8" s="1"/>
  <c r="V81" i="8"/>
  <c r="U81" i="8"/>
  <c r="T81" i="8"/>
  <c r="S81" i="8"/>
  <c r="R81" i="8"/>
  <c r="Q81" i="8"/>
  <c r="P81" i="8"/>
  <c r="O81" i="8"/>
  <c r="N81" i="8"/>
  <c r="M81" i="8"/>
  <c r="L81" i="8"/>
  <c r="K81" i="8"/>
  <c r="L77" i="8"/>
  <c r="K77" i="8"/>
  <c r="T76" i="8"/>
  <c r="S76" i="8"/>
  <c r="R76" i="8"/>
  <c r="U75" i="8"/>
  <c r="S75" i="8"/>
  <c r="P75" i="8"/>
  <c r="V74" i="8"/>
  <c r="T74" i="8"/>
  <c r="S74" i="8"/>
  <c r="R74" i="8"/>
  <c r="Q74" i="8"/>
  <c r="P74" i="8"/>
  <c r="O74" i="8"/>
  <c r="V73" i="8"/>
  <c r="T73" i="8"/>
  <c r="Q73" i="8"/>
  <c r="L73" i="8"/>
  <c r="T72" i="8"/>
  <c r="R72" i="8"/>
  <c r="Q72" i="8"/>
  <c r="P72" i="8"/>
  <c r="N72" i="8"/>
  <c r="K71" i="8"/>
  <c r="P70" i="8"/>
  <c r="N70" i="8"/>
  <c r="L70" i="8"/>
  <c r="K70" i="8"/>
  <c r="T69" i="8"/>
  <c r="L69" i="8"/>
  <c r="K69" i="8"/>
  <c r="V67" i="8"/>
  <c r="T66" i="8"/>
  <c r="S66" i="8"/>
  <c r="Q66" i="8"/>
  <c r="N66" i="8"/>
  <c r="L62" i="8"/>
  <c r="K62" i="8"/>
  <c r="M62" i="8" s="1"/>
  <c r="M61" i="8"/>
  <c r="L61" i="8"/>
  <c r="K61" i="8"/>
  <c r="L60" i="8"/>
  <c r="M60" i="8" s="1"/>
  <c r="K60" i="8"/>
  <c r="L59" i="8"/>
  <c r="M59" i="8" s="1"/>
  <c r="K59" i="8"/>
  <c r="L58" i="8"/>
  <c r="K58" i="8"/>
  <c r="M57" i="8"/>
  <c r="L57" i="8"/>
  <c r="K57" i="8"/>
  <c r="L56" i="8"/>
  <c r="M56" i="8" s="1"/>
  <c r="K56" i="8"/>
  <c r="L55" i="8"/>
  <c r="M55" i="8" s="1"/>
  <c r="K55" i="8"/>
  <c r="L54" i="8"/>
  <c r="K54" i="8"/>
  <c r="M54" i="8" s="1"/>
  <c r="M53" i="8"/>
  <c r="L53" i="8"/>
  <c r="K53" i="8"/>
  <c r="L52" i="8"/>
  <c r="K52" i="8"/>
  <c r="M52" i="8" s="1"/>
  <c r="L51" i="8"/>
  <c r="M51" i="8" s="1"/>
  <c r="K51" i="8"/>
  <c r="J43" i="8"/>
  <c r="P42" i="8"/>
  <c r="M42" i="8"/>
  <c r="K42" i="8"/>
  <c r="V40" i="8"/>
  <c r="U40" i="8"/>
  <c r="O39" i="8"/>
  <c r="N39" i="8"/>
  <c r="AG15" i="8" s="1"/>
  <c r="M39" i="8"/>
  <c r="L39" i="8"/>
  <c r="L42" i="8" s="1"/>
  <c r="K39" i="8"/>
  <c r="V38" i="8"/>
  <c r="V42" i="8" s="1"/>
  <c r="U38" i="8"/>
  <c r="T38" i="8"/>
  <c r="S38" i="8"/>
  <c r="W38" i="8" s="1"/>
  <c r="R38" i="8"/>
  <c r="Q38" i="8"/>
  <c r="P38" i="8"/>
  <c r="O38" i="8"/>
  <c r="N38" i="8"/>
  <c r="Y37" i="8"/>
  <c r="W37" i="8"/>
  <c r="X37" i="8" s="1"/>
  <c r="V37" i="8"/>
  <c r="U37" i="8"/>
  <c r="U42" i="8" s="1"/>
  <c r="T37" i="8"/>
  <c r="T42" i="8" s="1"/>
  <c r="S37" i="8"/>
  <c r="R37" i="8"/>
  <c r="R42" i="8" s="1"/>
  <c r="Q37" i="8"/>
  <c r="Q42" i="8" s="1"/>
  <c r="P37" i="8"/>
  <c r="O37" i="8"/>
  <c r="O42" i="8" s="1"/>
  <c r="N37" i="8"/>
  <c r="M37" i="8"/>
  <c r="L37" i="8"/>
  <c r="X36" i="8"/>
  <c r="Y36" i="8" s="1"/>
  <c r="W36" i="8"/>
  <c r="X35" i="8"/>
  <c r="Y35" i="8" s="1"/>
  <c r="W35" i="8"/>
  <c r="AB34" i="8"/>
  <c r="W34" i="8"/>
  <c r="Y33" i="8"/>
  <c r="W33" i="8"/>
  <c r="X33" i="8" s="1"/>
  <c r="W32" i="8"/>
  <c r="X32" i="8" s="1"/>
  <c r="Y32" i="8" s="1"/>
  <c r="W31" i="8"/>
  <c r="X31" i="8" s="1"/>
  <c r="Y31" i="8" s="1"/>
  <c r="X30" i="8"/>
  <c r="Y30" i="8" s="1"/>
  <c r="W30" i="8"/>
  <c r="V17" i="8"/>
  <c r="U17" i="8"/>
  <c r="U77" i="8" s="1"/>
  <c r="T17" i="8"/>
  <c r="S17" i="8"/>
  <c r="R17" i="8"/>
  <c r="R107" i="8" s="1"/>
  <c r="Q17" i="8"/>
  <c r="P17" i="8"/>
  <c r="P77" i="8" s="1"/>
  <c r="O17" i="8"/>
  <c r="O123" i="8" s="1"/>
  <c r="N17" i="8"/>
  <c r="M17" i="8"/>
  <c r="M107" i="8" s="1"/>
  <c r="L17" i="8"/>
  <c r="L123" i="8" s="1"/>
  <c r="K17" i="8"/>
  <c r="K123" i="8" s="1"/>
  <c r="V16" i="8"/>
  <c r="U16" i="8"/>
  <c r="T16" i="8"/>
  <c r="T122" i="8" s="1"/>
  <c r="S16" i="8"/>
  <c r="S122" i="8" s="1"/>
  <c r="R16" i="8"/>
  <c r="R122" i="8" s="1"/>
  <c r="Q16" i="8"/>
  <c r="Q76" i="8" s="1"/>
  <c r="P16" i="8"/>
  <c r="P76" i="8" s="1"/>
  <c r="O16" i="8"/>
  <c r="N16" i="8"/>
  <c r="N106" i="8" s="1"/>
  <c r="M16" i="8"/>
  <c r="L16" i="8"/>
  <c r="L122" i="8" s="1"/>
  <c r="K16" i="8"/>
  <c r="AH15" i="8"/>
  <c r="AF15" i="8" s="1"/>
  <c r="V15" i="8"/>
  <c r="U15" i="8"/>
  <c r="U121" i="8" s="1"/>
  <c r="T15" i="8"/>
  <c r="S15" i="8"/>
  <c r="R15" i="8"/>
  <c r="Q15" i="8"/>
  <c r="P15" i="8"/>
  <c r="P121" i="8" s="1"/>
  <c r="O15" i="8"/>
  <c r="O105" i="8" s="1"/>
  <c r="N15" i="8"/>
  <c r="N75" i="8" s="1"/>
  <c r="M15" i="8"/>
  <c r="L15" i="8"/>
  <c r="K15" i="8"/>
  <c r="K105" i="8" s="1"/>
  <c r="AH14" i="8"/>
  <c r="AG14" i="8"/>
  <c r="AF14" i="8" s="1"/>
  <c r="V14" i="8"/>
  <c r="V120" i="8" s="1"/>
  <c r="U14" i="8"/>
  <c r="U120" i="8" s="1"/>
  <c r="T14" i="8"/>
  <c r="S14" i="8"/>
  <c r="S120" i="8" s="1"/>
  <c r="R14" i="8"/>
  <c r="R120" i="8" s="1"/>
  <c r="Q14" i="8"/>
  <c r="Q120" i="8" s="1"/>
  <c r="P14" i="8"/>
  <c r="P120" i="8" s="1"/>
  <c r="O14" i="8"/>
  <c r="O120" i="8" s="1"/>
  <c r="N14" i="8"/>
  <c r="M14" i="8"/>
  <c r="M74" i="8" s="1"/>
  <c r="L14" i="8"/>
  <c r="K14" i="8"/>
  <c r="AH13" i="8"/>
  <c r="AG13" i="8"/>
  <c r="AF13" i="8" s="1"/>
  <c r="AI13" i="8" s="1"/>
  <c r="V13" i="8"/>
  <c r="V103" i="8" s="1"/>
  <c r="U13" i="8"/>
  <c r="T13" i="8"/>
  <c r="T119" i="8" s="1"/>
  <c r="S13" i="8"/>
  <c r="S119" i="8" s="1"/>
  <c r="R13" i="8"/>
  <c r="Q13" i="8"/>
  <c r="Q119" i="8" s="1"/>
  <c r="P13" i="8"/>
  <c r="O13" i="8"/>
  <c r="N13" i="8"/>
  <c r="M13" i="8"/>
  <c r="L13" i="8"/>
  <c r="L119" i="8" s="1"/>
  <c r="K13" i="8"/>
  <c r="K73" i="8" s="1"/>
  <c r="AH12" i="8"/>
  <c r="AF12" i="8" s="1"/>
  <c r="AI12" i="8" s="1"/>
  <c r="AG12" i="8"/>
  <c r="V12" i="8"/>
  <c r="V72" i="8" s="1"/>
  <c r="U12" i="8"/>
  <c r="T12" i="8"/>
  <c r="T118" i="8" s="1"/>
  <c r="S12" i="8"/>
  <c r="S102" i="8" s="1"/>
  <c r="R12" i="8"/>
  <c r="R118" i="8" s="1"/>
  <c r="Q12" i="8"/>
  <c r="Q118" i="8" s="1"/>
  <c r="P12" i="8"/>
  <c r="P102" i="8" s="1"/>
  <c r="O12" i="8"/>
  <c r="N12" i="8"/>
  <c r="N118" i="8" s="1"/>
  <c r="M12" i="8"/>
  <c r="M72" i="8" s="1"/>
  <c r="L12" i="8"/>
  <c r="W12" i="8" s="1"/>
  <c r="K12" i="8"/>
  <c r="AH11" i="8"/>
  <c r="AG11" i="8"/>
  <c r="AF11" i="8"/>
  <c r="AI11" i="8" s="1"/>
  <c r="V11" i="8"/>
  <c r="V71" i="8" s="1"/>
  <c r="U11" i="8"/>
  <c r="T11" i="8"/>
  <c r="T117" i="8" s="1"/>
  <c r="S11" i="8"/>
  <c r="S71" i="8" s="1"/>
  <c r="R11" i="8"/>
  <c r="Q11" i="8"/>
  <c r="Q117" i="8" s="1"/>
  <c r="P11" i="8"/>
  <c r="P71" i="8" s="1"/>
  <c r="O11" i="8"/>
  <c r="N11" i="8"/>
  <c r="N117" i="8" s="1"/>
  <c r="M11" i="8"/>
  <c r="M71" i="8" s="1"/>
  <c r="L11" i="8"/>
  <c r="L117" i="8" s="1"/>
  <c r="K11" i="8"/>
  <c r="K117" i="8" s="1"/>
  <c r="AH10" i="8"/>
  <c r="AG10" i="8"/>
  <c r="AF10" i="8"/>
  <c r="AI10" i="8" s="1"/>
  <c r="W10" i="8"/>
  <c r="V10" i="8"/>
  <c r="U10" i="8"/>
  <c r="T10" i="8"/>
  <c r="T70" i="8" s="1"/>
  <c r="S10" i="8"/>
  <c r="S70" i="8" s="1"/>
  <c r="R10" i="8"/>
  <c r="R70" i="8" s="1"/>
  <c r="Q10" i="8"/>
  <c r="Q70" i="8" s="1"/>
  <c r="P10" i="8"/>
  <c r="P116" i="8" s="1"/>
  <c r="O10" i="8"/>
  <c r="N10" i="8"/>
  <c r="N116" i="8" s="1"/>
  <c r="M10" i="8"/>
  <c r="L10" i="8"/>
  <c r="L100" i="8" s="1"/>
  <c r="K10" i="8"/>
  <c r="K116" i="8" s="1"/>
  <c r="J10" i="8"/>
  <c r="AI9" i="8"/>
  <c r="AH9" i="8"/>
  <c r="AF9" i="8" s="1"/>
  <c r="AG9" i="8"/>
  <c r="V9" i="8"/>
  <c r="U9" i="8"/>
  <c r="T9" i="8"/>
  <c r="S9" i="8"/>
  <c r="R9" i="8"/>
  <c r="Q9" i="8"/>
  <c r="P9" i="8"/>
  <c r="O9" i="8"/>
  <c r="N9" i="8"/>
  <c r="N69" i="8" s="1"/>
  <c r="M9" i="8"/>
  <c r="M115" i="8" s="1"/>
  <c r="L9" i="8"/>
  <c r="L115" i="8" s="1"/>
  <c r="K9" i="8"/>
  <c r="K115" i="8" s="1"/>
  <c r="V8" i="8"/>
  <c r="U8" i="8"/>
  <c r="U114" i="8" s="1"/>
  <c r="T8" i="8"/>
  <c r="S8" i="8"/>
  <c r="S68" i="8" s="1"/>
  <c r="R8" i="8"/>
  <c r="Q8" i="8"/>
  <c r="Q68" i="8" s="1"/>
  <c r="P8" i="8"/>
  <c r="P68" i="8" s="1"/>
  <c r="O8" i="8"/>
  <c r="O68" i="8" s="1"/>
  <c r="N8" i="8"/>
  <c r="M8" i="8"/>
  <c r="M68" i="8" s="1"/>
  <c r="L8" i="8"/>
  <c r="K8" i="8"/>
  <c r="W8" i="8" s="1"/>
  <c r="AH7" i="8"/>
  <c r="AG7" i="8"/>
  <c r="AF7" i="8" s="1"/>
  <c r="AI7" i="8" s="1"/>
  <c r="V7" i="8"/>
  <c r="U7" i="8"/>
  <c r="T7" i="8"/>
  <c r="S7" i="8"/>
  <c r="S67" i="8" s="1"/>
  <c r="R7" i="8"/>
  <c r="R97" i="8" s="1"/>
  <c r="Q7" i="8"/>
  <c r="Q18" i="8" s="1"/>
  <c r="P7" i="8"/>
  <c r="P67" i="8" s="1"/>
  <c r="O7" i="8"/>
  <c r="N7" i="8"/>
  <c r="M7" i="8"/>
  <c r="L7" i="8"/>
  <c r="L113" i="8" s="1"/>
  <c r="K7" i="8"/>
  <c r="AH6" i="8"/>
  <c r="AG6" i="8"/>
  <c r="AF6" i="8"/>
  <c r="AI6" i="8" s="1"/>
  <c r="V6" i="8"/>
  <c r="V66" i="8" s="1"/>
  <c r="U6" i="8"/>
  <c r="T6" i="8"/>
  <c r="S6" i="8"/>
  <c r="S18" i="8" s="1"/>
  <c r="R6" i="8"/>
  <c r="R112" i="8" s="1"/>
  <c r="Q6" i="8"/>
  <c r="Q96" i="8" s="1"/>
  <c r="P6" i="8"/>
  <c r="P66" i="8" s="1"/>
  <c r="O6" i="8"/>
  <c r="N6" i="8"/>
  <c r="N96" i="8" s="1"/>
  <c r="M6" i="8"/>
  <c r="L6" i="8"/>
  <c r="K6" i="8"/>
  <c r="AG5" i="8"/>
  <c r="V4" i="8"/>
  <c r="U4" i="8"/>
  <c r="T4" i="8"/>
  <c r="S4" i="8"/>
  <c r="R4" i="8"/>
  <c r="Q4" i="8"/>
  <c r="P4" i="8"/>
  <c r="O4" i="8"/>
  <c r="N4" i="8"/>
  <c r="M4" i="8"/>
  <c r="L4" i="8"/>
  <c r="K4" i="8"/>
  <c r="D2" i="8"/>
  <c r="D3" i="8" s="1"/>
  <c r="W1" i="8"/>
  <c r="C1" i="8"/>
  <c r="E205" i="7"/>
  <c r="V168" i="7"/>
  <c r="U168" i="7"/>
  <c r="T168" i="7"/>
  <c r="S168" i="7"/>
  <c r="R168" i="7"/>
  <c r="Q168" i="7"/>
  <c r="P168" i="7"/>
  <c r="O168" i="7"/>
  <c r="N168" i="7"/>
  <c r="M168" i="7"/>
  <c r="L168" i="7"/>
  <c r="K168" i="7"/>
  <c r="V158" i="7"/>
  <c r="U158" i="7"/>
  <c r="T158" i="7"/>
  <c r="S158" i="7"/>
  <c r="R158" i="7"/>
  <c r="Q158" i="7"/>
  <c r="P158" i="7"/>
  <c r="O158" i="7"/>
  <c r="N158" i="7"/>
  <c r="M158" i="7"/>
  <c r="L158" i="7"/>
  <c r="K158" i="7"/>
  <c r="V157" i="7"/>
  <c r="U157" i="7"/>
  <c r="T157" i="7"/>
  <c r="S157" i="7"/>
  <c r="R157" i="7"/>
  <c r="Q157" i="7"/>
  <c r="P157" i="7"/>
  <c r="O157" i="7"/>
  <c r="N157" i="7"/>
  <c r="M157" i="7"/>
  <c r="L157" i="7"/>
  <c r="K157" i="7"/>
  <c r="V156" i="7"/>
  <c r="U156" i="7"/>
  <c r="T156" i="7"/>
  <c r="S156" i="7"/>
  <c r="R156" i="7"/>
  <c r="Q156" i="7"/>
  <c r="P156" i="7"/>
  <c r="O156" i="7"/>
  <c r="N156" i="7"/>
  <c r="M156" i="7"/>
  <c r="L156" i="7"/>
  <c r="K156" i="7"/>
  <c r="V155" i="7"/>
  <c r="U155" i="7"/>
  <c r="T155" i="7"/>
  <c r="S155" i="7"/>
  <c r="R155" i="7"/>
  <c r="Q155" i="7"/>
  <c r="P155" i="7"/>
  <c r="O155" i="7"/>
  <c r="N155" i="7"/>
  <c r="M155" i="7"/>
  <c r="L155" i="7"/>
  <c r="K155" i="7"/>
  <c r="V154" i="7"/>
  <c r="U154" i="7"/>
  <c r="T154" i="7"/>
  <c r="S154" i="7"/>
  <c r="R154" i="7"/>
  <c r="Q154" i="7"/>
  <c r="P154" i="7"/>
  <c r="O154" i="7"/>
  <c r="N154" i="7"/>
  <c r="M154" i="7"/>
  <c r="L154" i="7"/>
  <c r="K154" i="7"/>
  <c r="V153" i="7"/>
  <c r="U153" i="7"/>
  <c r="T153" i="7"/>
  <c r="S153" i="7"/>
  <c r="R153" i="7"/>
  <c r="Q153" i="7"/>
  <c r="P153" i="7"/>
  <c r="O153" i="7"/>
  <c r="N153" i="7"/>
  <c r="M153" i="7"/>
  <c r="L153" i="7"/>
  <c r="K153" i="7"/>
  <c r="V152" i="7"/>
  <c r="U152" i="7"/>
  <c r="T152" i="7"/>
  <c r="S152" i="7"/>
  <c r="R152" i="7"/>
  <c r="Q152" i="7"/>
  <c r="P152" i="7"/>
  <c r="O152" i="7"/>
  <c r="N152" i="7"/>
  <c r="M152" i="7"/>
  <c r="L152" i="7"/>
  <c r="K152" i="7"/>
  <c r="V151" i="7"/>
  <c r="U151" i="7"/>
  <c r="T151" i="7"/>
  <c r="S151" i="7"/>
  <c r="R151" i="7"/>
  <c r="Q151" i="7"/>
  <c r="P151" i="7"/>
  <c r="O151" i="7"/>
  <c r="N151" i="7"/>
  <c r="M151" i="7"/>
  <c r="L151" i="7"/>
  <c r="K151" i="7"/>
  <c r="V150" i="7"/>
  <c r="V163" i="7" s="1"/>
  <c r="U150" i="7"/>
  <c r="U163" i="7" s="1"/>
  <c r="U173" i="7" s="1"/>
  <c r="T150" i="7"/>
  <c r="T163" i="7" s="1"/>
  <c r="S150" i="7"/>
  <c r="S163" i="7" s="1"/>
  <c r="S173" i="7" s="1"/>
  <c r="R150" i="7"/>
  <c r="R163" i="7" s="1"/>
  <c r="R173" i="7" s="1"/>
  <c r="Q150" i="7"/>
  <c r="Q163" i="7" s="1"/>
  <c r="Q173" i="7" s="1"/>
  <c r="P150" i="7"/>
  <c r="P163" i="7" s="1"/>
  <c r="P173" i="7" s="1"/>
  <c r="O150" i="7"/>
  <c r="O163" i="7" s="1"/>
  <c r="O173" i="7" s="1"/>
  <c r="N150" i="7"/>
  <c r="N163" i="7" s="1"/>
  <c r="N173" i="7" s="1"/>
  <c r="M150" i="7"/>
  <c r="M163" i="7" s="1"/>
  <c r="M173" i="7" s="1"/>
  <c r="L150" i="7"/>
  <c r="L163" i="7" s="1"/>
  <c r="K150" i="7"/>
  <c r="K163" i="7" s="1"/>
  <c r="V149" i="7"/>
  <c r="U149" i="7"/>
  <c r="T149" i="7"/>
  <c r="S149" i="7"/>
  <c r="R149" i="7"/>
  <c r="Q149" i="7"/>
  <c r="P149" i="7"/>
  <c r="O149" i="7"/>
  <c r="N149" i="7"/>
  <c r="M149" i="7"/>
  <c r="L149" i="7"/>
  <c r="K149" i="7"/>
  <c r="W144" i="7"/>
  <c r="V136" i="7"/>
  <c r="V142" i="7" s="1"/>
  <c r="U136" i="7"/>
  <c r="U142" i="7" s="1"/>
  <c r="T136" i="7"/>
  <c r="T142" i="7" s="1"/>
  <c r="S136" i="7"/>
  <c r="S142" i="7" s="1"/>
  <c r="R136" i="7"/>
  <c r="R142" i="7" s="1"/>
  <c r="Q136" i="7"/>
  <c r="Q142" i="7" s="1"/>
  <c r="P136" i="7"/>
  <c r="P142" i="7" s="1"/>
  <c r="O136" i="7"/>
  <c r="O142" i="7" s="1"/>
  <c r="N136" i="7"/>
  <c r="N142" i="7" s="1"/>
  <c r="M136" i="7"/>
  <c r="M142" i="7" s="1"/>
  <c r="L136" i="7"/>
  <c r="L142" i="7" s="1"/>
  <c r="K136" i="7"/>
  <c r="K142" i="7" s="1"/>
  <c r="V135" i="7"/>
  <c r="U135" i="7"/>
  <c r="T135" i="7"/>
  <c r="S135" i="7"/>
  <c r="R135" i="7"/>
  <c r="Q135" i="7"/>
  <c r="P135" i="7"/>
  <c r="O135" i="7"/>
  <c r="N135" i="7"/>
  <c r="M135" i="7"/>
  <c r="L135" i="7"/>
  <c r="K135" i="7"/>
  <c r="V134" i="7"/>
  <c r="U134" i="7"/>
  <c r="T134" i="7"/>
  <c r="S134" i="7"/>
  <c r="R134" i="7"/>
  <c r="Q134" i="7"/>
  <c r="P134" i="7"/>
  <c r="O134" i="7"/>
  <c r="N134" i="7"/>
  <c r="M134" i="7"/>
  <c r="L134" i="7"/>
  <c r="K134" i="7"/>
  <c r="V133" i="7"/>
  <c r="U133" i="7"/>
  <c r="T133" i="7"/>
  <c r="S133" i="7"/>
  <c r="R133" i="7"/>
  <c r="Q133" i="7"/>
  <c r="P133" i="7"/>
  <c r="O133" i="7"/>
  <c r="N133" i="7"/>
  <c r="M133" i="7"/>
  <c r="L133" i="7"/>
  <c r="K133" i="7"/>
  <c r="V132" i="7"/>
  <c r="U132" i="7"/>
  <c r="T132" i="7"/>
  <c r="S132" i="7"/>
  <c r="R132" i="7"/>
  <c r="Q132" i="7"/>
  <c r="P132" i="7"/>
  <c r="O132" i="7"/>
  <c r="N132" i="7"/>
  <c r="M132" i="7"/>
  <c r="L132" i="7"/>
  <c r="K132" i="7"/>
  <c r="V131" i="7"/>
  <c r="U131" i="7"/>
  <c r="T131" i="7"/>
  <c r="S131" i="7"/>
  <c r="R131" i="7"/>
  <c r="Q131" i="7"/>
  <c r="P131" i="7"/>
  <c r="O131" i="7"/>
  <c r="N131" i="7"/>
  <c r="M131" i="7"/>
  <c r="L131" i="7"/>
  <c r="K131" i="7"/>
  <c r="V130" i="7"/>
  <c r="U130" i="7"/>
  <c r="T130" i="7"/>
  <c r="S130" i="7"/>
  <c r="R130" i="7"/>
  <c r="Q130" i="7"/>
  <c r="P130" i="7"/>
  <c r="O130" i="7"/>
  <c r="N130" i="7"/>
  <c r="M130" i="7"/>
  <c r="L130" i="7"/>
  <c r="K130" i="7"/>
  <c r="V129" i="7"/>
  <c r="V141" i="7" s="1"/>
  <c r="U129" i="7"/>
  <c r="U141" i="7" s="1"/>
  <c r="T129" i="7"/>
  <c r="T141" i="7" s="1"/>
  <c r="S129" i="7"/>
  <c r="S141" i="7" s="1"/>
  <c r="R129" i="7"/>
  <c r="R141" i="7" s="1"/>
  <c r="Q129" i="7"/>
  <c r="Q141" i="7" s="1"/>
  <c r="P129" i="7"/>
  <c r="P141" i="7" s="1"/>
  <c r="O129" i="7"/>
  <c r="O141" i="7" s="1"/>
  <c r="N129" i="7"/>
  <c r="N141" i="7" s="1"/>
  <c r="M129" i="7"/>
  <c r="M141" i="7" s="1"/>
  <c r="L129" i="7"/>
  <c r="L141" i="7" s="1"/>
  <c r="K129" i="7"/>
  <c r="K141" i="7" s="1"/>
  <c r="V128" i="7"/>
  <c r="U128" i="7"/>
  <c r="U140" i="7" s="1"/>
  <c r="T128" i="7"/>
  <c r="T140" i="7" s="1"/>
  <c r="S128" i="7"/>
  <c r="S140" i="7" s="1"/>
  <c r="R128" i="7"/>
  <c r="R140" i="7" s="1"/>
  <c r="Q128" i="7"/>
  <c r="Q140" i="7" s="1"/>
  <c r="P128" i="7"/>
  <c r="P140" i="7" s="1"/>
  <c r="O128" i="7"/>
  <c r="N128" i="7"/>
  <c r="M128" i="7"/>
  <c r="L128" i="7"/>
  <c r="K128" i="7"/>
  <c r="V93" i="7"/>
  <c r="U93" i="7"/>
  <c r="T93" i="7"/>
  <c r="S93" i="7"/>
  <c r="R93" i="7"/>
  <c r="Q93" i="7"/>
  <c r="P93" i="7"/>
  <c r="O93" i="7"/>
  <c r="N93" i="7"/>
  <c r="M93" i="7"/>
  <c r="L93" i="7"/>
  <c r="K93" i="7"/>
  <c r="V92" i="7"/>
  <c r="U92" i="7"/>
  <c r="T92" i="7"/>
  <c r="S92" i="7"/>
  <c r="R92" i="7"/>
  <c r="Q92" i="7"/>
  <c r="P92" i="7"/>
  <c r="O92" i="7"/>
  <c r="N92" i="7"/>
  <c r="M92" i="7"/>
  <c r="L92" i="7"/>
  <c r="K92" i="7"/>
  <c r="V91" i="7"/>
  <c r="U91" i="7"/>
  <c r="T91" i="7"/>
  <c r="S91" i="7"/>
  <c r="R91" i="7"/>
  <c r="Q91" i="7"/>
  <c r="P91" i="7"/>
  <c r="O91" i="7"/>
  <c r="N91" i="7"/>
  <c r="M91" i="7"/>
  <c r="L91" i="7"/>
  <c r="K91" i="7"/>
  <c r="V90" i="7"/>
  <c r="U90" i="7"/>
  <c r="T90" i="7"/>
  <c r="S90" i="7"/>
  <c r="R90" i="7"/>
  <c r="Q90" i="7"/>
  <c r="P90" i="7"/>
  <c r="O90" i="7"/>
  <c r="N90" i="7"/>
  <c r="M90" i="7"/>
  <c r="L90" i="7"/>
  <c r="K90" i="7"/>
  <c r="V89" i="7"/>
  <c r="U89" i="7"/>
  <c r="T89" i="7"/>
  <c r="S89" i="7"/>
  <c r="R89" i="7"/>
  <c r="Q89" i="7"/>
  <c r="P89" i="7"/>
  <c r="O89" i="7"/>
  <c r="N89" i="7"/>
  <c r="M89" i="7"/>
  <c r="L89" i="7"/>
  <c r="K89" i="7"/>
  <c r="V88" i="7"/>
  <c r="U88" i="7"/>
  <c r="T88" i="7"/>
  <c r="S88" i="7"/>
  <c r="R88" i="7"/>
  <c r="Q88" i="7"/>
  <c r="P88" i="7"/>
  <c r="O88" i="7"/>
  <c r="N88" i="7"/>
  <c r="M88" i="7"/>
  <c r="L88" i="7"/>
  <c r="K88" i="7"/>
  <c r="V87" i="7"/>
  <c r="U87" i="7"/>
  <c r="T87" i="7"/>
  <c r="S87" i="7"/>
  <c r="R87" i="7"/>
  <c r="Q87" i="7"/>
  <c r="P87" i="7"/>
  <c r="O87" i="7"/>
  <c r="N87" i="7"/>
  <c r="M87" i="7"/>
  <c r="L87" i="7"/>
  <c r="K87" i="7"/>
  <c r="V86" i="7"/>
  <c r="U86" i="7"/>
  <c r="T86" i="7"/>
  <c r="S86" i="7"/>
  <c r="R86" i="7"/>
  <c r="Q86" i="7"/>
  <c r="P86" i="7"/>
  <c r="O86" i="7"/>
  <c r="N86" i="7"/>
  <c r="M86" i="7"/>
  <c r="L86" i="7"/>
  <c r="K86" i="7"/>
  <c r="V85" i="7"/>
  <c r="U85" i="7"/>
  <c r="T85" i="7"/>
  <c r="S85" i="7"/>
  <c r="R85" i="7"/>
  <c r="Q85" i="7"/>
  <c r="P85" i="7"/>
  <c r="O85" i="7"/>
  <c r="N85" i="7"/>
  <c r="M85" i="7"/>
  <c r="L85" i="7"/>
  <c r="K85" i="7"/>
  <c r="V84" i="7"/>
  <c r="U84" i="7"/>
  <c r="T84" i="7"/>
  <c r="S84" i="7"/>
  <c r="R84" i="7"/>
  <c r="Q84" i="7"/>
  <c r="P84" i="7"/>
  <c r="O84" i="7"/>
  <c r="N84" i="7"/>
  <c r="M84" i="7"/>
  <c r="L84" i="7"/>
  <c r="K84" i="7"/>
  <c r="V83" i="7"/>
  <c r="U83" i="7"/>
  <c r="T83" i="7"/>
  <c r="S83" i="7"/>
  <c r="R83" i="7"/>
  <c r="Q83" i="7"/>
  <c r="P83" i="7"/>
  <c r="O83" i="7"/>
  <c r="N83" i="7"/>
  <c r="M83" i="7"/>
  <c r="L83" i="7"/>
  <c r="K83" i="7"/>
  <c r="V82" i="7"/>
  <c r="U82" i="7"/>
  <c r="T82" i="7"/>
  <c r="S82" i="7"/>
  <c r="R82" i="7"/>
  <c r="Q82" i="7"/>
  <c r="P82" i="7"/>
  <c r="O82" i="7"/>
  <c r="N82" i="7"/>
  <c r="M82" i="7"/>
  <c r="L82" i="7"/>
  <c r="K82" i="7"/>
  <c r="E63" i="7"/>
  <c r="L62" i="7"/>
  <c r="K62" i="7"/>
  <c r="L61" i="7"/>
  <c r="K61" i="7"/>
  <c r="L60" i="7"/>
  <c r="K60" i="7"/>
  <c r="F60" i="7"/>
  <c r="D60" i="7"/>
  <c r="L59" i="7"/>
  <c r="K59" i="7"/>
  <c r="M59" i="7" s="1"/>
  <c r="L58" i="7"/>
  <c r="K58" i="7"/>
  <c r="L57" i="7"/>
  <c r="K57" i="7"/>
  <c r="M57" i="7" s="1"/>
  <c r="E57" i="7"/>
  <c r="L56" i="7"/>
  <c r="K56" i="7"/>
  <c r="M56" i="7" s="1"/>
  <c r="F56" i="7"/>
  <c r="L55" i="7"/>
  <c r="K55" i="7"/>
  <c r="M55" i="7" s="1"/>
  <c r="L54" i="7"/>
  <c r="K54" i="7"/>
  <c r="D54" i="7"/>
  <c r="L53" i="7"/>
  <c r="K53" i="7"/>
  <c r="E53" i="7"/>
  <c r="L52" i="7"/>
  <c r="K52" i="7"/>
  <c r="L51" i="7"/>
  <c r="K51" i="7"/>
  <c r="F50" i="7"/>
  <c r="D50" i="7"/>
  <c r="E49" i="7"/>
  <c r="V43" i="7"/>
  <c r="U43" i="7"/>
  <c r="T43" i="7"/>
  <c r="S43" i="7"/>
  <c r="R43" i="7"/>
  <c r="Q43" i="7"/>
  <c r="P43" i="7"/>
  <c r="O43" i="7"/>
  <c r="N43" i="7"/>
  <c r="M43" i="7"/>
  <c r="L43" i="7"/>
  <c r="K43" i="7"/>
  <c r="E42" i="7"/>
  <c r="V41" i="7"/>
  <c r="U41" i="7"/>
  <c r="O40" i="7"/>
  <c r="N40" i="7"/>
  <c r="M40" i="7"/>
  <c r="L40" i="7"/>
  <c r="K40" i="7"/>
  <c r="V39" i="7"/>
  <c r="U39" i="7"/>
  <c r="T39" i="7"/>
  <c r="S39" i="7"/>
  <c r="R39" i="7"/>
  <c r="Q39" i="7"/>
  <c r="P39" i="7"/>
  <c r="O39" i="7"/>
  <c r="N39" i="7"/>
  <c r="V38" i="7"/>
  <c r="U38" i="7"/>
  <c r="T38" i="7"/>
  <c r="S38" i="7"/>
  <c r="R38" i="7"/>
  <c r="Q38" i="7"/>
  <c r="P38" i="7"/>
  <c r="O38" i="7"/>
  <c r="N38" i="7"/>
  <c r="M38" i="7"/>
  <c r="L38" i="7"/>
  <c r="W37" i="7"/>
  <c r="W36" i="7"/>
  <c r="AB35" i="7"/>
  <c r="W35" i="7"/>
  <c r="W34" i="7"/>
  <c r="X34" i="7" s="1"/>
  <c r="Y34" i="7" s="1"/>
  <c r="W33" i="7"/>
  <c r="W32" i="7"/>
  <c r="W31" i="7"/>
  <c r="W30" i="7"/>
  <c r="Y42" i="7" s="1"/>
  <c r="Z42" i="7" s="1"/>
  <c r="U22" i="7"/>
  <c r="T22" i="7"/>
  <c r="Q22" i="7"/>
  <c r="M22" i="7"/>
  <c r="J18" i="7"/>
  <c r="J19" i="7" s="1"/>
  <c r="V17" i="7"/>
  <c r="U17" i="7"/>
  <c r="T17" i="7"/>
  <c r="S17" i="7"/>
  <c r="S124" i="7" s="1"/>
  <c r="R17" i="7"/>
  <c r="Q17" i="7"/>
  <c r="Q78" i="7" s="1"/>
  <c r="P17" i="7"/>
  <c r="P108" i="7" s="1"/>
  <c r="O17" i="7"/>
  <c r="N17" i="7"/>
  <c r="N78" i="7" s="1"/>
  <c r="M17" i="7"/>
  <c r="M124" i="7" s="1"/>
  <c r="L17" i="7"/>
  <c r="L108" i="7" s="1"/>
  <c r="K17" i="7"/>
  <c r="K78" i="7" s="1"/>
  <c r="V16" i="7"/>
  <c r="U16" i="7"/>
  <c r="T16" i="7"/>
  <c r="S16" i="7"/>
  <c r="R16" i="7"/>
  <c r="Q16" i="7"/>
  <c r="Q107" i="7" s="1"/>
  <c r="P16" i="7"/>
  <c r="P123" i="7" s="1"/>
  <c r="O16" i="7"/>
  <c r="N16" i="7"/>
  <c r="M16" i="7"/>
  <c r="M107" i="7" s="1"/>
  <c r="L16" i="7"/>
  <c r="K16" i="7"/>
  <c r="AH15" i="7"/>
  <c r="V15" i="7"/>
  <c r="V76" i="7" s="1"/>
  <c r="U15" i="7"/>
  <c r="T15" i="7"/>
  <c r="S15" i="7"/>
  <c r="R15" i="7"/>
  <c r="Q15" i="7"/>
  <c r="P15" i="7"/>
  <c r="O15" i="7"/>
  <c r="N15" i="7"/>
  <c r="M15" i="7"/>
  <c r="L15" i="7"/>
  <c r="L106" i="7" s="1"/>
  <c r="K15" i="7"/>
  <c r="V14" i="7"/>
  <c r="U14" i="7"/>
  <c r="T14" i="7"/>
  <c r="T121" i="7" s="1"/>
  <c r="S14" i="7"/>
  <c r="R14" i="7"/>
  <c r="Q14" i="7"/>
  <c r="Q105" i="7" s="1"/>
  <c r="P14" i="7"/>
  <c r="P121" i="7" s="1"/>
  <c r="O14" i="7"/>
  <c r="N14" i="7"/>
  <c r="M14" i="7"/>
  <c r="L14" i="7"/>
  <c r="K14" i="7"/>
  <c r="AH13" i="7"/>
  <c r="V13" i="7"/>
  <c r="U13" i="7"/>
  <c r="U74" i="7" s="1"/>
  <c r="T13" i="7"/>
  <c r="T120" i="7" s="1"/>
  <c r="S13" i="7"/>
  <c r="S74" i="7" s="1"/>
  <c r="R13" i="7"/>
  <c r="R74" i="7" s="1"/>
  <c r="Q13" i="7"/>
  <c r="P13" i="7"/>
  <c r="O13" i="7"/>
  <c r="N13" i="7"/>
  <c r="M13" i="7"/>
  <c r="L13" i="7"/>
  <c r="L74" i="7" s="1"/>
  <c r="K13" i="7"/>
  <c r="AH12" i="7"/>
  <c r="AG12" i="7"/>
  <c r="V12" i="7"/>
  <c r="V73" i="7" s="1"/>
  <c r="U12" i="7"/>
  <c r="T12" i="7"/>
  <c r="T103" i="7" s="1"/>
  <c r="S12" i="7"/>
  <c r="S103" i="7" s="1"/>
  <c r="R12" i="7"/>
  <c r="Q12" i="7"/>
  <c r="Q103" i="7" s="1"/>
  <c r="P12" i="7"/>
  <c r="P73" i="7" s="1"/>
  <c r="O12" i="7"/>
  <c r="N12" i="7"/>
  <c r="M12" i="7"/>
  <c r="M103" i="7" s="1"/>
  <c r="L12" i="7"/>
  <c r="K12" i="7"/>
  <c r="AH11" i="7"/>
  <c r="AG11" i="7"/>
  <c r="V11" i="7"/>
  <c r="U11" i="7"/>
  <c r="U72" i="7" s="1"/>
  <c r="T11" i="7"/>
  <c r="T72" i="7" s="1"/>
  <c r="S11" i="7"/>
  <c r="R11" i="7"/>
  <c r="R72" i="7" s="1"/>
  <c r="Q11" i="7"/>
  <c r="Q102" i="7" s="1"/>
  <c r="P11" i="7"/>
  <c r="O11" i="7"/>
  <c r="O72" i="7" s="1"/>
  <c r="N11" i="7"/>
  <c r="M11" i="7"/>
  <c r="L11" i="7"/>
  <c r="K11" i="7"/>
  <c r="K102" i="7" s="1"/>
  <c r="AH10" i="7"/>
  <c r="AG10" i="7"/>
  <c r="V10" i="7"/>
  <c r="U10" i="7"/>
  <c r="T10" i="7"/>
  <c r="S10" i="7"/>
  <c r="S71" i="7" s="1"/>
  <c r="R10" i="7"/>
  <c r="Q10" i="7"/>
  <c r="Q71" i="7" s="1"/>
  <c r="P10" i="7"/>
  <c r="P71" i="7" s="1"/>
  <c r="O10" i="7"/>
  <c r="O71" i="7" s="1"/>
  <c r="N10" i="7"/>
  <c r="N117" i="7" s="1"/>
  <c r="M10" i="7"/>
  <c r="L10" i="7"/>
  <c r="K10" i="7"/>
  <c r="AH9" i="7"/>
  <c r="AG9" i="7"/>
  <c r="AF9" i="7" s="1"/>
  <c r="V9" i="7"/>
  <c r="U9" i="7"/>
  <c r="U116" i="7" s="1"/>
  <c r="T9" i="7"/>
  <c r="S9" i="7"/>
  <c r="R9" i="7"/>
  <c r="Q9" i="7"/>
  <c r="P9" i="7"/>
  <c r="O9" i="7"/>
  <c r="N9" i="7"/>
  <c r="M9" i="7"/>
  <c r="M70" i="7" s="1"/>
  <c r="L9" i="7"/>
  <c r="K9" i="7"/>
  <c r="V8" i="7"/>
  <c r="U8" i="7"/>
  <c r="T8" i="7"/>
  <c r="S8" i="7"/>
  <c r="R8" i="7"/>
  <c r="Q8" i="7"/>
  <c r="P8" i="7"/>
  <c r="O8" i="7"/>
  <c r="O115" i="7" s="1"/>
  <c r="N8" i="7"/>
  <c r="N69" i="7" s="1"/>
  <c r="M8" i="7"/>
  <c r="M69" i="7" s="1"/>
  <c r="L8" i="7"/>
  <c r="L69" i="7" s="1"/>
  <c r="K8" i="7"/>
  <c r="AH7" i="7"/>
  <c r="AG7" i="7"/>
  <c r="V7" i="7"/>
  <c r="V68" i="7" s="1"/>
  <c r="U7" i="7"/>
  <c r="T7" i="7"/>
  <c r="S7" i="7"/>
  <c r="R7" i="7"/>
  <c r="Q7" i="7"/>
  <c r="P7" i="7"/>
  <c r="O7" i="7"/>
  <c r="N7" i="7"/>
  <c r="M7" i="7"/>
  <c r="L7" i="7"/>
  <c r="K7" i="7"/>
  <c r="AH6" i="7"/>
  <c r="AG6" i="7"/>
  <c r="V6" i="7"/>
  <c r="U6" i="7"/>
  <c r="T6" i="7"/>
  <c r="S6" i="7"/>
  <c r="R6" i="7"/>
  <c r="Q6" i="7"/>
  <c r="P6" i="7"/>
  <c r="O6" i="7"/>
  <c r="O97" i="7" s="1"/>
  <c r="N6" i="7"/>
  <c r="M6" i="7"/>
  <c r="L6" i="7"/>
  <c r="K6" i="7"/>
  <c r="AG5" i="7"/>
  <c r="V4" i="7"/>
  <c r="U4" i="7"/>
  <c r="T4" i="7"/>
  <c r="S4" i="7"/>
  <c r="R4" i="7"/>
  <c r="Q4" i="7"/>
  <c r="P4" i="7"/>
  <c r="O4" i="7"/>
  <c r="N4" i="7"/>
  <c r="M4" i="7"/>
  <c r="L4" i="7"/>
  <c r="K4" i="7"/>
  <c r="D2" i="7"/>
  <c r="D3" i="7" s="1"/>
  <c r="W1" i="7"/>
  <c r="C1" i="7"/>
  <c r="N38" i="5"/>
  <c r="J38" i="5"/>
  <c r="N34" i="5"/>
  <c r="J34" i="5"/>
  <c r="F34" i="5"/>
  <c r="F24" i="5"/>
  <c r="M21" i="5"/>
  <c r="I21" i="5"/>
  <c r="N19" i="5"/>
  <c r="J19" i="5"/>
  <c r="F17" i="5"/>
  <c r="N15" i="5"/>
  <c r="J15" i="5"/>
  <c r="F15" i="5"/>
  <c r="N13" i="5"/>
  <c r="J13" i="5"/>
  <c r="F13" i="5"/>
  <c r="N6" i="5"/>
  <c r="J6" i="5"/>
  <c r="F6" i="5"/>
  <c r="D44" i="4"/>
  <c r="J31" i="4"/>
  <c r="E30" i="4"/>
  <c r="D29" i="4"/>
  <c r="D34" i="4" s="1"/>
  <c r="D47" i="4" s="1"/>
  <c r="D24" i="4"/>
  <c r="D46" i="4" s="1"/>
  <c r="D21" i="4"/>
  <c r="D45" i="4" s="1"/>
  <c r="D19" i="4"/>
  <c r="D13" i="4"/>
  <c r="F10" i="4"/>
  <c r="J10" i="4" s="1"/>
  <c r="K10" i="4" s="1"/>
  <c r="F8" i="4"/>
  <c r="G8" i="4" s="1"/>
  <c r="F7" i="4"/>
  <c r="G7" i="4" s="1"/>
  <c r="G55" i="3"/>
  <c r="H55" i="3" s="1"/>
  <c r="I55" i="3" s="1"/>
  <c r="F55" i="3"/>
  <c r="D51" i="3"/>
  <c r="E51" i="3" s="1"/>
  <c r="F51" i="3" s="1"/>
  <c r="G51" i="3" s="1"/>
  <c r="H51" i="3" s="1"/>
  <c r="I51" i="3" s="1"/>
  <c r="C52" i="3" s="1"/>
  <c r="D52" i="3" s="1"/>
  <c r="E52" i="3" s="1"/>
  <c r="F52" i="3" s="1"/>
  <c r="G52" i="3" s="1"/>
  <c r="H52" i="3" s="1"/>
  <c r="I52" i="3" s="1"/>
  <c r="C53" i="3" s="1"/>
  <c r="D53" i="3" s="1"/>
  <c r="E53" i="3" s="1"/>
  <c r="F53" i="3" s="1"/>
  <c r="G53" i="3" s="1"/>
  <c r="H53" i="3" s="1"/>
  <c r="I53" i="3" s="1"/>
  <c r="C54" i="3" s="1"/>
  <c r="D54" i="3" s="1"/>
  <c r="E54" i="3" s="1"/>
  <c r="F54" i="3" s="1"/>
  <c r="G54" i="3" s="1"/>
  <c r="H54" i="3" s="1"/>
  <c r="I54" i="3" s="1"/>
  <c r="C55" i="3" s="1"/>
  <c r="C51" i="3"/>
  <c r="E47" i="3"/>
  <c r="F47" i="3" s="1"/>
  <c r="G47" i="3" s="1"/>
  <c r="H47" i="3" s="1"/>
  <c r="I47" i="3" s="1"/>
  <c r="C48" i="3" s="1"/>
  <c r="D48" i="3" s="1"/>
  <c r="E48" i="3" s="1"/>
  <c r="F48" i="3" s="1"/>
  <c r="G48" i="3" s="1"/>
  <c r="H48" i="3" s="1"/>
  <c r="I48" i="3" s="1"/>
  <c r="C49" i="3" s="1"/>
  <c r="D49" i="3" s="1"/>
  <c r="E49" i="3" s="1"/>
  <c r="F49" i="3" s="1"/>
  <c r="G49" i="3" s="1"/>
  <c r="H49" i="3" s="1"/>
  <c r="I49" i="3" s="1"/>
  <c r="C50" i="3" s="1"/>
  <c r="D50" i="3" s="1"/>
  <c r="E50" i="3" s="1"/>
  <c r="F50" i="3" s="1"/>
  <c r="G50" i="3" s="1"/>
  <c r="I46" i="3"/>
  <c r="C47" i="3" s="1"/>
  <c r="D47" i="3" s="1"/>
  <c r="H46" i="3"/>
  <c r="G42" i="3"/>
  <c r="H42" i="3" s="1"/>
  <c r="I42" i="3" s="1"/>
  <c r="C43" i="3" s="1"/>
  <c r="D43" i="3" s="1"/>
  <c r="E43" i="3" s="1"/>
  <c r="F43" i="3" s="1"/>
  <c r="G43" i="3" s="1"/>
  <c r="H43" i="3" s="1"/>
  <c r="I43" i="3" s="1"/>
  <c r="C44" i="3" s="1"/>
  <c r="D44" i="3" s="1"/>
  <c r="E44" i="3" s="1"/>
  <c r="F44" i="3" s="1"/>
  <c r="G44" i="3" s="1"/>
  <c r="H44" i="3" s="1"/>
  <c r="I44" i="3" s="1"/>
  <c r="C45" i="3" s="1"/>
  <c r="D45" i="3" s="1"/>
  <c r="E45" i="3" s="1"/>
  <c r="F45" i="3" s="1"/>
  <c r="G45" i="3" s="1"/>
  <c r="H45" i="3" s="1"/>
  <c r="I45" i="3" s="1"/>
  <c r="C46" i="3" s="1"/>
  <c r="D46" i="3" s="1"/>
  <c r="E46" i="3" s="1"/>
  <c r="F42" i="3"/>
  <c r="E42" i="3"/>
  <c r="I38" i="3"/>
  <c r="C39" i="3" s="1"/>
  <c r="D39" i="3" s="1"/>
  <c r="E39" i="3" s="1"/>
  <c r="F39" i="3" s="1"/>
  <c r="G39" i="3" s="1"/>
  <c r="H39" i="3" s="1"/>
  <c r="I39" i="3" s="1"/>
  <c r="C40" i="3" s="1"/>
  <c r="D40" i="3" s="1"/>
  <c r="E40" i="3" s="1"/>
  <c r="F40" i="3" s="1"/>
  <c r="G40" i="3" s="1"/>
  <c r="H40" i="3" s="1"/>
  <c r="I40" i="3" s="1"/>
  <c r="C41" i="3" s="1"/>
  <c r="D41" i="3" s="1"/>
  <c r="E41" i="3" s="1"/>
  <c r="F41" i="3" s="1"/>
  <c r="G41" i="3" s="1"/>
  <c r="H41" i="3" s="1"/>
  <c r="I41" i="3" s="1"/>
  <c r="E38" i="3"/>
  <c r="F38" i="3" s="1"/>
  <c r="G38" i="3" s="1"/>
  <c r="H38" i="3" s="1"/>
  <c r="D38" i="3"/>
  <c r="C38" i="3"/>
  <c r="G33" i="3"/>
  <c r="H33" i="3" s="1"/>
  <c r="I33" i="3" s="1"/>
  <c r="C34" i="3" s="1"/>
  <c r="D34" i="3" s="1"/>
  <c r="E34" i="3" s="1"/>
  <c r="F34" i="3" s="1"/>
  <c r="G34" i="3" s="1"/>
  <c r="H34" i="3" s="1"/>
  <c r="I34" i="3" s="1"/>
  <c r="C35" i="3" s="1"/>
  <c r="D35" i="3" s="1"/>
  <c r="E35" i="3" s="1"/>
  <c r="F35" i="3" s="1"/>
  <c r="G35" i="3" s="1"/>
  <c r="H35" i="3" s="1"/>
  <c r="I35" i="3" s="1"/>
  <c r="C36" i="3" s="1"/>
  <c r="D36" i="3" s="1"/>
  <c r="E36" i="3" s="1"/>
  <c r="F36" i="3" s="1"/>
  <c r="G36" i="3" s="1"/>
  <c r="H36" i="3" s="1"/>
  <c r="I36" i="3" s="1"/>
  <c r="C37" i="3" s="1"/>
  <c r="D37" i="3" s="1"/>
  <c r="E37" i="3" s="1"/>
  <c r="F37" i="3" s="1"/>
  <c r="G37" i="3" s="1"/>
  <c r="D29" i="3"/>
  <c r="E29" i="3" s="1"/>
  <c r="F29" i="3" s="1"/>
  <c r="G29" i="3" s="1"/>
  <c r="H29" i="3" s="1"/>
  <c r="I29" i="3" s="1"/>
  <c r="C30" i="3" s="1"/>
  <c r="D30" i="3" s="1"/>
  <c r="E30" i="3" s="1"/>
  <c r="F30" i="3" s="1"/>
  <c r="G30" i="3" s="1"/>
  <c r="H30" i="3" s="1"/>
  <c r="I30" i="3" s="1"/>
  <c r="C31" i="3" s="1"/>
  <c r="D31" i="3" s="1"/>
  <c r="E31" i="3" s="1"/>
  <c r="F31" i="3" s="1"/>
  <c r="G31" i="3" s="1"/>
  <c r="H31" i="3" s="1"/>
  <c r="I31" i="3" s="1"/>
  <c r="C32" i="3" s="1"/>
  <c r="D32" i="3" s="1"/>
  <c r="E32" i="3" s="1"/>
  <c r="F32" i="3" s="1"/>
  <c r="G32" i="3" s="1"/>
  <c r="H32" i="3" s="1"/>
  <c r="I32" i="3" s="1"/>
  <c r="C33" i="3" s="1"/>
  <c r="D33" i="3" s="1"/>
  <c r="E25" i="3"/>
  <c r="F25" i="3" s="1"/>
  <c r="G25" i="3" s="1"/>
  <c r="H25" i="3" s="1"/>
  <c r="I25" i="3" s="1"/>
  <c r="C26" i="3" s="1"/>
  <c r="D26" i="3" s="1"/>
  <c r="E26" i="3" s="1"/>
  <c r="F26" i="3" s="1"/>
  <c r="G26" i="3" s="1"/>
  <c r="H26" i="3" s="1"/>
  <c r="I26" i="3" s="1"/>
  <c r="C27" i="3" s="1"/>
  <c r="D27" i="3" s="1"/>
  <c r="E27" i="3" s="1"/>
  <c r="F27" i="3" s="1"/>
  <c r="G27" i="3" s="1"/>
  <c r="H27" i="3" s="1"/>
  <c r="I27" i="3" s="1"/>
  <c r="C28" i="3" s="1"/>
  <c r="D28" i="3" s="1"/>
  <c r="E28" i="3" s="1"/>
  <c r="F28" i="3" s="1"/>
  <c r="G28" i="3" s="1"/>
  <c r="H28" i="3" s="1"/>
  <c r="I28" i="3" s="1"/>
  <c r="D25" i="3"/>
  <c r="C25" i="3"/>
  <c r="I24" i="3"/>
  <c r="H20" i="3"/>
  <c r="I20" i="3" s="1"/>
  <c r="C21" i="3" s="1"/>
  <c r="D21" i="3" s="1"/>
  <c r="E21" i="3" s="1"/>
  <c r="F21" i="3" s="1"/>
  <c r="G21" i="3" s="1"/>
  <c r="H21" i="3" s="1"/>
  <c r="I21" i="3" s="1"/>
  <c r="C22" i="3" s="1"/>
  <c r="D22" i="3" s="1"/>
  <c r="E22" i="3" s="1"/>
  <c r="F22" i="3" s="1"/>
  <c r="G22" i="3" s="1"/>
  <c r="H22" i="3" s="1"/>
  <c r="I22" i="3" s="1"/>
  <c r="C23" i="3" s="1"/>
  <c r="D23" i="3" s="1"/>
  <c r="E23" i="3" s="1"/>
  <c r="F23" i="3" s="1"/>
  <c r="G23" i="3" s="1"/>
  <c r="H23" i="3" s="1"/>
  <c r="I23" i="3" s="1"/>
  <c r="C24" i="3" s="1"/>
  <c r="D24" i="3" s="1"/>
  <c r="E24" i="3" s="1"/>
  <c r="F24" i="3" s="1"/>
  <c r="G24" i="3" s="1"/>
  <c r="G20" i="3"/>
  <c r="F20" i="3"/>
  <c r="E16" i="3"/>
  <c r="F16" i="3" s="1"/>
  <c r="G16" i="3" s="1"/>
  <c r="H16" i="3" s="1"/>
  <c r="I16" i="3" s="1"/>
  <c r="C17" i="3" s="1"/>
  <c r="D17" i="3" s="1"/>
  <c r="E17" i="3" s="1"/>
  <c r="F17" i="3" s="1"/>
  <c r="G17" i="3" s="1"/>
  <c r="H17" i="3" s="1"/>
  <c r="I17" i="3" s="1"/>
  <c r="C18" i="3" s="1"/>
  <c r="D18" i="3" s="1"/>
  <c r="E18" i="3" s="1"/>
  <c r="F18" i="3" s="1"/>
  <c r="G18" i="3" s="1"/>
  <c r="H18" i="3" s="1"/>
  <c r="I18" i="3" s="1"/>
  <c r="C19" i="3" s="1"/>
  <c r="D19" i="3" s="1"/>
  <c r="E19" i="3" s="1"/>
  <c r="F19" i="3" s="1"/>
  <c r="G19" i="3" s="1"/>
  <c r="H19" i="3" s="1"/>
  <c r="I19" i="3" s="1"/>
  <c r="C20" i="3" s="1"/>
  <c r="D16" i="3"/>
  <c r="I11" i="3"/>
  <c r="C12" i="3" s="1"/>
  <c r="D12" i="3" s="1"/>
  <c r="E12" i="3" s="1"/>
  <c r="F12" i="3" s="1"/>
  <c r="G12" i="3" s="1"/>
  <c r="H12" i="3" s="1"/>
  <c r="I12" i="3" s="1"/>
  <c r="C13" i="3" s="1"/>
  <c r="D13" i="3" s="1"/>
  <c r="E13" i="3" s="1"/>
  <c r="F13" i="3" s="1"/>
  <c r="G13" i="3" s="1"/>
  <c r="H13" i="3" s="1"/>
  <c r="I13" i="3" s="1"/>
  <c r="C14" i="3" s="1"/>
  <c r="D14" i="3" s="1"/>
  <c r="E14" i="3" s="1"/>
  <c r="F14" i="3" s="1"/>
  <c r="G14" i="3" s="1"/>
  <c r="H14" i="3" s="1"/>
  <c r="I14" i="3" s="1"/>
  <c r="C15" i="3" s="1"/>
  <c r="D15" i="3" s="1"/>
  <c r="E15" i="3" s="1"/>
  <c r="F15" i="3" s="1"/>
  <c r="G15" i="3" s="1"/>
  <c r="H15" i="3" s="1"/>
  <c r="I15" i="3" s="1"/>
  <c r="H11" i="3"/>
  <c r="D9" i="3"/>
  <c r="E9" i="3" s="1"/>
  <c r="F9" i="3" s="1"/>
  <c r="G9" i="3" s="1"/>
  <c r="H9" i="3" s="1"/>
  <c r="I9" i="3" s="1"/>
  <c r="C10" i="3" s="1"/>
  <c r="D10" i="3" s="1"/>
  <c r="E10" i="3" s="1"/>
  <c r="F10" i="3" s="1"/>
  <c r="G10" i="3" s="1"/>
  <c r="H10" i="3" s="1"/>
  <c r="I10" i="3" s="1"/>
  <c r="C11" i="3" s="1"/>
  <c r="D11" i="3" s="1"/>
  <c r="E11" i="3" s="1"/>
  <c r="F11" i="3" s="1"/>
  <c r="F8" i="3"/>
  <c r="G8" i="3" s="1"/>
  <c r="H8" i="3" s="1"/>
  <c r="I8" i="3" s="1"/>
  <c r="C9" i="3" s="1"/>
  <c r="E8" i="3"/>
  <c r="I7" i="3"/>
  <c r="C8" i="3" s="1"/>
  <c r="D8" i="3" s="1"/>
  <c r="H7" i="3"/>
  <c r="I3" i="3"/>
  <c r="C4" i="3" s="1"/>
  <c r="D4" i="3" s="1"/>
  <c r="E4" i="3" s="1"/>
  <c r="F4" i="3" s="1"/>
  <c r="G4" i="3" s="1"/>
  <c r="H4" i="3" s="1"/>
  <c r="I4" i="3" s="1"/>
  <c r="C5" i="3" s="1"/>
  <c r="D5" i="3" s="1"/>
  <c r="E5" i="3" s="1"/>
  <c r="F5" i="3" s="1"/>
  <c r="G5" i="3" s="1"/>
  <c r="H5" i="3" s="1"/>
  <c r="I5" i="3" s="1"/>
  <c r="C6" i="3" s="1"/>
  <c r="D6" i="3" s="1"/>
  <c r="E6" i="3" s="1"/>
  <c r="F6" i="3" s="1"/>
  <c r="G6" i="3" s="1"/>
  <c r="H6" i="3" s="1"/>
  <c r="I6" i="3" s="1"/>
  <c r="C7" i="3" s="1"/>
  <c r="D7" i="3" s="1"/>
  <c r="E7" i="3" s="1"/>
  <c r="F7" i="3" s="1"/>
  <c r="H3" i="3"/>
  <c r="G3" i="3"/>
  <c r="D3" i="3"/>
  <c r="E3" i="3" s="1"/>
  <c r="F3" i="3" s="1"/>
  <c r="AQ56" i="2"/>
  <c r="AR56" i="2" s="1"/>
  <c r="AP56" i="2"/>
  <c r="AO56" i="2"/>
  <c r="AN56" i="2"/>
  <c r="AE56" i="2"/>
  <c r="AF56" i="2" s="1"/>
  <c r="AG56" i="2" s="1"/>
  <c r="AH56" i="2" s="1"/>
  <c r="AD56" i="2"/>
  <c r="AH55" i="2"/>
  <c r="AB56" i="2" s="1"/>
  <c r="AL52" i="2"/>
  <c r="AM52" i="2" s="1"/>
  <c r="AN52" i="2" s="1"/>
  <c r="AO52" i="2" s="1"/>
  <c r="AP52" i="2" s="1"/>
  <c r="AQ52" i="2" s="1"/>
  <c r="AR52" i="2" s="1"/>
  <c r="AL53" i="2" s="1"/>
  <c r="AM53" i="2" s="1"/>
  <c r="AN53" i="2" s="1"/>
  <c r="AO53" i="2" s="1"/>
  <c r="AP53" i="2" s="1"/>
  <c r="AQ53" i="2" s="1"/>
  <c r="AR53" i="2" s="1"/>
  <c r="AL54" i="2" s="1"/>
  <c r="AM54" i="2" s="1"/>
  <c r="AN54" i="2" s="1"/>
  <c r="AO54" i="2" s="1"/>
  <c r="AP54" i="2" s="1"/>
  <c r="AQ54" i="2" s="1"/>
  <c r="AR54" i="2" s="1"/>
  <c r="AL55" i="2" s="1"/>
  <c r="AM55" i="2" s="1"/>
  <c r="AN55" i="2" s="1"/>
  <c r="AO55" i="2" s="1"/>
  <c r="AP55" i="2" s="1"/>
  <c r="AQ55" i="2" s="1"/>
  <c r="AR55" i="2" s="1"/>
  <c r="AL56" i="2" s="1"/>
  <c r="AR51" i="2"/>
  <c r="AH51" i="2"/>
  <c r="AB52" i="2" s="1"/>
  <c r="AC52" i="2" s="1"/>
  <c r="AD52" i="2" s="1"/>
  <c r="AE52" i="2" s="1"/>
  <c r="AF52" i="2" s="1"/>
  <c r="AG52" i="2" s="1"/>
  <c r="AH52" i="2" s="1"/>
  <c r="AB53" i="2" s="1"/>
  <c r="AC53" i="2" s="1"/>
  <c r="AD53" i="2" s="1"/>
  <c r="AE53" i="2" s="1"/>
  <c r="AF53" i="2" s="1"/>
  <c r="AG53" i="2" s="1"/>
  <c r="AH53" i="2" s="1"/>
  <c r="AB54" i="2" s="1"/>
  <c r="AC54" i="2" s="1"/>
  <c r="AD54" i="2" s="1"/>
  <c r="AE54" i="2" s="1"/>
  <c r="AF54" i="2" s="1"/>
  <c r="AG54" i="2" s="1"/>
  <c r="AH54" i="2" s="1"/>
  <c r="AB55" i="2" s="1"/>
  <c r="AC55" i="2" s="1"/>
  <c r="AD55" i="2" s="1"/>
  <c r="AE55" i="2" s="1"/>
  <c r="AF55" i="2" s="1"/>
  <c r="AG55" i="2" s="1"/>
  <c r="AR47" i="2"/>
  <c r="AL48" i="2" s="1"/>
  <c r="AM48" i="2" s="1"/>
  <c r="AN48" i="2" s="1"/>
  <c r="AO48" i="2" s="1"/>
  <c r="AP48" i="2" s="1"/>
  <c r="AQ48" i="2" s="1"/>
  <c r="AR48" i="2" s="1"/>
  <c r="AL49" i="2" s="1"/>
  <c r="AM49" i="2" s="1"/>
  <c r="AN49" i="2" s="1"/>
  <c r="AO49" i="2" s="1"/>
  <c r="AP49" i="2" s="1"/>
  <c r="AQ49" i="2" s="1"/>
  <c r="AR49" i="2" s="1"/>
  <c r="AL50" i="2" s="1"/>
  <c r="AM50" i="2" s="1"/>
  <c r="AN50" i="2" s="1"/>
  <c r="AO50" i="2" s="1"/>
  <c r="AP50" i="2" s="1"/>
  <c r="AQ50" i="2" s="1"/>
  <c r="AR50" i="2" s="1"/>
  <c r="AL51" i="2" s="1"/>
  <c r="AM51" i="2" s="1"/>
  <c r="AN51" i="2" s="1"/>
  <c r="AO51" i="2" s="1"/>
  <c r="AP51" i="2" s="1"/>
  <c r="AQ47" i="2"/>
  <c r="AP47" i="2"/>
  <c r="AF47" i="2"/>
  <c r="AG47" i="2" s="1"/>
  <c r="AH47" i="2" s="1"/>
  <c r="AB48" i="2" s="1"/>
  <c r="AC48" i="2" s="1"/>
  <c r="AD48" i="2" s="1"/>
  <c r="AE48" i="2" s="1"/>
  <c r="AF48" i="2" s="1"/>
  <c r="AG48" i="2" s="1"/>
  <c r="AH48" i="2" s="1"/>
  <c r="AB49" i="2" s="1"/>
  <c r="AC49" i="2" s="1"/>
  <c r="AD49" i="2" s="1"/>
  <c r="AE49" i="2" s="1"/>
  <c r="AF49" i="2" s="1"/>
  <c r="AG49" i="2" s="1"/>
  <c r="AH49" i="2" s="1"/>
  <c r="AB50" i="2" s="1"/>
  <c r="AC50" i="2" s="1"/>
  <c r="AD50" i="2" s="1"/>
  <c r="AE50" i="2" s="1"/>
  <c r="AF50" i="2" s="1"/>
  <c r="AG50" i="2" s="1"/>
  <c r="AH50" i="2" s="1"/>
  <c r="AB51" i="2" s="1"/>
  <c r="AC51" i="2" s="1"/>
  <c r="AD51" i="2" s="1"/>
  <c r="AE51" i="2" s="1"/>
  <c r="AF51" i="2" s="1"/>
  <c r="AO43" i="2"/>
  <c r="AP43" i="2" s="1"/>
  <c r="AQ43" i="2" s="1"/>
  <c r="AR43" i="2" s="1"/>
  <c r="AL44" i="2" s="1"/>
  <c r="AM44" i="2" s="1"/>
  <c r="AN44" i="2" s="1"/>
  <c r="AO44" i="2" s="1"/>
  <c r="AP44" i="2" s="1"/>
  <c r="AQ44" i="2" s="1"/>
  <c r="AR44" i="2" s="1"/>
  <c r="AL45" i="2" s="1"/>
  <c r="AM45" i="2" s="1"/>
  <c r="AN45" i="2" s="1"/>
  <c r="AO45" i="2" s="1"/>
  <c r="AP45" i="2" s="1"/>
  <c r="AQ45" i="2" s="1"/>
  <c r="AR45" i="2" s="1"/>
  <c r="AL46" i="2" s="1"/>
  <c r="AM46" i="2" s="1"/>
  <c r="AN46" i="2" s="1"/>
  <c r="AO46" i="2" s="1"/>
  <c r="AP46" i="2" s="1"/>
  <c r="AQ46" i="2" s="1"/>
  <c r="AR46" i="2" s="1"/>
  <c r="AL47" i="2" s="1"/>
  <c r="AM47" i="2" s="1"/>
  <c r="AN47" i="2" s="1"/>
  <c r="AN43" i="2"/>
  <c r="AM43" i="2"/>
  <c r="AF43" i="2"/>
  <c r="AG43" i="2" s="1"/>
  <c r="AH43" i="2" s="1"/>
  <c r="AB44" i="2" s="1"/>
  <c r="AC44" i="2" s="1"/>
  <c r="AD44" i="2" s="1"/>
  <c r="AE44" i="2" s="1"/>
  <c r="AF44" i="2" s="1"/>
  <c r="AG44" i="2" s="1"/>
  <c r="AH44" i="2" s="1"/>
  <c r="AB45" i="2" s="1"/>
  <c r="AC45" i="2" s="1"/>
  <c r="AD45" i="2" s="1"/>
  <c r="AE45" i="2" s="1"/>
  <c r="AF45" i="2" s="1"/>
  <c r="AG45" i="2" s="1"/>
  <c r="AH45" i="2" s="1"/>
  <c r="AB46" i="2" s="1"/>
  <c r="AC46" i="2" s="1"/>
  <c r="AD46" i="2" s="1"/>
  <c r="AE46" i="2" s="1"/>
  <c r="AF46" i="2" s="1"/>
  <c r="AG46" i="2" s="1"/>
  <c r="AH46" i="2" s="1"/>
  <c r="AB47" i="2" s="1"/>
  <c r="AC47" i="2" s="1"/>
  <c r="AD47" i="2" s="1"/>
  <c r="AC43" i="2"/>
  <c r="AD43" i="2" s="1"/>
  <c r="AE43" i="2" s="1"/>
  <c r="AM42" i="2"/>
  <c r="AN42" i="2" s="1"/>
  <c r="AO42" i="2" s="1"/>
  <c r="AP42" i="2" s="1"/>
  <c r="AQ42" i="2" s="1"/>
  <c r="AR42" i="2" s="1"/>
  <c r="AR38" i="2"/>
  <c r="AL39" i="2" s="1"/>
  <c r="AM39" i="2" s="1"/>
  <c r="AN39" i="2" s="1"/>
  <c r="AO39" i="2" s="1"/>
  <c r="AP39" i="2" s="1"/>
  <c r="AQ39" i="2" s="1"/>
  <c r="AR39" i="2" s="1"/>
  <c r="AL40" i="2" s="1"/>
  <c r="AM40" i="2" s="1"/>
  <c r="AN40" i="2" s="1"/>
  <c r="AO40" i="2" s="1"/>
  <c r="AP40" i="2" s="1"/>
  <c r="AQ40" i="2" s="1"/>
  <c r="AR40" i="2" s="1"/>
  <c r="AL41" i="2" s="1"/>
  <c r="AM41" i="2" s="1"/>
  <c r="AN41" i="2" s="1"/>
  <c r="AO41" i="2" s="1"/>
  <c r="AP41" i="2" s="1"/>
  <c r="AQ41" i="2" s="1"/>
  <c r="AR41" i="2" s="1"/>
  <c r="AL42" i="2" s="1"/>
  <c r="AH38" i="2"/>
  <c r="AB39" i="2" s="1"/>
  <c r="AC39" i="2" s="1"/>
  <c r="AD39" i="2" s="1"/>
  <c r="AE39" i="2" s="1"/>
  <c r="AF39" i="2" s="1"/>
  <c r="AG39" i="2" s="1"/>
  <c r="AH39" i="2" s="1"/>
  <c r="AB40" i="2" s="1"/>
  <c r="AC40" i="2" s="1"/>
  <c r="AD40" i="2" s="1"/>
  <c r="AE40" i="2" s="1"/>
  <c r="AF40" i="2" s="1"/>
  <c r="AG40" i="2" s="1"/>
  <c r="AH40" i="2" s="1"/>
  <c r="AB41" i="2" s="1"/>
  <c r="AC41" i="2" s="1"/>
  <c r="AD41" i="2" s="1"/>
  <c r="AE41" i="2" s="1"/>
  <c r="AF41" i="2" s="1"/>
  <c r="AG41" i="2" s="1"/>
  <c r="AH41" i="2" s="1"/>
  <c r="AB42" i="2" s="1"/>
  <c r="AC42" i="2" s="1"/>
  <c r="AD42" i="2" s="1"/>
  <c r="AE42" i="2" s="1"/>
  <c r="AF42" i="2" s="1"/>
  <c r="AG42" i="2" s="1"/>
  <c r="AH42" i="2" s="1"/>
  <c r="AF37" i="2"/>
  <c r="AG37" i="2" s="1"/>
  <c r="AH37" i="2" s="1"/>
  <c r="AB38" i="2" s="1"/>
  <c r="AC38" i="2" s="1"/>
  <c r="AD38" i="2" s="1"/>
  <c r="AE38" i="2" s="1"/>
  <c r="AF38" i="2" s="1"/>
  <c r="AR34" i="2"/>
  <c r="AL35" i="2" s="1"/>
  <c r="AM35" i="2" s="1"/>
  <c r="AN35" i="2" s="1"/>
  <c r="AO35" i="2" s="1"/>
  <c r="AP35" i="2" s="1"/>
  <c r="AQ35" i="2" s="1"/>
  <c r="AR35" i="2" s="1"/>
  <c r="AL36" i="2" s="1"/>
  <c r="AM36" i="2" s="1"/>
  <c r="AN36" i="2" s="1"/>
  <c r="AO36" i="2" s="1"/>
  <c r="AP36" i="2" s="1"/>
  <c r="AQ36" i="2" s="1"/>
  <c r="AR36" i="2" s="1"/>
  <c r="AL37" i="2" s="1"/>
  <c r="AM37" i="2" s="1"/>
  <c r="AN37" i="2" s="1"/>
  <c r="AO37" i="2" s="1"/>
  <c r="AP37" i="2" s="1"/>
  <c r="AQ37" i="2" s="1"/>
  <c r="AR37" i="2" s="1"/>
  <c r="AL38" i="2" s="1"/>
  <c r="AM38" i="2" s="1"/>
  <c r="AN38" i="2" s="1"/>
  <c r="AO38" i="2" s="1"/>
  <c r="AP38" i="2" s="1"/>
  <c r="AP34" i="2"/>
  <c r="AQ34" i="2" s="1"/>
  <c r="AO34" i="2"/>
  <c r="AG34" i="2"/>
  <c r="AH34" i="2" s="1"/>
  <c r="AB35" i="2" s="1"/>
  <c r="AC35" i="2" s="1"/>
  <c r="AD35" i="2" s="1"/>
  <c r="AE35" i="2" s="1"/>
  <c r="AF35" i="2" s="1"/>
  <c r="AG35" i="2" s="1"/>
  <c r="AH35" i="2" s="1"/>
  <c r="AB36" i="2" s="1"/>
  <c r="AC36" i="2" s="1"/>
  <c r="AD36" i="2" s="1"/>
  <c r="AE36" i="2" s="1"/>
  <c r="AF36" i="2" s="1"/>
  <c r="AG36" i="2" s="1"/>
  <c r="AH36" i="2" s="1"/>
  <c r="AB37" i="2" s="1"/>
  <c r="AC37" i="2" s="1"/>
  <c r="AD37" i="2" s="1"/>
  <c r="AE37" i="2" s="1"/>
  <c r="AF34" i="2"/>
  <c r="AE34" i="2"/>
  <c r="AB32" i="2"/>
  <c r="AC32" i="2" s="1"/>
  <c r="AD32" i="2" s="1"/>
  <c r="AE32" i="2" s="1"/>
  <c r="AF32" i="2" s="1"/>
  <c r="AG32" i="2" s="1"/>
  <c r="AH32" i="2" s="1"/>
  <c r="AB33" i="2" s="1"/>
  <c r="AC33" i="2" s="1"/>
  <c r="AD33" i="2" s="1"/>
  <c r="AE33" i="2" s="1"/>
  <c r="AF33" i="2" s="1"/>
  <c r="AG33" i="2" s="1"/>
  <c r="AH33" i="2" s="1"/>
  <c r="AB34" i="2" s="1"/>
  <c r="AC34" i="2" s="1"/>
  <c r="AM30" i="2"/>
  <c r="AN30" i="2" s="1"/>
  <c r="AO30" i="2" s="1"/>
  <c r="AP30" i="2" s="1"/>
  <c r="AQ30" i="2" s="1"/>
  <c r="AR30" i="2" s="1"/>
  <c r="AL31" i="2" s="1"/>
  <c r="AM31" i="2" s="1"/>
  <c r="AN31" i="2" s="1"/>
  <c r="AO31" i="2" s="1"/>
  <c r="AP31" i="2" s="1"/>
  <c r="AQ31" i="2" s="1"/>
  <c r="AR31" i="2" s="1"/>
  <c r="AL32" i="2" s="1"/>
  <c r="AM32" i="2" s="1"/>
  <c r="AN32" i="2" s="1"/>
  <c r="AO32" i="2" s="1"/>
  <c r="AP32" i="2" s="1"/>
  <c r="AQ32" i="2" s="1"/>
  <c r="AR32" i="2" s="1"/>
  <c r="AL33" i="2" s="1"/>
  <c r="AM33" i="2" s="1"/>
  <c r="AN33" i="2" s="1"/>
  <c r="AO33" i="2" s="1"/>
  <c r="AP33" i="2" s="1"/>
  <c r="AQ33" i="2" s="1"/>
  <c r="AR33" i="2" s="1"/>
  <c r="AL34" i="2" s="1"/>
  <c r="AM34" i="2" s="1"/>
  <c r="AL30" i="2"/>
  <c r="AC30" i="2"/>
  <c r="AD30" i="2" s="1"/>
  <c r="AE30" i="2" s="1"/>
  <c r="AF30" i="2" s="1"/>
  <c r="AG30" i="2" s="1"/>
  <c r="AH30" i="2" s="1"/>
  <c r="AB31" i="2" s="1"/>
  <c r="AC31" i="2" s="1"/>
  <c r="AD31" i="2" s="1"/>
  <c r="AE31" i="2" s="1"/>
  <c r="AF31" i="2" s="1"/>
  <c r="AG31" i="2" s="1"/>
  <c r="AH31" i="2" s="1"/>
  <c r="AB30" i="2"/>
  <c r="AR25" i="2"/>
  <c r="AL26" i="2" s="1"/>
  <c r="AM26" i="2" s="1"/>
  <c r="AN26" i="2" s="1"/>
  <c r="AO26" i="2" s="1"/>
  <c r="AP26" i="2" s="1"/>
  <c r="AQ26" i="2" s="1"/>
  <c r="AR26" i="2" s="1"/>
  <c r="AL27" i="2" s="1"/>
  <c r="AM27" i="2" s="1"/>
  <c r="AN27" i="2" s="1"/>
  <c r="AO27" i="2" s="1"/>
  <c r="AP27" i="2" s="1"/>
  <c r="AQ27" i="2" s="1"/>
  <c r="AR27" i="2" s="1"/>
  <c r="AL28" i="2" s="1"/>
  <c r="AM28" i="2" s="1"/>
  <c r="AN28" i="2" s="1"/>
  <c r="AO28" i="2" s="1"/>
  <c r="AP28" i="2" s="1"/>
  <c r="AQ28" i="2" s="1"/>
  <c r="AR28" i="2" s="1"/>
  <c r="AL29" i="2" s="1"/>
  <c r="AM29" i="2" s="1"/>
  <c r="AN29" i="2" s="1"/>
  <c r="AO29" i="2" s="1"/>
  <c r="AP29" i="2" s="1"/>
  <c r="AQ29" i="2" s="1"/>
  <c r="AQ25" i="2"/>
  <c r="AH25" i="2"/>
  <c r="AB26" i="2" s="1"/>
  <c r="AC26" i="2" s="1"/>
  <c r="AD26" i="2" s="1"/>
  <c r="AE26" i="2" s="1"/>
  <c r="AF26" i="2" s="1"/>
  <c r="AG26" i="2" s="1"/>
  <c r="AH26" i="2" s="1"/>
  <c r="AB27" i="2" s="1"/>
  <c r="AC27" i="2" s="1"/>
  <c r="AD27" i="2" s="1"/>
  <c r="AE27" i="2" s="1"/>
  <c r="AF27" i="2" s="1"/>
  <c r="AG27" i="2" s="1"/>
  <c r="AH27" i="2" s="1"/>
  <c r="AB28" i="2" s="1"/>
  <c r="AC28" i="2" s="1"/>
  <c r="AD28" i="2" s="1"/>
  <c r="AE28" i="2" s="1"/>
  <c r="AF28" i="2" s="1"/>
  <c r="AG28" i="2" s="1"/>
  <c r="AH28" i="2" s="1"/>
  <c r="AB29" i="2" s="1"/>
  <c r="AC29" i="2" s="1"/>
  <c r="AD29" i="2" s="1"/>
  <c r="AE29" i="2" s="1"/>
  <c r="AF29" i="2" s="1"/>
  <c r="AG29" i="2" s="1"/>
  <c r="AG25" i="2"/>
  <c r="AL24" i="2"/>
  <c r="AM24" i="2" s="1"/>
  <c r="AN24" i="2" s="1"/>
  <c r="AO24" i="2" s="1"/>
  <c r="AP24" i="2" s="1"/>
  <c r="AQ24" i="2" s="1"/>
  <c r="AR24" i="2" s="1"/>
  <c r="AL25" i="2" s="1"/>
  <c r="AM25" i="2" s="1"/>
  <c r="AN25" i="2" s="1"/>
  <c r="AO25" i="2" s="1"/>
  <c r="AR21" i="2"/>
  <c r="AL22" i="2" s="1"/>
  <c r="AM22" i="2" s="1"/>
  <c r="AN22" i="2" s="1"/>
  <c r="AO22" i="2" s="1"/>
  <c r="AP22" i="2" s="1"/>
  <c r="AQ22" i="2" s="1"/>
  <c r="AR22" i="2" s="1"/>
  <c r="AL23" i="2" s="1"/>
  <c r="AM23" i="2" s="1"/>
  <c r="AN23" i="2" s="1"/>
  <c r="AO23" i="2" s="1"/>
  <c r="AP23" i="2" s="1"/>
  <c r="AQ23" i="2" s="1"/>
  <c r="AR23" i="2" s="1"/>
  <c r="AN21" i="2"/>
  <c r="AO21" i="2" s="1"/>
  <c r="AP21" i="2" s="1"/>
  <c r="AQ21" i="2" s="1"/>
  <c r="AE21" i="2"/>
  <c r="AF21" i="2" s="1"/>
  <c r="AG21" i="2" s="1"/>
  <c r="AH21" i="2" s="1"/>
  <c r="AB22" i="2" s="1"/>
  <c r="AC22" i="2" s="1"/>
  <c r="AD22" i="2" s="1"/>
  <c r="AE22" i="2" s="1"/>
  <c r="AF22" i="2" s="1"/>
  <c r="AG22" i="2" s="1"/>
  <c r="AH22" i="2" s="1"/>
  <c r="AB23" i="2" s="1"/>
  <c r="AC23" i="2" s="1"/>
  <c r="AD23" i="2" s="1"/>
  <c r="AE23" i="2" s="1"/>
  <c r="AF23" i="2" s="1"/>
  <c r="AG23" i="2" s="1"/>
  <c r="AH23" i="2" s="1"/>
  <c r="AB24" i="2" s="1"/>
  <c r="AC24" i="2" s="1"/>
  <c r="AD24" i="2" s="1"/>
  <c r="AE24" i="2" s="1"/>
  <c r="AF24" i="2" s="1"/>
  <c r="AG24" i="2" s="1"/>
  <c r="AH24" i="2" s="1"/>
  <c r="AB25" i="2" s="1"/>
  <c r="AC25" i="2" s="1"/>
  <c r="AD25" i="2" s="1"/>
  <c r="AE25" i="2" s="1"/>
  <c r="AD21" i="2"/>
  <c r="AN19" i="2"/>
  <c r="AO19" i="2" s="1"/>
  <c r="AP19" i="2" s="1"/>
  <c r="AQ19" i="2" s="1"/>
  <c r="AR19" i="2" s="1"/>
  <c r="AL20" i="2" s="1"/>
  <c r="AM20" i="2" s="1"/>
  <c r="AN20" i="2" s="1"/>
  <c r="AO20" i="2" s="1"/>
  <c r="AP20" i="2" s="1"/>
  <c r="AQ20" i="2" s="1"/>
  <c r="AR20" i="2" s="1"/>
  <c r="AL21" i="2" s="1"/>
  <c r="AQ17" i="2"/>
  <c r="AR17" i="2" s="1"/>
  <c r="AL18" i="2" s="1"/>
  <c r="AM18" i="2" s="1"/>
  <c r="AN18" i="2" s="1"/>
  <c r="AO18" i="2" s="1"/>
  <c r="AP18" i="2" s="1"/>
  <c r="AQ18" i="2" s="1"/>
  <c r="AR18" i="2" s="1"/>
  <c r="AL19" i="2" s="1"/>
  <c r="AM19" i="2" s="1"/>
  <c r="AM17" i="2"/>
  <c r="AN17" i="2" s="1"/>
  <c r="AO17" i="2" s="1"/>
  <c r="AP17" i="2" s="1"/>
  <c r="AL17" i="2"/>
  <c r="AD17" i="2"/>
  <c r="AE17" i="2" s="1"/>
  <c r="AF17" i="2" s="1"/>
  <c r="AG17" i="2" s="1"/>
  <c r="AH17" i="2" s="1"/>
  <c r="AB18" i="2" s="1"/>
  <c r="AC18" i="2" s="1"/>
  <c r="AD18" i="2" s="1"/>
  <c r="AE18" i="2" s="1"/>
  <c r="AF18" i="2" s="1"/>
  <c r="AG18" i="2" s="1"/>
  <c r="AH18" i="2" s="1"/>
  <c r="AB19" i="2" s="1"/>
  <c r="AC19" i="2" s="1"/>
  <c r="AD19" i="2" s="1"/>
  <c r="AE19" i="2" s="1"/>
  <c r="AF19" i="2" s="1"/>
  <c r="AG19" i="2" s="1"/>
  <c r="AH19" i="2" s="1"/>
  <c r="AB20" i="2" s="1"/>
  <c r="AC20" i="2" s="1"/>
  <c r="AD20" i="2" s="1"/>
  <c r="AE20" i="2" s="1"/>
  <c r="AF20" i="2" s="1"/>
  <c r="AG20" i="2" s="1"/>
  <c r="AH20" i="2" s="1"/>
  <c r="AB21" i="2" s="1"/>
  <c r="AC17" i="2"/>
  <c r="AB17" i="2"/>
  <c r="AN14" i="2"/>
  <c r="AO14" i="2" s="1"/>
  <c r="AP14" i="2" s="1"/>
  <c r="AQ14" i="2" s="1"/>
  <c r="AR14" i="2" s="1"/>
  <c r="AL15" i="2" s="1"/>
  <c r="AM15" i="2" s="1"/>
  <c r="AN15" i="2" s="1"/>
  <c r="AO15" i="2" s="1"/>
  <c r="AP15" i="2" s="1"/>
  <c r="AQ15" i="2" s="1"/>
  <c r="AR15" i="2" s="1"/>
  <c r="AL16" i="2" s="1"/>
  <c r="AM16" i="2" s="1"/>
  <c r="AN16" i="2" s="1"/>
  <c r="AO16" i="2" s="1"/>
  <c r="AP16" i="2" s="1"/>
  <c r="AQ16" i="2" s="1"/>
  <c r="AL13" i="2"/>
  <c r="AM13" i="2" s="1"/>
  <c r="AN13" i="2" s="1"/>
  <c r="AO13" i="2" s="1"/>
  <c r="AP13" i="2" s="1"/>
  <c r="AQ13" i="2" s="1"/>
  <c r="AR13" i="2" s="1"/>
  <c r="AL14" i="2" s="1"/>
  <c r="AM14" i="2" s="1"/>
  <c r="AP12" i="2"/>
  <c r="AQ12" i="2" s="1"/>
  <c r="AR12" i="2" s="1"/>
  <c r="AF12" i="2"/>
  <c r="AG12" i="2" s="1"/>
  <c r="AH12" i="2" s="1"/>
  <c r="AB13" i="2" s="1"/>
  <c r="AC13" i="2" s="1"/>
  <c r="AD13" i="2" s="1"/>
  <c r="AE13" i="2" s="1"/>
  <c r="AF13" i="2" s="1"/>
  <c r="AG13" i="2" s="1"/>
  <c r="AH13" i="2" s="1"/>
  <c r="AB14" i="2" s="1"/>
  <c r="AC14" i="2" s="1"/>
  <c r="AD14" i="2" s="1"/>
  <c r="AE14" i="2" s="1"/>
  <c r="AF14" i="2" s="1"/>
  <c r="AG14" i="2" s="1"/>
  <c r="AH14" i="2" s="1"/>
  <c r="AB15" i="2" s="1"/>
  <c r="AC15" i="2" s="1"/>
  <c r="AD15" i="2" s="1"/>
  <c r="AE15" i="2" s="1"/>
  <c r="AF15" i="2" s="1"/>
  <c r="AG15" i="2" s="1"/>
  <c r="AH15" i="2" s="1"/>
  <c r="AB16" i="2" s="1"/>
  <c r="AC16" i="2" s="1"/>
  <c r="AD16" i="2" s="1"/>
  <c r="AE16" i="2" s="1"/>
  <c r="AF16" i="2" s="1"/>
  <c r="AG16" i="2" s="1"/>
  <c r="AQ11" i="2"/>
  <c r="AR11" i="2" s="1"/>
  <c r="AL12" i="2" s="1"/>
  <c r="AM12" i="2" s="1"/>
  <c r="AN12" i="2" s="1"/>
  <c r="AL9" i="2"/>
  <c r="AM9" i="2" s="1"/>
  <c r="AN9" i="2" s="1"/>
  <c r="AO9" i="2" s="1"/>
  <c r="AP9" i="2" s="1"/>
  <c r="AQ9" i="2" s="1"/>
  <c r="AR9" i="2" s="1"/>
  <c r="AL10" i="2" s="1"/>
  <c r="AM10" i="2" s="1"/>
  <c r="AN10" i="2" s="1"/>
  <c r="AO10" i="2" s="1"/>
  <c r="AP10" i="2" s="1"/>
  <c r="AQ10" i="2" s="1"/>
  <c r="AR10" i="2" s="1"/>
  <c r="AL11" i="2" s="1"/>
  <c r="AM11" i="2" s="1"/>
  <c r="AN11" i="2" s="1"/>
  <c r="AO11" i="2" s="1"/>
  <c r="AP11" i="2" s="1"/>
  <c r="AP8" i="2"/>
  <c r="AQ8" i="2" s="1"/>
  <c r="AR8" i="2" s="1"/>
  <c r="AH8" i="2"/>
  <c r="AB9" i="2" s="1"/>
  <c r="AC9" i="2" s="1"/>
  <c r="AD9" i="2" s="1"/>
  <c r="AE9" i="2" s="1"/>
  <c r="AF9" i="2" s="1"/>
  <c r="AG9" i="2" s="1"/>
  <c r="AH9" i="2" s="1"/>
  <c r="AB10" i="2" s="1"/>
  <c r="AC10" i="2" s="1"/>
  <c r="AD10" i="2" s="1"/>
  <c r="AE10" i="2" s="1"/>
  <c r="AF10" i="2" s="1"/>
  <c r="AG10" i="2" s="1"/>
  <c r="AH10" i="2" s="1"/>
  <c r="AB11" i="2" s="1"/>
  <c r="AC11" i="2" s="1"/>
  <c r="AD11" i="2" s="1"/>
  <c r="AE11" i="2" s="1"/>
  <c r="AF11" i="2" s="1"/>
  <c r="AG11" i="2" s="1"/>
  <c r="AH11" i="2" s="1"/>
  <c r="AB12" i="2" s="1"/>
  <c r="AC12" i="2" s="1"/>
  <c r="AD12" i="2" s="1"/>
  <c r="AG8" i="2"/>
  <c r="AF8" i="2"/>
  <c r="AM4" i="2"/>
  <c r="AN4" i="2" s="1"/>
  <c r="AO4" i="2" s="1"/>
  <c r="AP4" i="2" s="1"/>
  <c r="AQ4" i="2" s="1"/>
  <c r="AR4" i="2" s="1"/>
  <c r="AL5" i="2" s="1"/>
  <c r="AM5" i="2" s="1"/>
  <c r="AN5" i="2" s="1"/>
  <c r="AO5" i="2" s="1"/>
  <c r="AP5" i="2" s="1"/>
  <c r="AQ5" i="2" s="1"/>
  <c r="AR5" i="2" s="1"/>
  <c r="AL6" i="2" s="1"/>
  <c r="AM6" i="2" s="1"/>
  <c r="AN6" i="2" s="1"/>
  <c r="AO6" i="2" s="1"/>
  <c r="AP6" i="2" s="1"/>
  <c r="AQ6" i="2" s="1"/>
  <c r="AR6" i="2" s="1"/>
  <c r="AL7" i="2" s="1"/>
  <c r="AM7" i="2" s="1"/>
  <c r="AN7" i="2" s="1"/>
  <c r="AO7" i="2" s="1"/>
  <c r="AP7" i="2" s="1"/>
  <c r="AQ7" i="2" s="1"/>
  <c r="AR7" i="2" s="1"/>
  <c r="AL8" i="2" s="1"/>
  <c r="AM8" i="2" s="1"/>
  <c r="AN8" i="2" s="1"/>
  <c r="AG4" i="2"/>
  <c r="AH4" i="2" s="1"/>
  <c r="AB5" i="2" s="1"/>
  <c r="AC5" i="2" s="1"/>
  <c r="AD5" i="2" s="1"/>
  <c r="AE5" i="2" s="1"/>
  <c r="AF5" i="2" s="1"/>
  <c r="AG5" i="2" s="1"/>
  <c r="AH5" i="2" s="1"/>
  <c r="AB6" i="2" s="1"/>
  <c r="AC6" i="2" s="1"/>
  <c r="AD6" i="2" s="1"/>
  <c r="AE6" i="2" s="1"/>
  <c r="AF6" i="2" s="1"/>
  <c r="AG6" i="2" s="1"/>
  <c r="AH6" i="2" s="1"/>
  <c r="AB7" i="2" s="1"/>
  <c r="AC7" i="2" s="1"/>
  <c r="AD7" i="2" s="1"/>
  <c r="AE7" i="2" s="1"/>
  <c r="AF7" i="2" s="1"/>
  <c r="AG7" i="2" s="1"/>
  <c r="AH7" i="2" s="1"/>
  <c r="AB8" i="2" s="1"/>
  <c r="AC8" i="2" s="1"/>
  <c r="AD8" i="2" s="1"/>
  <c r="AD4" i="2"/>
  <c r="AE4" i="2" s="1"/>
  <c r="AF4" i="2" s="1"/>
  <c r="AC4" i="2"/>
  <c r="P55" i="1"/>
  <c r="Q55" i="1" s="1"/>
  <c r="R55" i="1" s="1"/>
  <c r="S55" i="1" s="1"/>
  <c r="T55" i="1" s="1"/>
  <c r="F55" i="1"/>
  <c r="G55" i="1" s="1"/>
  <c r="H55" i="1" s="1"/>
  <c r="I55" i="1" s="1"/>
  <c r="AC52" i="1"/>
  <c r="AD52" i="1" s="1"/>
  <c r="AE52" i="1" s="1"/>
  <c r="Y53" i="1" s="1"/>
  <c r="Z53" i="1" s="1"/>
  <c r="AA53" i="1" s="1"/>
  <c r="AB53" i="1" s="1"/>
  <c r="AC53" i="1" s="1"/>
  <c r="AD53" i="1" s="1"/>
  <c r="AE53" i="1" s="1"/>
  <c r="Y54" i="1" s="1"/>
  <c r="Z54" i="1" s="1"/>
  <c r="AA54" i="1" s="1"/>
  <c r="AB54" i="1" s="1"/>
  <c r="AC54" i="1" s="1"/>
  <c r="AD54" i="1" s="1"/>
  <c r="AE54" i="1" s="1"/>
  <c r="Y55" i="1" s="1"/>
  <c r="Z55" i="1" s="1"/>
  <c r="AA55" i="1" s="1"/>
  <c r="AB55" i="1" s="1"/>
  <c r="AC55" i="1" s="1"/>
  <c r="AD55" i="1" s="1"/>
  <c r="Z52" i="1"/>
  <c r="AA52" i="1" s="1"/>
  <c r="AB52" i="1" s="1"/>
  <c r="AE51" i="1"/>
  <c r="Y52" i="1" s="1"/>
  <c r="AD51" i="1"/>
  <c r="F51" i="1"/>
  <c r="G51" i="1" s="1"/>
  <c r="H51" i="1" s="1"/>
  <c r="I51" i="1" s="1"/>
  <c r="C52" i="1" s="1"/>
  <c r="D52" i="1" s="1"/>
  <c r="E52" i="1" s="1"/>
  <c r="F52" i="1" s="1"/>
  <c r="G52" i="1" s="1"/>
  <c r="H52" i="1" s="1"/>
  <c r="I52" i="1" s="1"/>
  <c r="C53" i="1" s="1"/>
  <c r="D53" i="1" s="1"/>
  <c r="E53" i="1" s="1"/>
  <c r="F53" i="1" s="1"/>
  <c r="G53" i="1" s="1"/>
  <c r="H53" i="1" s="1"/>
  <c r="I53" i="1" s="1"/>
  <c r="C54" i="1" s="1"/>
  <c r="D54" i="1" s="1"/>
  <c r="E54" i="1" s="1"/>
  <c r="F54" i="1" s="1"/>
  <c r="G54" i="1" s="1"/>
  <c r="H54" i="1" s="1"/>
  <c r="I54" i="1" s="1"/>
  <c r="C55" i="1" s="1"/>
  <c r="E51" i="1"/>
  <c r="C51" i="1"/>
  <c r="D51" i="1" s="1"/>
  <c r="T50" i="1"/>
  <c r="N51" i="1" s="1"/>
  <c r="O51" i="1" s="1"/>
  <c r="P51" i="1" s="1"/>
  <c r="Q51" i="1" s="1"/>
  <c r="R51" i="1" s="1"/>
  <c r="S51" i="1" s="1"/>
  <c r="T51" i="1" s="1"/>
  <c r="N52" i="1" s="1"/>
  <c r="O52" i="1" s="1"/>
  <c r="P52" i="1" s="1"/>
  <c r="Q52" i="1" s="1"/>
  <c r="R52" i="1" s="1"/>
  <c r="S52" i="1" s="1"/>
  <c r="T52" i="1" s="1"/>
  <c r="N53" i="1" s="1"/>
  <c r="O53" i="1" s="1"/>
  <c r="P53" i="1" s="1"/>
  <c r="Q53" i="1" s="1"/>
  <c r="R53" i="1" s="1"/>
  <c r="S53" i="1" s="1"/>
  <c r="T53" i="1" s="1"/>
  <c r="N54" i="1" s="1"/>
  <c r="O54" i="1" s="1"/>
  <c r="P54" i="1" s="1"/>
  <c r="Q54" i="1" s="1"/>
  <c r="R54" i="1" s="1"/>
  <c r="S54" i="1" s="1"/>
  <c r="T54" i="1" s="1"/>
  <c r="N55" i="1" s="1"/>
  <c r="AE48" i="1"/>
  <c r="Y49" i="1" s="1"/>
  <c r="Z49" i="1" s="1"/>
  <c r="AA49" i="1" s="1"/>
  <c r="AB49" i="1" s="1"/>
  <c r="AC49" i="1" s="1"/>
  <c r="AD49" i="1" s="1"/>
  <c r="AE49" i="1" s="1"/>
  <c r="Y50" i="1" s="1"/>
  <c r="Z50" i="1" s="1"/>
  <c r="AA50" i="1" s="1"/>
  <c r="AB50" i="1" s="1"/>
  <c r="AC50" i="1" s="1"/>
  <c r="AD50" i="1" s="1"/>
  <c r="AE50" i="1" s="1"/>
  <c r="Y51" i="1" s="1"/>
  <c r="Z51" i="1" s="1"/>
  <c r="AA51" i="1" s="1"/>
  <c r="AD47" i="1"/>
  <c r="AE47" i="1" s="1"/>
  <c r="Y48" i="1" s="1"/>
  <c r="Z48" i="1" s="1"/>
  <c r="AA48" i="1" s="1"/>
  <c r="AB48" i="1" s="1"/>
  <c r="AC48" i="1" s="1"/>
  <c r="AD48" i="1" s="1"/>
  <c r="AB47" i="1"/>
  <c r="AC47" i="1" s="1"/>
  <c r="Q47" i="1"/>
  <c r="R47" i="1" s="1"/>
  <c r="S47" i="1" s="1"/>
  <c r="T47" i="1" s="1"/>
  <c r="N48" i="1" s="1"/>
  <c r="O48" i="1" s="1"/>
  <c r="P48" i="1" s="1"/>
  <c r="Q48" i="1" s="1"/>
  <c r="R48" i="1" s="1"/>
  <c r="S48" i="1" s="1"/>
  <c r="T48" i="1" s="1"/>
  <c r="N49" i="1" s="1"/>
  <c r="O49" i="1" s="1"/>
  <c r="P49" i="1" s="1"/>
  <c r="Q49" i="1" s="1"/>
  <c r="R49" i="1" s="1"/>
  <c r="S49" i="1" s="1"/>
  <c r="T49" i="1" s="1"/>
  <c r="N50" i="1" s="1"/>
  <c r="O50" i="1" s="1"/>
  <c r="P50" i="1" s="1"/>
  <c r="Q50" i="1" s="1"/>
  <c r="R50" i="1" s="1"/>
  <c r="S46" i="1"/>
  <c r="T46" i="1" s="1"/>
  <c r="N47" i="1" s="1"/>
  <c r="O47" i="1" s="1"/>
  <c r="P47" i="1" s="1"/>
  <c r="R46" i="1"/>
  <c r="H46" i="1"/>
  <c r="I46" i="1" s="1"/>
  <c r="C47" i="1" s="1"/>
  <c r="D47" i="1" s="1"/>
  <c r="E47" i="1" s="1"/>
  <c r="F47" i="1" s="1"/>
  <c r="G47" i="1" s="1"/>
  <c r="H47" i="1" s="1"/>
  <c r="I47" i="1" s="1"/>
  <c r="C48" i="1" s="1"/>
  <c r="D48" i="1" s="1"/>
  <c r="E48" i="1" s="1"/>
  <c r="F48" i="1" s="1"/>
  <c r="G48" i="1" s="1"/>
  <c r="H48" i="1" s="1"/>
  <c r="I48" i="1" s="1"/>
  <c r="C49" i="1" s="1"/>
  <c r="D49" i="1" s="1"/>
  <c r="E49" i="1" s="1"/>
  <c r="F49" i="1" s="1"/>
  <c r="G49" i="1" s="1"/>
  <c r="H49" i="1" s="1"/>
  <c r="I49" i="1" s="1"/>
  <c r="C50" i="1" s="1"/>
  <c r="D50" i="1" s="1"/>
  <c r="E50" i="1" s="1"/>
  <c r="F50" i="1" s="1"/>
  <c r="G50" i="1" s="1"/>
  <c r="AB45" i="1"/>
  <c r="AC45" i="1" s="1"/>
  <c r="AD45" i="1" s="1"/>
  <c r="AE45" i="1" s="1"/>
  <c r="Y46" i="1" s="1"/>
  <c r="Z46" i="1" s="1"/>
  <c r="AA46" i="1" s="1"/>
  <c r="AB46" i="1" s="1"/>
  <c r="AC46" i="1" s="1"/>
  <c r="AD46" i="1" s="1"/>
  <c r="AE46" i="1" s="1"/>
  <c r="Y47" i="1" s="1"/>
  <c r="N44" i="1"/>
  <c r="O44" i="1" s="1"/>
  <c r="P44" i="1" s="1"/>
  <c r="Q44" i="1" s="1"/>
  <c r="R44" i="1" s="1"/>
  <c r="S44" i="1" s="1"/>
  <c r="T44" i="1" s="1"/>
  <c r="N45" i="1" s="1"/>
  <c r="O45" i="1" s="1"/>
  <c r="P45" i="1" s="1"/>
  <c r="Q45" i="1" s="1"/>
  <c r="R45" i="1" s="1"/>
  <c r="S45" i="1" s="1"/>
  <c r="T45" i="1" s="1"/>
  <c r="N46" i="1" s="1"/>
  <c r="O46" i="1" s="1"/>
  <c r="P46" i="1" s="1"/>
  <c r="AC43" i="1"/>
  <c r="AD43" i="1" s="1"/>
  <c r="AE43" i="1" s="1"/>
  <c r="Y44" i="1" s="1"/>
  <c r="Z44" i="1" s="1"/>
  <c r="AA44" i="1" s="1"/>
  <c r="AB44" i="1" s="1"/>
  <c r="AC44" i="1" s="1"/>
  <c r="AD44" i="1" s="1"/>
  <c r="AE44" i="1" s="1"/>
  <c r="Y45" i="1" s="1"/>
  <c r="Z45" i="1" s="1"/>
  <c r="AA45" i="1" s="1"/>
  <c r="Z43" i="1"/>
  <c r="AA43" i="1" s="1"/>
  <c r="AB43" i="1" s="1"/>
  <c r="Y43" i="1"/>
  <c r="O42" i="1"/>
  <c r="P42" i="1" s="1"/>
  <c r="Q42" i="1" s="1"/>
  <c r="R42" i="1" s="1"/>
  <c r="S42" i="1" s="1"/>
  <c r="T42" i="1" s="1"/>
  <c r="N43" i="1" s="1"/>
  <c r="O43" i="1" s="1"/>
  <c r="P43" i="1" s="1"/>
  <c r="Q43" i="1" s="1"/>
  <c r="R43" i="1" s="1"/>
  <c r="S43" i="1" s="1"/>
  <c r="T43" i="1" s="1"/>
  <c r="E42" i="1"/>
  <c r="F42" i="1" s="1"/>
  <c r="G42" i="1" s="1"/>
  <c r="H42" i="1" s="1"/>
  <c r="I42" i="1" s="1"/>
  <c r="C43" i="1" s="1"/>
  <c r="D43" i="1" s="1"/>
  <c r="E43" i="1" s="1"/>
  <c r="F43" i="1" s="1"/>
  <c r="G43" i="1" s="1"/>
  <c r="H43" i="1" s="1"/>
  <c r="I43" i="1" s="1"/>
  <c r="C44" i="1" s="1"/>
  <c r="D44" i="1" s="1"/>
  <c r="E44" i="1" s="1"/>
  <c r="F44" i="1" s="1"/>
  <c r="G44" i="1" s="1"/>
  <c r="H44" i="1" s="1"/>
  <c r="I44" i="1" s="1"/>
  <c r="C45" i="1" s="1"/>
  <c r="D45" i="1" s="1"/>
  <c r="E45" i="1" s="1"/>
  <c r="F45" i="1" s="1"/>
  <c r="G45" i="1" s="1"/>
  <c r="H45" i="1" s="1"/>
  <c r="I45" i="1" s="1"/>
  <c r="C46" i="1" s="1"/>
  <c r="D46" i="1" s="1"/>
  <c r="E46" i="1" s="1"/>
  <c r="T39" i="1"/>
  <c r="N40" i="1" s="1"/>
  <c r="O40" i="1" s="1"/>
  <c r="P40" i="1" s="1"/>
  <c r="Q40" i="1" s="1"/>
  <c r="R40" i="1" s="1"/>
  <c r="S40" i="1" s="1"/>
  <c r="T40" i="1" s="1"/>
  <c r="N41" i="1" s="1"/>
  <c r="O41" i="1" s="1"/>
  <c r="P41" i="1" s="1"/>
  <c r="Q41" i="1" s="1"/>
  <c r="R41" i="1" s="1"/>
  <c r="S41" i="1" s="1"/>
  <c r="T41" i="1" s="1"/>
  <c r="AD38" i="1"/>
  <c r="AE38" i="1" s="1"/>
  <c r="Y39" i="1" s="1"/>
  <c r="Z39" i="1" s="1"/>
  <c r="AA39" i="1" s="1"/>
  <c r="AB39" i="1" s="1"/>
  <c r="AC39" i="1" s="1"/>
  <c r="AD39" i="1" s="1"/>
  <c r="AE39" i="1" s="1"/>
  <c r="Y40" i="1" s="1"/>
  <c r="Z40" i="1" s="1"/>
  <c r="AA40" i="1" s="1"/>
  <c r="AB40" i="1" s="1"/>
  <c r="AC40" i="1" s="1"/>
  <c r="AD40" i="1" s="1"/>
  <c r="AE40" i="1" s="1"/>
  <c r="Y41" i="1" s="1"/>
  <c r="Z41" i="1" s="1"/>
  <c r="AA41" i="1" s="1"/>
  <c r="AB41" i="1" s="1"/>
  <c r="AC41" i="1" s="1"/>
  <c r="AD41" i="1" s="1"/>
  <c r="AE41" i="1" s="1"/>
  <c r="Y42" i="1" s="1"/>
  <c r="Z42" i="1" s="1"/>
  <c r="AA42" i="1" s="1"/>
  <c r="AB42" i="1" s="1"/>
  <c r="AC42" i="1" s="1"/>
  <c r="N38" i="1"/>
  <c r="O38" i="1" s="1"/>
  <c r="P38" i="1" s="1"/>
  <c r="Q38" i="1" s="1"/>
  <c r="R38" i="1" s="1"/>
  <c r="S38" i="1" s="1"/>
  <c r="T38" i="1" s="1"/>
  <c r="N39" i="1" s="1"/>
  <c r="O39" i="1" s="1"/>
  <c r="P39" i="1" s="1"/>
  <c r="Q39" i="1" s="1"/>
  <c r="R39" i="1" s="1"/>
  <c r="S39" i="1" s="1"/>
  <c r="C38" i="1"/>
  <c r="D38" i="1" s="1"/>
  <c r="E38" i="1" s="1"/>
  <c r="F38" i="1" s="1"/>
  <c r="G38" i="1" s="1"/>
  <c r="H38" i="1" s="1"/>
  <c r="I38" i="1" s="1"/>
  <c r="C39" i="1" s="1"/>
  <c r="D39" i="1" s="1"/>
  <c r="E39" i="1" s="1"/>
  <c r="F39" i="1" s="1"/>
  <c r="G39" i="1" s="1"/>
  <c r="H39" i="1" s="1"/>
  <c r="I39" i="1" s="1"/>
  <c r="C40" i="1" s="1"/>
  <c r="D40" i="1" s="1"/>
  <c r="E40" i="1" s="1"/>
  <c r="F40" i="1" s="1"/>
  <c r="G40" i="1" s="1"/>
  <c r="H40" i="1" s="1"/>
  <c r="I40" i="1" s="1"/>
  <c r="C41" i="1" s="1"/>
  <c r="D41" i="1" s="1"/>
  <c r="E41" i="1" s="1"/>
  <c r="F41" i="1" s="1"/>
  <c r="G41" i="1" s="1"/>
  <c r="H41" i="1" s="1"/>
  <c r="I41" i="1" s="1"/>
  <c r="T37" i="1"/>
  <c r="R36" i="1"/>
  <c r="S36" i="1" s="1"/>
  <c r="T36" i="1" s="1"/>
  <c r="N37" i="1" s="1"/>
  <c r="O37" i="1" s="1"/>
  <c r="P37" i="1" s="1"/>
  <c r="Q37" i="1" s="1"/>
  <c r="R37" i="1" s="1"/>
  <c r="AC34" i="1"/>
  <c r="AD34" i="1" s="1"/>
  <c r="AE34" i="1" s="1"/>
  <c r="Y35" i="1" s="1"/>
  <c r="Z35" i="1" s="1"/>
  <c r="AA35" i="1" s="1"/>
  <c r="AB35" i="1" s="1"/>
  <c r="AC35" i="1" s="1"/>
  <c r="AD35" i="1" s="1"/>
  <c r="AE35" i="1" s="1"/>
  <c r="Y36" i="1" s="1"/>
  <c r="Z36" i="1" s="1"/>
  <c r="AA36" i="1" s="1"/>
  <c r="AB36" i="1" s="1"/>
  <c r="AC36" i="1" s="1"/>
  <c r="AD36" i="1" s="1"/>
  <c r="AE36" i="1" s="1"/>
  <c r="Y37" i="1" s="1"/>
  <c r="Z37" i="1" s="1"/>
  <c r="AA37" i="1" s="1"/>
  <c r="AB37" i="1" s="1"/>
  <c r="AC37" i="1" s="1"/>
  <c r="AD37" i="1" s="1"/>
  <c r="AE37" i="1" s="1"/>
  <c r="Y38" i="1" s="1"/>
  <c r="Z38" i="1" s="1"/>
  <c r="AA38" i="1" s="1"/>
  <c r="AB34" i="1"/>
  <c r="AA34" i="1"/>
  <c r="F34" i="1"/>
  <c r="G34" i="1" s="1"/>
  <c r="H34" i="1" s="1"/>
  <c r="I34" i="1" s="1"/>
  <c r="C35" i="1" s="1"/>
  <c r="D35" i="1" s="1"/>
  <c r="E35" i="1" s="1"/>
  <c r="F35" i="1" s="1"/>
  <c r="G35" i="1" s="1"/>
  <c r="H35" i="1" s="1"/>
  <c r="I35" i="1" s="1"/>
  <c r="C36" i="1" s="1"/>
  <c r="D36" i="1" s="1"/>
  <c r="E36" i="1" s="1"/>
  <c r="F36" i="1" s="1"/>
  <c r="G36" i="1" s="1"/>
  <c r="H36" i="1" s="1"/>
  <c r="I36" i="1" s="1"/>
  <c r="C37" i="1" s="1"/>
  <c r="D37" i="1" s="1"/>
  <c r="E37" i="1" s="1"/>
  <c r="F37" i="1" s="1"/>
  <c r="G37" i="1" s="1"/>
  <c r="C34" i="1"/>
  <c r="D34" i="1" s="1"/>
  <c r="E34" i="1" s="1"/>
  <c r="Q33" i="1"/>
  <c r="R33" i="1" s="1"/>
  <c r="S33" i="1" s="1"/>
  <c r="T33" i="1" s="1"/>
  <c r="N34" i="1" s="1"/>
  <c r="O34" i="1" s="1"/>
  <c r="P34" i="1" s="1"/>
  <c r="Q34" i="1" s="1"/>
  <c r="R34" i="1" s="1"/>
  <c r="S34" i="1" s="1"/>
  <c r="T34" i="1" s="1"/>
  <c r="N35" i="1" s="1"/>
  <c r="O35" i="1" s="1"/>
  <c r="P35" i="1" s="1"/>
  <c r="Q35" i="1" s="1"/>
  <c r="R35" i="1" s="1"/>
  <c r="S35" i="1" s="1"/>
  <c r="T35" i="1" s="1"/>
  <c r="N36" i="1" s="1"/>
  <c r="O36" i="1" s="1"/>
  <c r="P36" i="1" s="1"/>
  <c r="Q36" i="1" s="1"/>
  <c r="G33" i="1"/>
  <c r="H33" i="1" s="1"/>
  <c r="I33" i="1" s="1"/>
  <c r="F32" i="1"/>
  <c r="G32" i="1" s="1"/>
  <c r="H32" i="1" s="1"/>
  <c r="I32" i="1" s="1"/>
  <c r="C33" i="1" s="1"/>
  <c r="D33" i="1" s="1"/>
  <c r="Z30" i="1"/>
  <c r="AA30" i="1" s="1"/>
  <c r="AB30" i="1" s="1"/>
  <c r="AC30" i="1" s="1"/>
  <c r="AD30" i="1" s="1"/>
  <c r="AE30" i="1" s="1"/>
  <c r="Y31" i="1" s="1"/>
  <c r="Z31" i="1" s="1"/>
  <c r="AA31" i="1" s="1"/>
  <c r="AB31" i="1" s="1"/>
  <c r="AC31" i="1" s="1"/>
  <c r="AD31" i="1" s="1"/>
  <c r="AE31" i="1" s="1"/>
  <c r="Y32" i="1" s="1"/>
  <c r="Z32" i="1" s="1"/>
  <c r="AA32" i="1" s="1"/>
  <c r="AB32" i="1" s="1"/>
  <c r="AC32" i="1" s="1"/>
  <c r="AD32" i="1" s="1"/>
  <c r="AE32" i="1" s="1"/>
  <c r="Y33" i="1" s="1"/>
  <c r="Z33" i="1" s="1"/>
  <c r="AA33" i="1" s="1"/>
  <c r="AB33" i="1" s="1"/>
  <c r="AC33" i="1" s="1"/>
  <c r="AD33" i="1" s="1"/>
  <c r="AE33" i="1" s="1"/>
  <c r="Y30" i="1"/>
  <c r="AE29" i="1"/>
  <c r="Z29" i="1"/>
  <c r="AA29" i="1" s="1"/>
  <c r="AB29" i="1" s="1"/>
  <c r="O29" i="1"/>
  <c r="P29" i="1" s="1"/>
  <c r="Q29" i="1" s="1"/>
  <c r="R29" i="1" s="1"/>
  <c r="S29" i="1" s="1"/>
  <c r="T29" i="1" s="1"/>
  <c r="N30" i="1" s="1"/>
  <c r="O30" i="1" s="1"/>
  <c r="P30" i="1" s="1"/>
  <c r="Q30" i="1" s="1"/>
  <c r="R30" i="1" s="1"/>
  <c r="S30" i="1" s="1"/>
  <c r="T30" i="1" s="1"/>
  <c r="N31" i="1" s="1"/>
  <c r="O31" i="1" s="1"/>
  <c r="P31" i="1" s="1"/>
  <c r="Q31" i="1" s="1"/>
  <c r="R31" i="1" s="1"/>
  <c r="S31" i="1" s="1"/>
  <c r="T31" i="1" s="1"/>
  <c r="N32" i="1" s="1"/>
  <c r="O32" i="1" s="1"/>
  <c r="P32" i="1" s="1"/>
  <c r="Q32" i="1" s="1"/>
  <c r="R32" i="1" s="1"/>
  <c r="S32" i="1" s="1"/>
  <c r="T32" i="1" s="1"/>
  <c r="N33" i="1" s="1"/>
  <c r="O33" i="1" s="1"/>
  <c r="N29" i="1"/>
  <c r="I29" i="1"/>
  <c r="C30" i="1" s="1"/>
  <c r="D30" i="1" s="1"/>
  <c r="E30" i="1" s="1"/>
  <c r="F30" i="1" s="1"/>
  <c r="G30" i="1" s="1"/>
  <c r="H30" i="1" s="1"/>
  <c r="I30" i="1" s="1"/>
  <c r="C31" i="1" s="1"/>
  <c r="D31" i="1" s="1"/>
  <c r="E31" i="1" s="1"/>
  <c r="F31" i="1" s="1"/>
  <c r="G31" i="1" s="1"/>
  <c r="H31" i="1" s="1"/>
  <c r="I31" i="1" s="1"/>
  <c r="C32" i="1" s="1"/>
  <c r="D32" i="1" s="1"/>
  <c r="E32" i="1" s="1"/>
  <c r="E29" i="1"/>
  <c r="F29" i="1" s="1"/>
  <c r="G29" i="1" s="1"/>
  <c r="H29" i="1" s="1"/>
  <c r="D29" i="1"/>
  <c r="AC25" i="1"/>
  <c r="AD25" i="1" s="1"/>
  <c r="AE25" i="1" s="1"/>
  <c r="Y26" i="1" s="1"/>
  <c r="Z26" i="1" s="1"/>
  <c r="AA26" i="1" s="1"/>
  <c r="AB26" i="1" s="1"/>
  <c r="AC26" i="1" s="1"/>
  <c r="AD26" i="1" s="1"/>
  <c r="AE26" i="1" s="1"/>
  <c r="Y27" i="1" s="1"/>
  <c r="Z27" i="1" s="1"/>
  <c r="AA27" i="1" s="1"/>
  <c r="AB27" i="1" s="1"/>
  <c r="AC27" i="1" s="1"/>
  <c r="AD27" i="1" s="1"/>
  <c r="AE27" i="1" s="1"/>
  <c r="Y28" i="1" s="1"/>
  <c r="Z28" i="1" s="1"/>
  <c r="AA28" i="1" s="1"/>
  <c r="AB28" i="1" s="1"/>
  <c r="AC28" i="1" s="1"/>
  <c r="AD28" i="1" s="1"/>
  <c r="AE28" i="1" s="1"/>
  <c r="E25" i="1"/>
  <c r="F25" i="1" s="1"/>
  <c r="G25" i="1" s="1"/>
  <c r="H25" i="1" s="1"/>
  <c r="I25" i="1" s="1"/>
  <c r="C26" i="1" s="1"/>
  <c r="D26" i="1" s="1"/>
  <c r="E26" i="1" s="1"/>
  <c r="F26" i="1" s="1"/>
  <c r="G26" i="1" s="1"/>
  <c r="H26" i="1" s="1"/>
  <c r="I26" i="1" s="1"/>
  <c r="C27" i="1" s="1"/>
  <c r="D27" i="1" s="1"/>
  <c r="E27" i="1" s="1"/>
  <c r="F27" i="1" s="1"/>
  <c r="G27" i="1" s="1"/>
  <c r="H27" i="1" s="1"/>
  <c r="I27" i="1" s="1"/>
  <c r="C28" i="1" s="1"/>
  <c r="D28" i="1" s="1"/>
  <c r="E28" i="1" s="1"/>
  <c r="F28" i="1" s="1"/>
  <c r="G28" i="1" s="1"/>
  <c r="H28" i="1" s="1"/>
  <c r="I28" i="1" s="1"/>
  <c r="D25" i="1"/>
  <c r="S24" i="1"/>
  <c r="T24" i="1" s="1"/>
  <c r="N25" i="1" s="1"/>
  <c r="O25" i="1" s="1"/>
  <c r="P25" i="1" s="1"/>
  <c r="Q25" i="1" s="1"/>
  <c r="R25" i="1" s="1"/>
  <c r="S25" i="1" s="1"/>
  <c r="T25" i="1" s="1"/>
  <c r="N26" i="1" s="1"/>
  <c r="O26" i="1" s="1"/>
  <c r="P26" i="1" s="1"/>
  <c r="Q26" i="1" s="1"/>
  <c r="R26" i="1" s="1"/>
  <c r="S26" i="1" s="1"/>
  <c r="T26" i="1" s="1"/>
  <c r="N27" i="1" s="1"/>
  <c r="O27" i="1" s="1"/>
  <c r="P27" i="1" s="1"/>
  <c r="Q27" i="1" s="1"/>
  <c r="R27" i="1" s="1"/>
  <c r="S27" i="1" s="1"/>
  <c r="T27" i="1" s="1"/>
  <c r="N28" i="1" s="1"/>
  <c r="O28" i="1" s="1"/>
  <c r="P28" i="1" s="1"/>
  <c r="Q28" i="1" s="1"/>
  <c r="R28" i="1" s="1"/>
  <c r="S28" i="1" s="1"/>
  <c r="I24" i="1"/>
  <c r="C25" i="1" s="1"/>
  <c r="Y23" i="1"/>
  <c r="Z23" i="1" s="1"/>
  <c r="AA23" i="1" s="1"/>
  <c r="AB23" i="1" s="1"/>
  <c r="AC23" i="1" s="1"/>
  <c r="AD23" i="1" s="1"/>
  <c r="AE23" i="1" s="1"/>
  <c r="Y24" i="1" s="1"/>
  <c r="Z24" i="1" s="1"/>
  <c r="AA24" i="1" s="1"/>
  <c r="AB24" i="1" s="1"/>
  <c r="AC24" i="1" s="1"/>
  <c r="AD24" i="1" s="1"/>
  <c r="AE24" i="1" s="1"/>
  <c r="Y25" i="1" s="1"/>
  <c r="Z25" i="1" s="1"/>
  <c r="AB21" i="1"/>
  <c r="AC21" i="1" s="1"/>
  <c r="AD21" i="1" s="1"/>
  <c r="AE21" i="1" s="1"/>
  <c r="Y22" i="1" s="1"/>
  <c r="Z22" i="1" s="1"/>
  <c r="AA22" i="1" s="1"/>
  <c r="AB22" i="1" s="1"/>
  <c r="AC22" i="1" s="1"/>
  <c r="AD22" i="1" s="1"/>
  <c r="AE22" i="1" s="1"/>
  <c r="AA21" i="1"/>
  <c r="Z21" i="1"/>
  <c r="P20" i="1"/>
  <c r="Q20" i="1" s="1"/>
  <c r="R20" i="1" s="1"/>
  <c r="S20" i="1" s="1"/>
  <c r="T20" i="1" s="1"/>
  <c r="N21" i="1" s="1"/>
  <c r="O21" i="1" s="1"/>
  <c r="P21" i="1" s="1"/>
  <c r="Q21" i="1" s="1"/>
  <c r="R21" i="1" s="1"/>
  <c r="S21" i="1" s="1"/>
  <c r="T21" i="1" s="1"/>
  <c r="N22" i="1" s="1"/>
  <c r="O22" i="1" s="1"/>
  <c r="P22" i="1" s="1"/>
  <c r="Q22" i="1" s="1"/>
  <c r="R22" i="1" s="1"/>
  <c r="S22" i="1" s="1"/>
  <c r="T22" i="1" s="1"/>
  <c r="N23" i="1" s="1"/>
  <c r="O23" i="1" s="1"/>
  <c r="P23" i="1" s="1"/>
  <c r="Q23" i="1" s="1"/>
  <c r="R23" i="1" s="1"/>
  <c r="S23" i="1" s="1"/>
  <c r="T23" i="1" s="1"/>
  <c r="N24" i="1" s="1"/>
  <c r="O24" i="1" s="1"/>
  <c r="P24" i="1" s="1"/>
  <c r="Q24" i="1" s="1"/>
  <c r="F20" i="1"/>
  <c r="G20" i="1" s="1"/>
  <c r="H20" i="1" s="1"/>
  <c r="I20" i="1" s="1"/>
  <c r="C21" i="1" s="1"/>
  <c r="D21" i="1" s="1"/>
  <c r="E21" i="1" s="1"/>
  <c r="F21" i="1" s="1"/>
  <c r="G21" i="1" s="1"/>
  <c r="H21" i="1" s="1"/>
  <c r="I21" i="1" s="1"/>
  <c r="C22" i="1" s="1"/>
  <c r="D22" i="1" s="1"/>
  <c r="E22" i="1" s="1"/>
  <c r="F22" i="1" s="1"/>
  <c r="G22" i="1" s="1"/>
  <c r="H22" i="1" s="1"/>
  <c r="I22" i="1" s="1"/>
  <c r="C23" i="1" s="1"/>
  <c r="D23" i="1" s="1"/>
  <c r="E23" i="1" s="1"/>
  <c r="F23" i="1" s="1"/>
  <c r="G23" i="1" s="1"/>
  <c r="H23" i="1" s="1"/>
  <c r="I23" i="1" s="1"/>
  <c r="C24" i="1" s="1"/>
  <c r="D24" i="1" s="1"/>
  <c r="E24" i="1" s="1"/>
  <c r="F24" i="1" s="1"/>
  <c r="G24" i="1" s="1"/>
  <c r="AE16" i="1"/>
  <c r="Y17" i="1" s="1"/>
  <c r="Z17" i="1" s="1"/>
  <c r="AA17" i="1" s="1"/>
  <c r="AB17" i="1" s="1"/>
  <c r="AC17" i="1" s="1"/>
  <c r="AD17" i="1" s="1"/>
  <c r="AE17" i="1" s="1"/>
  <c r="Y18" i="1" s="1"/>
  <c r="Z18" i="1" s="1"/>
  <c r="AA18" i="1" s="1"/>
  <c r="AB18" i="1" s="1"/>
  <c r="AC18" i="1" s="1"/>
  <c r="AD18" i="1" s="1"/>
  <c r="AE18" i="1" s="1"/>
  <c r="Y19" i="1" s="1"/>
  <c r="Z19" i="1" s="1"/>
  <c r="AA19" i="1" s="1"/>
  <c r="AB19" i="1" s="1"/>
  <c r="AC19" i="1" s="1"/>
  <c r="AD19" i="1" s="1"/>
  <c r="AE19" i="1" s="1"/>
  <c r="Y20" i="1" s="1"/>
  <c r="Z20" i="1" s="1"/>
  <c r="AA20" i="1" s="1"/>
  <c r="AB20" i="1" s="1"/>
  <c r="AC20" i="1" s="1"/>
  <c r="AD20" i="1" s="1"/>
  <c r="T16" i="1"/>
  <c r="N17" i="1" s="1"/>
  <c r="O17" i="1" s="1"/>
  <c r="P17" i="1" s="1"/>
  <c r="Q17" i="1" s="1"/>
  <c r="R17" i="1" s="1"/>
  <c r="S17" i="1" s="1"/>
  <c r="T17" i="1" s="1"/>
  <c r="N18" i="1" s="1"/>
  <c r="O18" i="1" s="1"/>
  <c r="P18" i="1" s="1"/>
  <c r="Q18" i="1" s="1"/>
  <c r="R18" i="1" s="1"/>
  <c r="S18" i="1" s="1"/>
  <c r="T18" i="1" s="1"/>
  <c r="N19" i="1" s="1"/>
  <c r="O19" i="1" s="1"/>
  <c r="P19" i="1" s="1"/>
  <c r="Q19" i="1" s="1"/>
  <c r="R19" i="1" s="1"/>
  <c r="S19" i="1" s="1"/>
  <c r="T19" i="1" s="1"/>
  <c r="N20" i="1" s="1"/>
  <c r="R16" i="1"/>
  <c r="S16" i="1" s="1"/>
  <c r="N16" i="1"/>
  <c r="O16" i="1" s="1"/>
  <c r="P16" i="1" s="1"/>
  <c r="Q16" i="1" s="1"/>
  <c r="D16" i="1"/>
  <c r="E16" i="1" s="1"/>
  <c r="F16" i="1" s="1"/>
  <c r="G16" i="1" s="1"/>
  <c r="H16" i="1" s="1"/>
  <c r="I16" i="1" s="1"/>
  <c r="C17" i="1" s="1"/>
  <c r="D17" i="1" s="1"/>
  <c r="E17" i="1" s="1"/>
  <c r="F17" i="1" s="1"/>
  <c r="G17" i="1" s="1"/>
  <c r="H17" i="1" s="1"/>
  <c r="I17" i="1" s="1"/>
  <c r="C18" i="1" s="1"/>
  <c r="D18" i="1" s="1"/>
  <c r="E18" i="1" s="1"/>
  <c r="F18" i="1" s="1"/>
  <c r="G18" i="1" s="1"/>
  <c r="H18" i="1" s="1"/>
  <c r="I18" i="1" s="1"/>
  <c r="C19" i="1" s="1"/>
  <c r="D19" i="1" s="1"/>
  <c r="E19" i="1" s="1"/>
  <c r="F19" i="1" s="1"/>
  <c r="G19" i="1" s="1"/>
  <c r="H19" i="1" s="1"/>
  <c r="I19" i="1" s="1"/>
  <c r="C20" i="1" s="1"/>
  <c r="AA13" i="1"/>
  <c r="AB13" i="1" s="1"/>
  <c r="AC13" i="1" s="1"/>
  <c r="AD13" i="1" s="1"/>
  <c r="AE13" i="1" s="1"/>
  <c r="Y14" i="1" s="1"/>
  <c r="Z14" i="1" s="1"/>
  <c r="AA14" i="1" s="1"/>
  <c r="AB14" i="1" s="1"/>
  <c r="AC14" i="1" s="1"/>
  <c r="AD14" i="1" s="1"/>
  <c r="AE14" i="1" s="1"/>
  <c r="Y15" i="1" s="1"/>
  <c r="Z15" i="1" s="1"/>
  <c r="AA15" i="1" s="1"/>
  <c r="AB15" i="1" s="1"/>
  <c r="AC15" i="1" s="1"/>
  <c r="AD15" i="1" s="1"/>
  <c r="AE15" i="1" s="1"/>
  <c r="Y16" i="1" s="1"/>
  <c r="Z16" i="1" s="1"/>
  <c r="AA16" i="1" s="1"/>
  <c r="AB16" i="1" s="1"/>
  <c r="AB12" i="1"/>
  <c r="AC12" i="1" s="1"/>
  <c r="AD12" i="1" s="1"/>
  <c r="AE12" i="1" s="1"/>
  <c r="Y13" i="1" s="1"/>
  <c r="Z13" i="1" s="1"/>
  <c r="Q12" i="1"/>
  <c r="R12" i="1" s="1"/>
  <c r="S12" i="1" s="1"/>
  <c r="T12" i="1" s="1"/>
  <c r="N13" i="1" s="1"/>
  <c r="O13" i="1" s="1"/>
  <c r="P13" i="1" s="1"/>
  <c r="Q13" i="1" s="1"/>
  <c r="R13" i="1" s="1"/>
  <c r="S13" i="1" s="1"/>
  <c r="T13" i="1" s="1"/>
  <c r="N14" i="1" s="1"/>
  <c r="O14" i="1" s="1"/>
  <c r="P14" i="1" s="1"/>
  <c r="Q14" i="1" s="1"/>
  <c r="R14" i="1" s="1"/>
  <c r="S14" i="1" s="1"/>
  <c r="T14" i="1" s="1"/>
  <c r="N15" i="1" s="1"/>
  <c r="O15" i="1" s="1"/>
  <c r="P15" i="1" s="1"/>
  <c r="Q15" i="1" s="1"/>
  <c r="R15" i="1" s="1"/>
  <c r="S15" i="1" s="1"/>
  <c r="N12" i="1"/>
  <c r="O12" i="1" s="1"/>
  <c r="P12" i="1" s="1"/>
  <c r="R11" i="1"/>
  <c r="S11" i="1" s="1"/>
  <c r="T11" i="1" s="1"/>
  <c r="I11" i="1"/>
  <c r="C12" i="1" s="1"/>
  <c r="D12" i="1" s="1"/>
  <c r="E12" i="1" s="1"/>
  <c r="F12" i="1" s="1"/>
  <c r="G12" i="1" s="1"/>
  <c r="H12" i="1" s="1"/>
  <c r="I12" i="1" s="1"/>
  <c r="C13" i="1" s="1"/>
  <c r="D13" i="1" s="1"/>
  <c r="E13" i="1" s="1"/>
  <c r="F13" i="1" s="1"/>
  <c r="G13" i="1" s="1"/>
  <c r="H13" i="1" s="1"/>
  <c r="I13" i="1" s="1"/>
  <c r="C14" i="1" s="1"/>
  <c r="D14" i="1" s="1"/>
  <c r="E14" i="1" s="1"/>
  <c r="F14" i="1" s="1"/>
  <c r="G14" i="1" s="1"/>
  <c r="H14" i="1" s="1"/>
  <c r="I14" i="1" s="1"/>
  <c r="C15" i="1" s="1"/>
  <c r="D15" i="1" s="1"/>
  <c r="E15" i="1" s="1"/>
  <c r="F15" i="1" s="1"/>
  <c r="G15" i="1" s="1"/>
  <c r="H15" i="1" s="1"/>
  <c r="I15" i="1" s="1"/>
  <c r="H11" i="1"/>
  <c r="Y9" i="1"/>
  <c r="Z9" i="1" s="1"/>
  <c r="AA9" i="1" s="1"/>
  <c r="AB9" i="1" s="1"/>
  <c r="AC9" i="1" s="1"/>
  <c r="AD9" i="1" s="1"/>
  <c r="AE9" i="1" s="1"/>
  <c r="Y10" i="1" s="1"/>
  <c r="Z10" i="1" s="1"/>
  <c r="AA10" i="1" s="1"/>
  <c r="AB10" i="1" s="1"/>
  <c r="AC10" i="1" s="1"/>
  <c r="AD10" i="1" s="1"/>
  <c r="AE10" i="1" s="1"/>
  <c r="Y11" i="1" s="1"/>
  <c r="Z11" i="1" s="1"/>
  <c r="AA11" i="1" s="1"/>
  <c r="AB11" i="1" s="1"/>
  <c r="AC11" i="1" s="1"/>
  <c r="AD11" i="1" s="1"/>
  <c r="AE11" i="1" s="1"/>
  <c r="Y12" i="1" s="1"/>
  <c r="AC8" i="1"/>
  <c r="AD8" i="1" s="1"/>
  <c r="AE8" i="1" s="1"/>
  <c r="AB8" i="1"/>
  <c r="Z8" i="1"/>
  <c r="S7" i="1"/>
  <c r="T7" i="1" s="1"/>
  <c r="N8" i="1" s="1"/>
  <c r="O8" i="1" s="1"/>
  <c r="P8" i="1" s="1"/>
  <c r="Q8" i="1" s="1"/>
  <c r="R8" i="1" s="1"/>
  <c r="S8" i="1" s="1"/>
  <c r="T8" i="1" s="1"/>
  <c r="N9" i="1" s="1"/>
  <c r="O9" i="1" s="1"/>
  <c r="P9" i="1" s="1"/>
  <c r="Q9" i="1" s="1"/>
  <c r="R9" i="1" s="1"/>
  <c r="S9" i="1" s="1"/>
  <c r="T9" i="1" s="1"/>
  <c r="N10" i="1" s="1"/>
  <c r="O10" i="1" s="1"/>
  <c r="P10" i="1" s="1"/>
  <c r="Q10" i="1" s="1"/>
  <c r="R10" i="1" s="1"/>
  <c r="S10" i="1" s="1"/>
  <c r="T10" i="1" s="1"/>
  <c r="N11" i="1" s="1"/>
  <c r="O11" i="1" s="1"/>
  <c r="P11" i="1" s="1"/>
  <c r="R7" i="1"/>
  <c r="I7" i="1"/>
  <c r="C8" i="1" s="1"/>
  <c r="D8" i="1" s="1"/>
  <c r="E8" i="1" s="1"/>
  <c r="F8" i="1" s="1"/>
  <c r="G8" i="1" s="1"/>
  <c r="H8" i="1" s="1"/>
  <c r="I8" i="1" s="1"/>
  <c r="C9" i="1" s="1"/>
  <c r="D9" i="1" s="1"/>
  <c r="E9" i="1" s="1"/>
  <c r="F9" i="1" s="1"/>
  <c r="G9" i="1" s="1"/>
  <c r="H9" i="1" s="1"/>
  <c r="I9" i="1" s="1"/>
  <c r="C10" i="1" s="1"/>
  <c r="D10" i="1" s="1"/>
  <c r="E10" i="1" s="1"/>
  <c r="F10" i="1" s="1"/>
  <c r="G10" i="1" s="1"/>
  <c r="H10" i="1" s="1"/>
  <c r="I10" i="1" s="1"/>
  <c r="C11" i="1" s="1"/>
  <c r="D11" i="1" s="1"/>
  <c r="E11" i="1" s="1"/>
  <c r="F11" i="1" s="1"/>
  <c r="H7" i="1"/>
  <c r="AD4" i="1"/>
  <c r="AE4" i="1" s="1"/>
  <c r="Y5" i="1" s="1"/>
  <c r="Z5" i="1" s="1"/>
  <c r="AA5" i="1" s="1"/>
  <c r="AB5" i="1" s="1"/>
  <c r="AC5" i="1" s="1"/>
  <c r="AD5" i="1" s="1"/>
  <c r="AE5" i="1" s="1"/>
  <c r="Y6" i="1" s="1"/>
  <c r="Z6" i="1" s="1"/>
  <c r="AA6" i="1" s="1"/>
  <c r="AB6" i="1" s="1"/>
  <c r="AC6" i="1" s="1"/>
  <c r="AD6" i="1" s="1"/>
  <c r="AE6" i="1" s="1"/>
  <c r="Y7" i="1" s="1"/>
  <c r="Z7" i="1" s="1"/>
  <c r="AA7" i="1" s="1"/>
  <c r="AB7" i="1" s="1"/>
  <c r="AC7" i="1" s="1"/>
  <c r="AD7" i="1" s="1"/>
  <c r="AE7" i="1" s="1"/>
  <c r="Z4" i="1"/>
  <c r="AA4" i="1" s="1"/>
  <c r="AB4" i="1" s="1"/>
  <c r="AC4" i="1" s="1"/>
  <c r="Q3" i="1"/>
  <c r="R3" i="1" s="1"/>
  <c r="S3" i="1" s="1"/>
  <c r="T3" i="1" s="1"/>
  <c r="N4" i="1" s="1"/>
  <c r="O4" i="1" s="1"/>
  <c r="P4" i="1" s="1"/>
  <c r="Q4" i="1" s="1"/>
  <c r="R4" i="1" s="1"/>
  <c r="S4" i="1" s="1"/>
  <c r="T4" i="1" s="1"/>
  <c r="N5" i="1" s="1"/>
  <c r="O5" i="1" s="1"/>
  <c r="P5" i="1" s="1"/>
  <c r="Q5" i="1" s="1"/>
  <c r="R5" i="1" s="1"/>
  <c r="S5" i="1" s="1"/>
  <c r="T5" i="1" s="1"/>
  <c r="N6" i="1" s="1"/>
  <c r="O6" i="1" s="1"/>
  <c r="P6" i="1" s="1"/>
  <c r="Q6" i="1" s="1"/>
  <c r="R6" i="1" s="1"/>
  <c r="S6" i="1" s="1"/>
  <c r="T6" i="1" s="1"/>
  <c r="N7" i="1" s="1"/>
  <c r="O7" i="1" s="1"/>
  <c r="P7" i="1" s="1"/>
  <c r="O3" i="1"/>
  <c r="P3" i="1" s="1"/>
  <c r="G3" i="1"/>
  <c r="H3" i="1" s="1"/>
  <c r="I3" i="1" s="1"/>
  <c r="C4" i="1" s="1"/>
  <c r="D4" i="1" s="1"/>
  <c r="E4" i="1" s="1"/>
  <c r="F4" i="1" s="1"/>
  <c r="G4" i="1" s="1"/>
  <c r="H4" i="1" s="1"/>
  <c r="I4" i="1" s="1"/>
  <c r="C5" i="1" s="1"/>
  <c r="D5" i="1" s="1"/>
  <c r="E5" i="1" s="1"/>
  <c r="F5" i="1" s="1"/>
  <c r="G5" i="1" s="1"/>
  <c r="H5" i="1" s="1"/>
  <c r="I5" i="1" s="1"/>
  <c r="C6" i="1" s="1"/>
  <c r="D6" i="1" s="1"/>
  <c r="E6" i="1" s="1"/>
  <c r="F6" i="1" s="1"/>
  <c r="G6" i="1" s="1"/>
  <c r="H6" i="1" s="1"/>
  <c r="I6" i="1" s="1"/>
  <c r="C7" i="1" s="1"/>
  <c r="D7" i="1" s="1"/>
  <c r="E7" i="1" s="1"/>
  <c r="F7" i="1" s="1"/>
  <c r="F3" i="1"/>
  <c r="E3" i="1"/>
  <c r="D3" i="1"/>
  <c r="E186" i="6"/>
  <c r="V170" i="6"/>
  <c r="U170" i="6"/>
  <c r="T170" i="6"/>
  <c r="S170" i="6"/>
  <c r="R170" i="6"/>
  <c r="Q170" i="6"/>
  <c r="P170" i="6"/>
  <c r="O170" i="6"/>
  <c r="N170" i="6"/>
  <c r="M170" i="6"/>
  <c r="L170" i="6"/>
  <c r="K170" i="6"/>
  <c r="V160" i="6"/>
  <c r="U160" i="6"/>
  <c r="T160" i="6"/>
  <c r="S160" i="6"/>
  <c r="R160" i="6"/>
  <c r="Q160" i="6"/>
  <c r="P160" i="6"/>
  <c r="O160" i="6"/>
  <c r="N160" i="6"/>
  <c r="M160" i="6"/>
  <c r="L160" i="6"/>
  <c r="K160" i="6"/>
  <c r="V159" i="6"/>
  <c r="U159" i="6"/>
  <c r="T159" i="6"/>
  <c r="S159" i="6"/>
  <c r="R159" i="6"/>
  <c r="Q159" i="6"/>
  <c r="P159" i="6"/>
  <c r="O159" i="6"/>
  <c r="N159" i="6"/>
  <c r="M159" i="6"/>
  <c r="L159" i="6"/>
  <c r="K159" i="6"/>
  <c r="V158" i="6"/>
  <c r="U158" i="6"/>
  <c r="T158" i="6"/>
  <c r="S158" i="6"/>
  <c r="R158" i="6"/>
  <c r="Q158" i="6"/>
  <c r="P158" i="6"/>
  <c r="O158" i="6"/>
  <c r="N158" i="6"/>
  <c r="M158" i="6"/>
  <c r="L158" i="6"/>
  <c r="K158" i="6"/>
  <c r="V157" i="6"/>
  <c r="U157" i="6"/>
  <c r="T157" i="6"/>
  <c r="S157" i="6"/>
  <c r="R157" i="6"/>
  <c r="Q157" i="6"/>
  <c r="P157" i="6"/>
  <c r="O157" i="6"/>
  <c r="N157" i="6"/>
  <c r="M157" i="6"/>
  <c r="L157" i="6"/>
  <c r="K157" i="6"/>
  <c r="V156" i="6"/>
  <c r="U156" i="6"/>
  <c r="T156" i="6"/>
  <c r="S156" i="6"/>
  <c r="R156" i="6"/>
  <c r="Q156" i="6"/>
  <c r="P156" i="6"/>
  <c r="O156" i="6"/>
  <c r="N156" i="6"/>
  <c r="M156" i="6"/>
  <c r="L156" i="6"/>
  <c r="K156" i="6"/>
  <c r="V155" i="6"/>
  <c r="U155" i="6"/>
  <c r="T155" i="6"/>
  <c r="S155" i="6"/>
  <c r="R155" i="6"/>
  <c r="Q155" i="6"/>
  <c r="P155" i="6"/>
  <c r="O155" i="6"/>
  <c r="N155" i="6"/>
  <c r="M155" i="6"/>
  <c r="L155" i="6"/>
  <c r="K155" i="6"/>
  <c r="V154" i="6"/>
  <c r="U154" i="6"/>
  <c r="T154" i="6"/>
  <c r="S154" i="6"/>
  <c r="R154" i="6"/>
  <c r="Q154" i="6"/>
  <c r="P154" i="6"/>
  <c r="O154" i="6"/>
  <c r="N154" i="6"/>
  <c r="M154" i="6"/>
  <c r="L154" i="6"/>
  <c r="K154" i="6"/>
  <c r="V153" i="6"/>
  <c r="U153" i="6"/>
  <c r="T153" i="6"/>
  <c r="S153" i="6"/>
  <c r="R153" i="6"/>
  <c r="Q153" i="6"/>
  <c r="P153" i="6"/>
  <c r="O153" i="6"/>
  <c r="N153" i="6"/>
  <c r="M153" i="6"/>
  <c r="L153" i="6"/>
  <c r="K153" i="6"/>
  <c r="V152" i="6"/>
  <c r="U152" i="6"/>
  <c r="T152" i="6"/>
  <c r="S152" i="6"/>
  <c r="R152" i="6"/>
  <c r="Q152" i="6"/>
  <c r="P152" i="6"/>
  <c r="O152" i="6"/>
  <c r="N152" i="6"/>
  <c r="M152" i="6"/>
  <c r="L152" i="6"/>
  <c r="K152" i="6"/>
  <c r="V151" i="6"/>
  <c r="V165" i="6" s="1"/>
  <c r="U151" i="6"/>
  <c r="U165" i="6" s="1"/>
  <c r="T151" i="6"/>
  <c r="T165" i="6" s="1"/>
  <c r="S151" i="6"/>
  <c r="S165" i="6" s="1"/>
  <c r="R151" i="6"/>
  <c r="R165" i="6" s="1"/>
  <c r="Q151" i="6"/>
  <c r="Q165" i="6" s="1"/>
  <c r="P151" i="6"/>
  <c r="P165" i="6" s="1"/>
  <c r="O151" i="6"/>
  <c r="O165" i="6" s="1"/>
  <c r="N151" i="6"/>
  <c r="N165" i="6" s="1"/>
  <c r="M151" i="6"/>
  <c r="M165" i="6" s="1"/>
  <c r="L151" i="6"/>
  <c r="L165" i="6" s="1"/>
  <c r="K151" i="6"/>
  <c r="K165" i="6" s="1"/>
  <c r="V150" i="6"/>
  <c r="U150" i="6"/>
  <c r="T150" i="6"/>
  <c r="S150" i="6"/>
  <c r="R150" i="6"/>
  <c r="Q150" i="6"/>
  <c r="P150" i="6"/>
  <c r="O150" i="6"/>
  <c r="N150" i="6"/>
  <c r="M150" i="6"/>
  <c r="L150" i="6"/>
  <c r="K150" i="6"/>
  <c r="W145" i="6"/>
  <c r="V137" i="6"/>
  <c r="V143" i="6" s="1"/>
  <c r="U137" i="6"/>
  <c r="U143" i="6" s="1"/>
  <c r="T137" i="6"/>
  <c r="T143" i="6" s="1"/>
  <c r="S137" i="6"/>
  <c r="S143" i="6" s="1"/>
  <c r="R137" i="6"/>
  <c r="R143" i="6" s="1"/>
  <c r="Q137" i="6"/>
  <c r="Q143" i="6" s="1"/>
  <c r="P137" i="6"/>
  <c r="P143" i="6" s="1"/>
  <c r="O137" i="6"/>
  <c r="O143" i="6" s="1"/>
  <c r="N137" i="6"/>
  <c r="N143" i="6" s="1"/>
  <c r="M137" i="6"/>
  <c r="M143" i="6" s="1"/>
  <c r="L137" i="6"/>
  <c r="L143" i="6" s="1"/>
  <c r="K137" i="6"/>
  <c r="V136" i="6"/>
  <c r="U136" i="6"/>
  <c r="T136" i="6"/>
  <c r="S136" i="6"/>
  <c r="R136" i="6"/>
  <c r="Q136" i="6"/>
  <c r="P136" i="6"/>
  <c r="O136" i="6"/>
  <c r="N136" i="6"/>
  <c r="M136" i="6"/>
  <c r="L136" i="6"/>
  <c r="K136" i="6"/>
  <c r="V135" i="6"/>
  <c r="U135" i="6"/>
  <c r="T135" i="6"/>
  <c r="S135" i="6"/>
  <c r="R135" i="6"/>
  <c r="Q135" i="6"/>
  <c r="P135" i="6"/>
  <c r="O135" i="6"/>
  <c r="N135" i="6"/>
  <c r="M135" i="6"/>
  <c r="L135" i="6"/>
  <c r="K135" i="6"/>
  <c r="V134" i="6"/>
  <c r="U134" i="6"/>
  <c r="T134" i="6"/>
  <c r="S134" i="6"/>
  <c r="R134" i="6"/>
  <c r="Q134" i="6"/>
  <c r="P134" i="6"/>
  <c r="O134" i="6"/>
  <c r="N134" i="6"/>
  <c r="M134" i="6"/>
  <c r="L134" i="6"/>
  <c r="K134" i="6"/>
  <c r="V133" i="6"/>
  <c r="U133" i="6"/>
  <c r="T133" i="6"/>
  <c r="S133" i="6"/>
  <c r="R133" i="6"/>
  <c r="Q133" i="6"/>
  <c r="P133" i="6"/>
  <c r="O133" i="6"/>
  <c r="N133" i="6"/>
  <c r="M133" i="6"/>
  <c r="L133" i="6"/>
  <c r="K133" i="6"/>
  <c r="V132" i="6"/>
  <c r="U132" i="6"/>
  <c r="T132" i="6"/>
  <c r="S132" i="6"/>
  <c r="R132" i="6"/>
  <c r="Q132" i="6"/>
  <c r="P132" i="6"/>
  <c r="O132" i="6"/>
  <c r="N132" i="6"/>
  <c r="M132" i="6"/>
  <c r="L132" i="6"/>
  <c r="K132" i="6"/>
  <c r="V131" i="6"/>
  <c r="U131" i="6"/>
  <c r="T131" i="6"/>
  <c r="S131" i="6"/>
  <c r="R131" i="6"/>
  <c r="Q131" i="6"/>
  <c r="P131" i="6"/>
  <c r="O131" i="6"/>
  <c r="N131" i="6"/>
  <c r="M131" i="6"/>
  <c r="L131" i="6"/>
  <c r="K131" i="6"/>
  <c r="V130" i="6"/>
  <c r="V142" i="6" s="1"/>
  <c r="U130" i="6"/>
  <c r="U142" i="6" s="1"/>
  <c r="T130" i="6"/>
  <c r="T142" i="6" s="1"/>
  <c r="S130" i="6"/>
  <c r="R130" i="6"/>
  <c r="R142" i="6" s="1"/>
  <c r="Q130" i="6"/>
  <c r="Q142" i="6" s="1"/>
  <c r="P130" i="6"/>
  <c r="P142" i="6" s="1"/>
  <c r="O130" i="6"/>
  <c r="O142" i="6" s="1"/>
  <c r="N130" i="6"/>
  <c r="N142" i="6" s="1"/>
  <c r="M130" i="6"/>
  <c r="M142" i="6" s="1"/>
  <c r="L130" i="6"/>
  <c r="L142" i="6" s="1"/>
  <c r="K130" i="6"/>
  <c r="K142" i="6" s="1"/>
  <c r="V129" i="6"/>
  <c r="U129" i="6"/>
  <c r="T129" i="6"/>
  <c r="T141" i="6" s="1"/>
  <c r="S129" i="6"/>
  <c r="R129" i="6"/>
  <c r="Q129" i="6"/>
  <c r="P129" i="6"/>
  <c r="O129" i="6"/>
  <c r="N129" i="6"/>
  <c r="N141" i="6" s="1"/>
  <c r="M129" i="6"/>
  <c r="L129" i="6"/>
  <c r="K129" i="6"/>
  <c r="V94" i="6"/>
  <c r="U94" i="6"/>
  <c r="T94" i="6"/>
  <c r="S94" i="6"/>
  <c r="R94" i="6"/>
  <c r="Q94" i="6"/>
  <c r="P94" i="6"/>
  <c r="O94" i="6"/>
  <c r="N94" i="6"/>
  <c r="M94" i="6"/>
  <c r="L94" i="6"/>
  <c r="K94" i="6"/>
  <c r="V93" i="6"/>
  <c r="U93" i="6"/>
  <c r="T93" i="6"/>
  <c r="S93" i="6"/>
  <c r="R93" i="6"/>
  <c r="Q93" i="6"/>
  <c r="P93" i="6"/>
  <c r="O93" i="6"/>
  <c r="N93" i="6"/>
  <c r="M93" i="6"/>
  <c r="L93" i="6"/>
  <c r="K93" i="6"/>
  <c r="V92" i="6"/>
  <c r="U92" i="6"/>
  <c r="T92" i="6"/>
  <c r="S92" i="6"/>
  <c r="R92" i="6"/>
  <c r="Q92" i="6"/>
  <c r="P92" i="6"/>
  <c r="O92" i="6"/>
  <c r="N92" i="6"/>
  <c r="M92" i="6"/>
  <c r="L92" i="6"/>
  <c r="K92" i="6"/>
  <c r="V91" i="6"/>
  <c r="U91" i="6"/>
  <c r="T91" i="6"/>
  <c r="S91" i="6"/>
  <c r="R91" i="6"/>
  <c r="Q91" i="6"/>
  <c r="P91" i="6"/>
  <c r="O91" i="6"/>
  <c r="N91" i="6"/>
  <c r="M91" i="6"/>
  <c r="L91" i="6"/>
  <c r="K91" i="6"/>
  <c r="V90" i="6"/>
  <c r="U90" i="6"/>
  <c r="T90" i="6"/>
  <c r="S90" i="6"/>
  <c r="R90" i="6"/>
  <c r="Q90" i="6"/>
  <c r="P90" i="6"/>
  <c r="O90" i="6"/>
  <c r="N90" i="6"/>
  <c r="M90" i="6"/>
  <c r="L90" i="6"/>
  <c r="K90" i="6"/>
  <c r="V89" i="6"/>
  <c r="U89" i="6"/>
  <c r="T89" i="6"/>
  <c r="S89" i="6"/>
  <c r="R89" i="6"/>
  <c r="Q89" i="6"/>
  <c r="P89" i="6"/>
  <c r="O89" i="6"/>
  <c r="N89" i="6"/>
  <c r="M89" i="6"/>
  <c r="L89" i="6"/>
  <c r="K89" i="6"/>
  <c r="V88" i="6"/>
  <c r="U88" i="6"/>
  <c r="T88" i="6"/>
  <c r="S88" i="6"/>
  <c r="R88" i="6"/>
  <c r="Q88" i="6"/>
  <c r="P88" i="6"/>
  <c r="O88" i="6"/>
  <c r="N88" i="6"/>
  <c r="M88" i="6"/>
  <c r="L88" i="6"/>
  <c r="K88" i="6"/>
  <c r="V87" i="6"/>
  <c r="U87" i="6"/>
  <c r="T87" i="6"/>
  <c r="S87" i="6"/>
  <c r="R87" i="6"/>
  <c r="Q87" i="6"/>
  <c r="P87" i="6"/>
  <c r="O87" i="6"/>
  <c r="N87" i="6"/>
  <c r="M87" i="6"/>
  <c r="L87" i="6"/>
  <c r="K87" i="6"/>
  <c r="V86" i="6"/>
  <c r="U86" i="6"/>
  <c r="T86" i="6"/>
  <c r="S86" i="6"/>
  <c r="R86" i="6"/>
  <c r="Q86" i="6"/>
  <c r="P86" i="6"/>
  <c r="O86" i="6"/>
  <c r="N86" i="6"/>
  <c r="M86" i="6"/>
  <c r="L86" i="6"/>
  <c r="K86" i="6"/>
  <c r="V85" i="6"/>
  <c r="U85" i="6"/>
  <c r="T85" i="6"/>
  <c r="S85" i="6"/>
  <c r="R85" i="6"/>
  <c r="Q85" i="6"/>
  <c r="P85" i="6"/>
  <c r="O85" i="6"/>
  <c r="N85" i="6"/>
  <c r="M85" i="6"/>
  <c r="L85" i="6"/>
  <c r="K85" i="6"/>
  <c r="V84" i="6"/>
  <c r="U84" i="6"/>
  <c r="T84" i="6"/>
  <c r="S84" i="6"/>
  <c r="R84" i="6"/>
  <c r="Q84" i="6"/>
  <c r="P84" i="6"/>
  <c r="O84" i="6"/>
  <c r="N84" i="6"/>
  <c r="M84" i="6"/>
  <c r="L84" i="6"/>
  <c r="K84" i="6"/>
  <c r="V83" i="6"/>
  <c r="U83" i="6"/>
  <c r="T83" i="6"/>
  <c r="S83" i="6"/>
  <c r="R83" i="6"/>
  <c r="Q83" i="6"/>
  <c r="P83" i="6"/>
  <c r="O83" i="6"/>
  <c r="N83" i="6"/>
  <c r="M83" i="6"/>
  <c r="L83" i="6"/>
  <c r="K83" i="6"/>
  <c r="L63" i="6"/>
  <c r="K63" i="6"/>
  <c r="L62" i="6"/>
  <c r="K62" i="6"/>
  <c r="E62" i="6"/>
  <c r="D62" i="6"/>
  <c r="L61" i="6"/>
  <c r="K61" i="6"/>
  <c r="L60" i="6"/>
  <c r="K60" i="6"/>
  <c r="L59" i="6"/>
  <c r="K59" i="6"/>
  <c r="F59" i="6"/>
  <c r="D59" i="6"/>
  <c r="L58" i="6"/>
  <c r="K58" i="6"/>
  <c r="F58" i="6"/>
  <c r="E58" i="6"/>
  <c r="L57" i="6"/>
  <c r="K57" i="6"/>
  <c r="L56" i="6"/>
  <c r="K56" i="6"/>
  <c r="E56" i="6"/>
  <c r="L55" i="6"/>
  <c r="K55" i="6"/>
  <c r="F55" i="6"/>
  <c r="E55" i="6"/>
  <c r="D55" i="6"/>
  <c r="L54" i="6"/>
  <c r="K54" i="6"/>
  <c r="L53" i="6"/>
  <c r="K53" i="6"/>
  <c r="D53" i="6"/>
  <c r="L52" i="6"/>
  <c r="K52" i="6"/>
  <c r="F52" i="6"/>
  <c r="E52" i="6"/>
  <c r="D52" i="6"/>
  <c r="F51" i="6"/>
  <c r="F50" i="6"/>
  <c r="E48" i="6"/>
  <c r="V44" i="6"/>
  <c r="U44" i="6"/>
  <c r="T44" i="6"/>
  <c r="S44" i="6"/>
  <c r="R44" i="6"/>
  <c r="Q44" i="6"/>
  <c r="P44" i="6"/>
  <c r="O44" i="6"/>
  <c r="N44" i="6"/>
  <c r="M44" i="6"/>
  <c r="L44" i="6"/>
  <c r="K44" i="6"/>
  <c r="E44" i="6"/>
  <c r="V42" i="6"/>
  <c r="U42" i="6"/>
  <c r="O41" i="6"/>
  <c r="N41" i="6"/>
  <c r="M41" i="6"/>
  <c r="L41" i="6"/>
  <c r="K41" i="6"/>
  <c r="V40" i="6"/>
  <c r="U40" i="6"/>
  <c r="T40" i="6"/>
  <c r="S40" i="6"/>
  <c r="R40" i="6"/>
  <c r="Q40" i="6"/>
  <c r="P40" i="6"/>
  <c r="O40" i="6"/>
  <c r="N40" i="6"/>
  <c r="V39" i="6"/>
  <c r="U39" i="6"/>
  <c r="T39" i="6"/>
  <c r="S39" i="6"/>
  <c r="R39" i="6"/>
  <c r="Q39" i="6"/>
  <c r="P39" i="6"/>
  <c r="O39" i="6"/>
  <c r="N39" i="6"/>
  <c r="M39" i="6"/>
  <c r="L39" i="6"/>
  <c r="W38" i="6"/>
  <c r="W37" i="6"/>
  <c r="AB36" i="6"/>
  <c r="W36" i="6"/>
  <c r="W35" i="6"/>
  <c r="W34" i="6"/>
  <c r="W33" i="6"/>
  <c r="W32" i="6"/>
  <c r="W31" i="6"/>
  <c r="W30" i="6"/>
  <c r="V17" i="6"/>
  <c r="U17" i="6"/>
  <c r="T17" i="6"/>
  <c r="T79" i="6" s="1"/>
  <c r="S17" i="6"/>
  <c r="S79" i="6" s="1"/>
  <c r="R17" i="6"/>
  <c r="R125" i="6" s="1"/>
  <c r="Q17" i="6"/>
  <c r="P17" i="6"/>
  <c r="P125" i="6" s="1"/>
  <c r="O17" i="6"/>
  <c r="O125" i="6" s="1"/>
  <c r="N17" i="6"/>
  <c r="N125" i="6" s="1"/>
  <c r="M17" i="6"/>
  <c r="L17" i="6"/>
  <c r="K17" i="6"/>
  <c r="J17" i="6"/>
  <c r="V16" i="6"/>
  <c r="U16" i="6"/>
  <c r="T16" i="6"/>
  <c r="S16" i="6"/>
  <c r="S78" i="6" s="1"/>
  <c r="R16" i="6"/>
  <c r="Q16" i="6"/>
  <c r="Q78" i="6" s="1"/>
  <c r="P16" i="6"/>
  <c r="P78" i="6" s="1"/>
  <c r="O16" i="6"/>
  <c r="O124" i="6" s="1"/>
  <c r="N16" i="6"/>
  <c r="M16" i="6"/>
  <c r="L16" i="6"/>
  <c r="L78" i="6" s="1"/>
  <c r="K16" i="6"/>
  <c r="K124" i="6" s="1"/>
  <c r="J16" i="6"/>
  <c r="AH15" i="6"/>
  <c r="V15" i="6"/>
  <c r="V107" i="6" s="1"/>
  <c r="U15" i="6"/>
  <c r="T15" i="6"/>
  <c r="S15" i="6"/>
  <c r="R15" i="6"/>
  <c r="R107" i="6" s="1"/>
  <c r="Q15" i="6"/>
  <c r="P15" i="6"/>
  <c r="O15" i="6"/>
  <c r="O77" i="6" s="1"/>
  <c r="N15" i="6"/>
  <c r="N77" i="6" s="1"/>
  <c r="M15" i="6"/>
  <c r="M77" i="6" s="1"/>
  <c r="L15" i="6"/>
  <c r="L123" i="6" s="1"/>
  <c r="K15" i="6"/>
  <c r="V14" i="6"/>
  <c r="V76" i="6" s="1"/>
  <c r="U14" i="6"/>
  <c r="U122" i="6" s="1"/>
  <c r="T14" i="6"/>
  <c r="T76" i="6" s="1"/>
  <c r="S14" i="6"/>
  <c r="S76" i="6" s="1"/>
  <c r="R14" i="6"/>
  <c r="R122" i="6" s="1"/>
  <c r="Q14" i="6"/>
  <c r="Q122" i="6" s="1"/>
  <c r="P14" i="6"/>
  <c r="P76" i="6" s="1"/>
  <c r="O14" i="6"/>
  <c r="N14" i="6"/>
  <c r="N106" i="6" s="1"/>
  <c r="M14" i="6"/>
  <c r="L14" i="6"/>
  <c r="K14" i="6"/>
  <c r="AH13" i="6"/>
  <c r="V13" i="6"/>
  <c r="U13" i="6"/>
  <c r="T13" i="6"/>
  <c r="T121" i="6" s="1"/>
  <c r="S13" i="6"/>
  <c r="R13" i="6"/>
  <c r="R121" i="6" s="1"/>
  <c r="Q13" i="6"/>
  <c r="Q121" i="6" s="1"/>
  <c r="P13" i="6"/>
  <c r="P121" i="6" s="1"/>
  <c r="O13" i="6"/>
  <c r="N13" i="6"/>
  <c r="N121" i="6" s="1"/>
  <c r="M13" i="6"/>
  <c r="M121" i="6" s="1"/>
  <c r="L13" i="6"/>
  <c r="K13" i="6"/>
  <c r="AH12" i="6"/>
  <c r="AG12" i="6"/>
  <c r="V12" i="6"/>
  <c r="U12" i="6"/>
  <c r="T12" i="6"/>
  <c r="S12" i="6"/>
  <c r="R12" i="6"/>
  <c r="Q12" i="6"/>
  <c r="P12" i="6"/>
  <c r="P120" i="6" s="1"/>
  <c r="O12" i="6"/>
  <c r="O120" i="6" s="1"/>
  <c r="N12" i="6"/>
  <c r="N120" i="6" s="1"/>
  <c r="M12" i="6"/>
  <c r="L12" i="6"/>
  <c r="L74" i="6" s="1"/>
  <c r="K12" i="6"/>
  <c r="K74" i="6" s="1"/>
  <c r="AH11" i="6"/>
  <c r="AG11" i="6"/>
  <c r="V11" i="6"/>
  <c r="U11" i="6"/>
  <c r="T11" i="6"/>
  <c r="S11" i="6"/>
  <c r="R11" i="6"/>
  <c r="Q11" i="6"/>
  <c r="P11" i="6"/>
  <c r="O11" i="6"/>
  <c r="N11" i="6"/>
  <c r="M11" i="6"/>
  <c r="L11" i="6"/>
  <c r="L119" i="6" s="1"/>
  <c r="K11" i="6"/>
  <c r="AH10" i="6"/>
  <c r="AG10" i="6"/>
  <c r="V10" i="6"/>
  <c r="U10" i="6"/>
  <c r="U72" i="6" s="1"/>
  <c r="T10" i="6"/>
  <c r="S10" i="6"/>
  <c r="R10" i="6"/>
  <c r="Q10" i="6"/>
  <c r="P10" i="6"/>
  <c r="O10" i="6"/>
  <c r="N10" i="6"/>
  <c r="M10" i="6"/>
  <c r="L10" i="6"/>
  <c r="K10" i="6"/>
  <c r="AH9" i="6"/>
  <c r="AG9" i="6"/>
  <c r="V9" i="6"/>
  <c r="V117" i="6" s="1"/>
  <c r="U9" i="6"/>
  <c r="U71" i="6" s="1"/>
  <c r="T9" i="6"/>
  <c r="S9" i="6"/>
  <c r="S71" i="6" s="1"/>
  <c r="R9" i="6"/>
  <c r="Q9" i="6"/>
  <c r="P9" i="6"/>
  <c r="O9" i="6"/>
  <c r="O117" i="6" s="1"/>
  <c r="N9" i="6"/>
  <c r="M9" i="6"/>
  <c r="L9" i="6"/>
  <c r="K9" i="6"/>
  <c r="V8" i="6"/>
  <c r="U8" i="6"/>
  <c r="T8" i="6"/>
  <c r="T70" i="6" s="1"/>
  <c r="S8" i="6"/>
  <c r="S116" i="6" s="1"/>
  <c r="R8" i="6"/>
  <c r="R70" i="6" s="1"/>
  <c r="Q8" i="6"/>
  <c r="Q70" i="6" s="1"/>
  <c r="P8" i="6"/>
  <c r="O8" i="6"/>
  <c r="O70" i="6" s="1"/>
  <c r="N8" i="6"/>
  <c r="M8" i="6"/>
  <c r="L8" i="6"/>
  <c r="K8" i="6"/>
  <c r="K116" i="6" s="1"/>
  <c r="J8" i="6"/>
  <c r="AH7" i="6"/>
  <c r="AG7" i="6"/>
  <c r="V7" i="6"/>
  <c r="U7" i="6"/>
  <c r="T7" i="6"/>
  <c r="S7" i="6"/>
  <c r="R7" i="6"/>
  <c r="Q7" i="6"/>
  <c r="P7" i="6"/>
  <c r="P115" i="6" s="1"/>
  <c r="O7" i="6"/>
  <c r="O69" i="6" s="1"/>
  <c r="N7" i="6"/>
  <c r="M7" i="6"/>
  <c r="L7" i="6"/>
  <c r="K7" i="6"/>
  <c r="J7" i="6"/>
  <c r="AH6" i="6"/>
  <c r="AG6" i="6"/>
  <c r="V6" i="6"/>
  <c r="U6" i="6"/>
  <c r="T6" i="6"/>
  <c r="T114" i="6" s="1"/>
  <c r="S6" i="6"/>
  <c r="R6" i="6"/>
  <c r="Q6" i="6"/>
  <c r="P6" i="6"/>
  <c r="P68" i="6" s="1"/>
  <c r="O6" i="6"/>
  <c r="N6" i="6"/>
  <c r="M6" i="6"/>
  <c r="M114" i="6" s="1"/>
  <c r="L6" i="6"/>
  <c r="K6" i="6"/>
  <c r="J6" i="6"/>
  <c r="AG5" i="6"/>
  <c r="V4" i="6"/>
  <c r="U4" i="6"/>
  <c r="T4" i="6"/>
  <c r="S4" i="6"/>
  <c r="R4" i="6"/>
  <c r="Q4" i="6"/>
  <c r="P4" i="6"/>
  <c r="O4" i="6"/>
  <c r="N4" i="6"/>
  <c r="M4" i="6"/>
  <c r="L4" i="6"/>
  <c r="K4" i="6"/>
  <c r="W1" i="6"/>
  <c r="C1" i="6"/>
  <c r="D61" i="16"/>
  <c r="C61" i="16"/>
  <c r="D60" i="16"/>
  <c r="C60" i="16"/>
  <c r="D59" i="16"/>
  <c r="C59" i="16"/>
  <c r="D58" i="16"/>
  <c r="C58" i="16"/>
  <c r="D57" i="16"/>
  <c r="C62" i="16"/>
  <c r="C59" i="14"/>
  <c r="C57" i="16"/>
  <c r="D58" i="14"/>
  <c r="D57" i="14"/>
  <c r="D62" i="14"/>
  <c r="C62" i="14"/>
  <c r="D61" i="14"/>
  <c r="C61" i="14"/>
  <c r="D60" i="14"/>
  <c r="C60" i="14"/>
  <c r="D59" i="14"/>
  <c r="C58" i="14"/>
  <c r="D62" i="16"/>
  <c r="C57" i="14"/>
  <c r="F49" i="7" l="1"/>
  <c r="F53" i="7"/>
  <c r="D63" i="7"/>
  <c r="T273" i="33"/>
  <c r="D48" i="6"/>
  <c r="D56" i="6"/>
  <c r="E59" i="6"/>
  <c r="F62" i="6"/>
  <c r="E50" i="7"/>
  <c r="D57" i="7"/>
  <c r="E60" i="7"/>
  <c r="F63" i="7"/>
  <c r="F56" i="6"/>
  <c r="D51" i="7"/>
  <c r="E54" i="7"/>
  <c r="F57" i="7"/>
  <c r="F65" i="7" s="1"/>
  <c r="F48" i="6"/>
  <c r="F66" i="6" s="1"/>
  <c r="D63" i="6"/>
  <c r="E51" i="7"/>
  <c r="F54" i="7"/>
  <c r="E53" i="6"/>
  <c r="D60" i="6"/>
  <c r="D61" i="7"/>
  <c r="D49" i="6"/>
  <c r="E63" i="6"/>
  <c r="F49" i="6"/>
  <c r="E60" i="6"/>
  <c r="G60" i="6" s="1"/>
  <c r="D58" i="7"/>
  <c r="F53" i="6"/>
  <c r="D57" i="6"/>
  <c r="F63" i="6"/>
  <c r="E61" i="7"/>
  <c r="G61" i="7" s="1"/>
  <c r="D50" i="6"/>
  <c r="D66" i="6" s="1"/>
  <c r="J45" i="6" s="1"/>
  <c r="D54" i="6"/>
  <c r="E57" i="6"/>
  <c r="F60" i="6"/>
  <c r="D47" i="7"/>
  <c r="D55" i="7"/>
  <c r="E58" i="7"/>
  <c r="F61" i="7"/>
  <c r="E49" i="6"/>
  <c r="F51" i="7"/>
  <c r="E50" i="6"/>
  <c r="G50" i="6" s="1"/>
  <c r="E54" i="6"/>
  <c r="F57" i="6"/>
  <c r="E47" i="7"/>
  <c r="D52" i="7"/>
  <c r="E55" i="7"/>
  <c r="G55" i="7" s="1"/>
  <c r="F58" i="7"/>
  <c r="G58" i="7" s="1"/>
  <c r="F47" i="7"/>
  <c r="G47" i="7" s="1"/>
  <c r="D64" i="6"/>
  <c r="F55" i="7"/>
  <c r="D51" i="6"/>
  <c r="D61" i="6"/>
  <c r="E64" i="6"/>
  <c r="D48" i="7"/>
  <c r="F52" i="7"/>
  <c r="D62" i="7"/>
  <c r="F54" i="6"/>
  <c r="G54" i="6" s="1"/>
  <c r="E52" i="7"/>
  <c r="E51" i="6"/>
  <c r="D58" i="6"/>
  <c r="E61" i="6"/>
  <c r="F64" i="6"/>
  <c r="G64" i="6" s="1"/>
  <c r="E48" i="7"/>
  <c r="G48" i="7" s="1"/>
  <c r="D59" i="7"/>
  <c r="D65" i="7" s="1"/>
  <c r="E62" i="7"/>
  <c r="F61" i="6"/>
  <c r="G61" i="6" s="1"/>
  <c r="F48" i="7"/>
  <c r="D56" i="7"/>
  <c r="E59" i="7"/>
  <c r="F62" i="7"/>
  <c r="D49" i="7"/>
  <c r="D53" i="7"/>
  <c r="E56" i="7"/>
  <c r="G56" i="7" s="1"/>
  <c r="O75" i="6"/>
  <c r="N22" i="7"/>
  <c r="AH16" i="7"/>
  <c r="T173" i="7"/>
  <c r="AG15" i="7"/>
  <c r="W157" i="7"/>
  <c r="N102" i="7"/>
  <c r="AG16" i="7"/>
  <c r="O22" i="7"/>
  <c r="R159" i="7"/>
  <c r="R162" i="7" s="1"/>
  <c r="K100" i="7"/>
  <c r="M69" i="6"/>
  <c r="N70" i="6"/>
  <c r="R71" i="6"/>
  <c r="T72" i="6"/>
  <c r="Q77" i="6"/>
  <c r="V104" i="7"/>
  <c r="X36" i="7"/>
  <c r="Y36" i="7" s="1"/>
  <c r="V22" i="7"/>
  <c r="R22" i="7"/>
  <c r="T78" i="6"/>
  <c r="G53" i="7"/>
  <c r="W149" i="7"/>
  <c r="AF12" i="7"/>
  <c r="S22" i="7"/>
  <c r="X32" i="7"/>
  <c r="Y32" i="7" s="1"/>
  <c r="X33" i="7"/>
  <c r="Y33" i="7" s="1"/>
  <c r="W89" i="7"/>
  <c r="AF16" i="7"/>
  <c r="R78" i="6"/>
  <c r="V79" i="6"/>
  <c r="N69" i="6"/>
  <c r="AF6" i="7"/>
  <c r="X35" i="7"/>
  <c r="Y35" i="7" s="1"/>
  <c r="G52" i="7"/>
  <c r="M61" i="7"/>
  <c r="P77" i="6"/>
  <c r="AF7" i="7"/>
  <c r="AI7" i="7" s="1"/>
  <c r="P70" i="6"/>
  <c r="T71" i="6"/>
  <c r="V72" i="6"/>
  <c r="S77" i="6"/>
  <c r="R143" i="7"/>
  <c r="Q69" i="6"/>
  <c r="G62" i="7"/>
  <c r="P22" i="7"/>
  <c r="V159" i="7"/>
  <c r="V162" i="7" s="1"/>
  <c r="V164" i="7" s="1"/>
  <c r="K73" i="6"/>
  <c r="M74" i="6"/>
  <c r="AF11" i="7"/>
  <c r="AI11" i="7" s="1"/>
  <c r="W168" i="7"/>
  <c r="W83" i="7"/>
  <c r="L173" i="7"/>
  <c r="W158" i="7"/>
  <c r="U70" i="6"/>
  <c r="AF10" i="7"/>
  <c r="M53" i="7"/>
  <c r="N103" i="7"/>
  <c r="L159" i="7"/>
  <c r="L162" i="7" s="1"/>
  <c r="S143" i="7"/>
  <c r="N159" i="7"/>
  <c r="N162" i="7" s="1"/>
  <c r="W141" i="7"/>
  <c r="L22" i="7"/>
  <c r="O68" i="6"/>
  <c r="W41" i="7"/>
  <c r="M60" i="7"/>
  <c r="T94" i="7"/>
  <c r="R69" i="6"/>
  <c r="N72" i="7"/>
  <c r="W155" i="7"/>
  <c r="Q68" i="6"/>
  <c r="S69" i="6"/>
  <c r="W129" i="7"/>
  <c r="T143" i="7"/>
  <c r="W130" i="7"/>
  <c r="W154" i="7"/>
  <c r="L76" i="7"/>
  <c r="O107" i="7"/>
  <c r="W38" i="7"/>
  <c r="P78" i="7"/>
  <c r="X30" i="7"/>
  <c r="Y30" i="7" s="1"/>
  <c r="X31" i="7"/>
  <c r="Y31" i="7" s="1"/>
  <c r="AG13" i="7"/>
  <c r="AF13" i="7" s="1"/>
  <c r="W86" i="7"/>
  <c r="Q137" i="7"/>
  <c r="L94" i="7"/>
  <c r="L167" i="7" s="1"/>
  <c r="L169" i="7" s="1"/>
  <c r="L170" i="7" s="1"/>
  <c r="S137" i="7"/>
  <c r="K77" i="6"/>
  <c r="M78" i="6"/>
  <c r="S74" i="6"/>
  <c r="N78" i="6"/>
  <c r="Q79" i="6"/>
  <c r="G59" i="7"/>
  <c r="W88" i="7"/>
  <c r="T137" i="7"/>
  <c r="P159" i="7"/>
  <c r="P162" i="7" s="1"/>
  <c r="P164" i="7" s="1"/>
  <c r="M62" i="7"/>
  <c r="O94" i="7"/>
  <c r="W85" i="7"/>
  <c r="W152" i="7"/>
  <c r="K69" i="6"/>
  <c r="M137" i="7"/>
  <c r="AI9" i="7"/>
  <c r="L69" i="6"/>
  <c r="V173" i="7"/>
  <c r="Q71" i="6"/>
  <c r="N68" i="6"/>
  <c r="W43" i="7"/>
  <c r="V94" i="7"/>
  <c r="V167" i="7" s="1"/>
  <c r="V169" i="7" s="1"/>
  <c r="V170" i="7" s="1"/>
  <c r="O137" i="7"/>
  <c r="T159" i="7"/>
  <c r="T162" i="7" s="1"/>
  <c r="W150" i="7"/>
  <c r="W84" i="7"/>
  <c r="U159" i="7"/>
  <c r="U162" i="7" s="1"/>
  <c r="U164" i="7" s="1"/>
  <c r="W151" i="7"/>
  <c r="J579" i="32"/>
  <c r="I579" i="32"/>
  <c r="I590" i="32" s="1"/>
  <c r="H28" i="19"/>
  <c r="V104" i="6"/>
  <c r="V100" i="6"/>
  <c r="M102" i="6"/>
  <c r="N102" i="6"/>
  <c r="R103" i="6"/>
  <c r="V108" i="6"/>
  <c r="R98" i="6"/>
  <c r="V99" i="6"/>
  <c r="Q104" i="6"/>
  <c r="V103" i="6"/>
  <c r="N101" i="6"/>
  <c r="R102" i="6"/>
  <c r="X37" i="6"/>
  <c r="Y37" i="6" s="1"/>
  <c r="X36" i="6"/>
  <c r="Y36" i="6" s="1"/>
  <c r="L175" i="6"/>
  <c r="Q175" i="6"/>
  <c r="W42" i="6"/>
  <c r="M100" i="6"/>
  <c r="W41" i="6"/>
  <c r="T175" i="6"/>
  <c r="AF12" i="6"/>
  <c r="X30" i="6"/>
  <c r="Y30" i="6" s="1"/>
  <c r="U175" i="6"/>
  <c r="AH16" i="6"/>
  <c r="X32" i="6"/>
  <c r="Y32" i="6" s="1"/>
  <c r="K101" i="6"/>
  <c r="W44" i="6"/>
  <c r="N2" i="6" s="1"/>
  <c r="AF6" i="6"/>
  <c r="S103" i="6"/>
  <c r="AH14" i="6"/>
  <c r="K105" i="6"/>
  <c r="O106" i="6"/>
  <c r="AF10" i="6"/>
  <c r="AF9" i="6"/>
  <c r="K109" i="6"/>
  <c r="W40" i="6"/>
  <c r="J18" i="6"/>
  <c r="J19" i="6" s="1"/>
  <c r="Q102" i="6"/>
  <c r="G53" i="6"/>
  <c r="U103" i="6"/>
  <c r="AF11" i="6"/>
  <c r="W39" i="6"/>
  <c r="P102" i="6"/>
  <c r="L105" i="6"/>
  <c r="AG13" i="6"/>
  <c r="AF13" i="6" s="1"/>
  <c r="T107" i="6"/>
  <c r="AG14" i="6"/>
  <c r="U107" i="6"/>
  <c r="AG16" i="6"/>
  <c r="X31" i="6"/>
  <c r="Y31" i="6" s="1"/>
  <c r="U99" i="6"/>
  <c r="T103" i="6"/>
  <c r="W4" i="6"/>
  <c r="AF7" i="6"/>
  <c r="L101" i="6"/>
  <c r="L109" i="6"/>
  <c r="X34" i="6"/>
  <c r="Y34" i="6" s="1"/>
  <c r="AG15" i="6"/>
  <c r="AF15" i="6" s="1"/>
  <c r="M101" i="6"/>
  <c r="M109" i="6"/>
  <c r="X35" i="6"/>
  <c r="Y35" i="6" s="1"/>
  <c r="G57" i="6"/>
  <c r="G59" i="6"/>
  <c r="G63" i="6"/>
  <c r="G50" i="7"/>
  <c r="G52" i="6"/>
  <c r="G62" i="6"/>
  <c r="G56" i="6"/>
  <c r="G51" i="7"/>
  <c r="G54" i="7"/>
  <c r="G49" i="6"/>
  <c r="G60" i="7"/>
  <c r="G63" i="7"/>
  <c r="G51" i="6"/>
  <c r="G58" i="6"/>
  <c r="G49" i="7"/>
  <c r="G55" i="6"/>
  <c r="G30" i="19"/>
  <c r="P175" i="6"/>
  <c r="M22" i="6"/>
  <c r="T99" i="6"/>
  <c r="M103" i="6"/>
  <c r="U105" i="6"/>
  <c r="U109" i="6"/>
  <c r="U108" i="6"/>
  <c r="S175" i="6"/>
  <c r="V175" i="6"/>
  <c r="P101" i="6"/>
  <c r="D3" i="6"/>
  <c r="M61" i="6"/>
  <c r="N103" i="6"/>
  <c r="R104" i="6"/>
  <c r="M52" i="6"/>
  <c r="M55" i="6"/>
  <c r="Q103" i="6"/>
  <c r="V105" i="6"/>
  <c r="U104" i="6"/>
  <c r="M56" i="6"/>
  <c r="M106" i="6"/>
  <c r="M60" i="6"/>
  <c r="M95" i="6"/>
  <c r="M169" i="6" s="1"/>
  <c r="M171" i="6" s="1"/>
  <c r="M172" i="6" s="1"/>
  <c r="T104" i="6"/>
  <c r="P22" i="6"/>
  <c r="L106" i="6"/>
  <c r="W85" i="6"/>
  <c r="L79" i="6"/>
  <c r="V32" i="15"/>
  <c r="M62" i="6"/>
  <c r="R34" i="15"/>
  <c r="O175" i="6"/>
  <c r="Q161" i="6"/>
  <c r="Q164" i="6" s="1"/>
  <c r="Q166" i="6" s="1"/>
  <c r="M54" i="6"/>
  <c r="L161" i="6"/>
  <c r="L164" i="6" s="1"/>
  <c r="L166" i="6" s="1"/>
  <c r="M59" i="6"/>
  <c r="Q22" i="6"/>
  <c r="T144" i="6"/>
  <c r="U22" i="6"/>
  <c r="V22" i="6"/>
  <c r="N22" i="6"/>
  <c r="R22" i="6"/>
  <c r="W136" i="6"/>
  <c r="W129" i="6"/>
  <c r="T22" i="6"/>
  <c r="L22" i="6"/>
  <c r="S98" i="6"/>
  <c r="M63" i="6"/>
  <c r="M57" i="6"/>
  <c r="W84" i="6"/>
  <c r="W88" i="6"/>
  <c r="W92" i="6"/>
  <c r="R68" i="6"/>
  <c r="M58" i="6"/>
  <c r="V78" i="6"/>
  <c r="M99" i="6"/>
  <c r="S102" i="6"/>
  <c r="L64" i="6"/>
  <c r="M119" i="6"/>
  <c r="Q120" i="6"/>
  <c r="W14" i="6"/>
  <c r="M53" i="6"/>
  <c r="M79" i="6"/>
  <c r="U121" i="6"/>
  <c r="W134" i="6"/>
  <c r="S161" i="6"/>
  <c r="S164" i="6" s="1"/>
  <c r="S166" i="6" s="1"/>
  <c r="W156" i="6"/>
  <c r="W9" i="6"/>
  <c r="AB9" i="6" s="1"/>
  <c r="U79" i="6"/>
  <c r="W86" i="6"/>
  <c r="M123" i="6"/>
  <c r="K95" i="6"/>
  <c r="V95" i="6"/>
  <c r="V169" i="6" s="1"/>
  <c r="V171" i="6" s="1"/>
  <c r="V172" i="6" s="1"/>
  <c r="R124" i="6"/>
  <c r="U161" i="6"/>
  <c r="U164" i="6" s="1"/>
  <c r="Q100" i="6"/>
  <c r="W165" i="6"/>
  <c r="K70" i="6"/>
  <c r="W87" i="6"/>
  <c r="W17" i="6"/>
  <c r="AB17" i="6" s="1"/>
  <c r="M71" i="6"/>
  <c r="N95" i="6"/>
  <c r="N169" i="6" s="1"/>
  <c r="N171" i="6" s="1"/>
  <c r="N172" i="6" s="1"/>
  <c r="U101" i="6"/>
  <c r="W155" i="6"/>
  <c r="V18" i="6"/>
  <c r="V24" i="6" s="1"/>
  <c r="W10" i="6"/>
  <c r="R18" i="6"/>
  <c r="R24" i="6" s="1"/>
  <c r="Q73" i="6"/>
  <c r="O95" i="6"/>
  <c r="O169" i="6" s="1"/>
  <c r="O171" i="6" s="1"/>
  <c r="O172" i="6" s="1"/>
  <c r="L103" i="6"/>
  <c r="N144" i="6"/>
  <c r="M175" i="6"/>
  <c r="L102" i="6"/>
  <c r="W15" i="6"/>
  <c r="AB15" i="6" s="1"/>
  <c r="R74" i="6"/>
  <c r="P95" i="6"/>
  <c r="P169" i="6" s="1"/>
  <c r="P171" i="6" s="1"/>
  <c r="P172" i="6" s="1"/>
  <c r="W90" i="6"/>
  <c r="W94" i="6"/>
  <c r="P104" i="6"/>
  <c r="S22" i="6"/>
  <c r="N175" i="6"/>
  <c r="W91" i="6"/>
  <c r="U18" i="6"/>
  <c r="O103" i="6"/>
  <c r="S105" i="6"/>
  <c r="Q95" i="6"/>
  <c r="T105" i="6"/>
  <c r="P138" i="6"/>
  <c r="K175" i="6"/>
  <c r="W8" i="6"/>
  <c r="AB8" i="6" s="1"/>
  <c r="P103" i="6"/>
  <c r="U75" i="6"/>
  <c r="R95" i="6"/>
  <c r="R169" i="6" s="1"/>
  <c r="R171" i="6" s="1"/>
  <c r="R172" i="6" s="1"/>
  <c r="K107" i="6"/>
  <c r="W154" i="6"/>
  <c r="K18" i="6"/>
  <c r="K24" i="6" s="1"/>
  <c r="S104" i="6"/>
  <c r="O22" i="6"/>
  <c r="Q76" i="6"/>
  <c r="S95" i="6"/>
  <c r="S169" i="6" s="1"/>
  <c r="S171" i="6" s="1"/>
  <c r="S172" i="6" s="1"/>
  <c r="S109" i="6"/>
  <c r="M161" i="6"/>
  <c r="M164" i="6" s="1"/>
  <c r="M166" i="6" s="1"/>
  <c r="L18" i="6"/>
  <c r="R76" i="6"/>
  <c r="W89" i="6"/>
  <c r="W93" i="6"/>
  <c r="M115" i="6"/>
  <c r="W131" i="6"/>
  <c r="W135" i="6"/>
  <c r="R175" i="6"/>
  <c r="W13" i="6"/>
  <c r="AB13" i="6" s="1"/>
  <c r="U77" i="6"/>
  <c r="U95" i="6"/>
  <c r="U169" i="6" s="1"/>
  <c r="U171" i="6" s="1"/>
  <c r="Q116" i="6"/>
  <c r="W157" i="6"/>
  <c r="L95" i="6"/>
  <c r="L169" i="6" s="1"/>
  <c r="L171" i="6" s="1"/>
  <c r="K22" i="6"/>
  <c r="K78" i="6"/>
  <c r="U117" i="6"/>
  <c r="P161" i="6"/>
  <c r="P164" i="6" s="1"/>
  <c r="P166" i="6" s="1"/>
  <c r="S28" i="15"/>
  <c r="V30" i="15"/>
  <c r="J27" i="13"/>
  <c r="U28" i="15"/>
  <c r="J33" i="10"/>
  <c r="J21" i="15"/>
  <c r="R28" i="15"/>
  <c r="T38" i="17"/>
  <c r="O29" i="15"/>
  <c r="T29" i="15"/>
  <c r="U29" i="15"/>
  <c r="N33" i="17"/>
  <c r="W82" i="13"/>
  <c r="T28" i="15"/>
  <c r="W81" i="13"/>
  <c r="U32" i="15"/>
  <c r="W79" i="13"/>
  <c r="M46" i="17"/>
  <c r="P37" i="17"/>
  <c r="O46" i="17"/>
  <c r="W80" i="13"/>
  <c r="S38" i="17"/>
  <c r="S83" i="15"/>
  <c r="O83" i="15"/>
  <c r="Q83" i="15"/>
  <c r="V89" i="13"/>
  <c r="R83" i="15"/>
  <c r="U89" i="13"/>
  <c r="V2" i="17"/>
  <c r="V28" i="15"/>
  <c r="J176" i="22"/>
  <c r="S88" i="13"/>
  <c r="S89" i="13" s="1"/>
  <c r="Q33" i="17"/>
  <c r="R33" i="17"/>
  <c r="N47" i="17"/>
  <c r="V7" i="17"/>
  <c r="T33" i="17"/>
  <c r="O47" i="17"/>
  <c r="S65" i="17"/>
  <c r="W70" i="15"/>
  <c r="S34" i="17"/>
  <c r="M44" i="17"/>
  <c r="O33" i="15"/>
  <c r="V5" i="17"/>
  <c r="Q77" i="15"/>
  <c r="V4" i="17"/>
  <c r="N36" i="17"/>
  <c r="U64" i="17"/>
  <c r="W64" i="17" s="1"/>
  <c r="J32" i="11"/>
  <c r="W77" i="13"/>
  <c r="Q28" i="15"/>
  <c r="O34" i="15"/>
  <c r="P48" i="17"/>
  <c r="P34" i="15"/>
  <c r="P83" i="15"/>
  <c r="O77" i="15"/>
  <c r="U5" i="17"/>
  <c r="M37" i="17"/>
  <c r="M39" i="17" s="1"/>
  <c r="Q34" i="15"/>
  <c r="M18" i="6"/>
  <c r="T69" i="6"/>
  <c r="V70" i="6"/>
  <c r="L73" i="6"/>
  <c r="N74" i="6"/>
  <c r="P75" i="6"/>
  <c r="T77" i="6"/>
  <c r="T98" i="6"/>
  <c r="K100" i="6"/>
  <c r="O101" i="6"/>
  <c r="T102" i="6"/>
  <c r="K104" i="6"/>
  <c r="O105" i="6"/>
  <c r="S106" i="6"/>
  <c r="N109" i="6"/>
  <c r="U114" i="6"/>
  <c r="L116" i="6"/>
  <c r="P117" i="6"/>
  <c r="T118" i="6"/>
  <c r="K120" i="6"/>
  <c r="O121" i="6"/>
  <c r="S122" i="6"/>
  <c r="L124" i="6"/>
  <c r="Q125" i="6"/>
  <c r="L141" i="6"/>
  <c r="L144" i="6" s="1"/>
  <c r="W159" i="6"/>
  <c r="N18" i="6"/>
  <c r="K64" i="6"/>
  <c r="S68" i="6"/>
  <c r="U69" i="6"/>
  <c r="K72" i="6"/>
  <c r="M73" i="6"/>
  <c r="O74" i="6"/>
  <c r="Q75" i="6"/>
  <c r="U98" i="6"/>
  <c r="L100" i="6"/>
  <c r="Q101" i="6"/>
  <c r="U102" i="6"/>
  <c r="L104" i="6"/>
  <c r="P105" i="6"/>
  <c r="T106" i="6"/>
  <c r="K108" i="6"/>
  <c r="O109" i="6"/>
  <c r="V114" i="6"/>
  <c r="M116" i="6"/>
  <c r="Q117" i="6"/>
  <c r="U118" i="6"/>
  <c r="L120" i="6"/>
  <c r="T122" i="6"/>
  <c r="M124" i="6"/>
  <c r="S125" i="6"/>
  <c r="M138" i="6"/>
  <c r="M141" i="6"/>
  <c r="M144" i="6" s="1"/>
  <c r="W133" i="6"/>
  <c r="S142" i="6"/>
  <c r="W142" i="6" s="1"/>
  <c r="W158" i="6"/>
  <c r="O18" i="6"/>
  <c r="T68" i="6"/>
  <c r="V69" i="6"/>
  <c r="L72" i="6"/>
  <c r="N73" i="6"/>
  <c r="P74" i="6"/>
  <c r="R75" i="6"/>
  <c r="V77" i="6"/>
  <c r="V98" i="6"/>
  <c r="N100" i="6"/>
  <c r="R101" i="6"/>
  <c r="V102" i="6"/>
  <c r="M104" i="6"/>
  <c r="Q105" i="6"/>
  <c r="U106" i="6"/>
  <c r="L108" i="6"/>
  <c r="P109" i="6"/>
  <c r="N116" i="6"/>
  <c r="R117" i="6"/>
  <c r="V118" i="6"/>
  <c r="M120" i="6"/>
  <c r="V122" i="6"/>
  <c r="N124" i="6"/>
  <c r="T125" i="6"/>
  <c r="N161" i="6"/>
  <c r="N164" i="6" s="1"/>
  <c r="P18" i="6"/>
  <c r="U68" i="6"/>
  <c r="K71" i="6"/>
  <c r="M72" i="6"/>
  <c r="O73" i="6"/>
  <c r="Q74" i="6"/>
  <c r="S75" i="6"/>
  <c r="U76" i="6"/>
  <c r="K79" i="6"/>
  <c r="K99" i="6"/>
  <c r="O100" i="6"/>
  <c r="S101" i="6"/>
  <c r="N104" i="6"/>
  <c r="R105" i="6"/>
  <c r="V106" i="6"/>
  <c r="M108" i="6"/>
  <c r="Q109" i="6"/>
  <c r="K115" i="6"/>
  <c r="O116" i="6"/>
  <c r="S117" i="6"/>
  <c r="S121" i="6"/>
  <c r="P124" i="6"/>
  <c r="U125" i="6"/>
  <c r="O138" i="6"/>
  <c r="O141" i="6"/>
  <c r="O144" i="6" s="1"/>
  <c r="W153" i="6"/>
  <c r="V19" i="10"/>
  <c r="V79" i="10"/>
  <c r="V20" i="10"/>
  <c r="Q18" i="6"/>
  <c r="Y43" i="6"/>
  <c r="Z43" i="6" s="1"/>
  <c r="V68" i="6"/>
  <c r="L71" i="6"/>
  <c r="N72" i="6"/>
  <c r="P73" i="6"/>
  <c r="T75" i="6"/>
  <c r="L99" i="6"/>
  <c r="P100" i="6"/>
  <c r="T101" i="6"/>
  <c r="K103" i="6"/>
  <c r="O104" i="6"/>
  <c r="N108" i="6"/>
  <c r="R109" i="6"/>
  <c r="L115" i="6"/>
  <c r="P116" i="6"/>
  <c r="T117" i="6"/>
  <c r="K119" i="6"/>
  <c r="K123" i="6"/>
  <c r="Q124" i="6"/>
  <c r="V125" i="6"/>
  <c r="R68" i="7"/>
  <c r="R98" i="7"/>
  <c r="R114" i="7"/>
  <c r="L70" i="6"/>
  <c r="N71" i="6"/>
  <c r="P72" i="6"/>
  <c r="R73" i="6"/>
  <c r="T74" i="6"/>
  <c r="V75" i="6"/>
  <c r="N79" i="6"/>
  <c r="N99" i="6"/>
  <c r="R100" i="6"/>
  <c r="V101" i="6"/>
  <c r="L107" i="6"/>
  <c r="P108" i="6"/>
  <c r="T109" i="6"/>
  <c r="N115" i="6"/>
  <c r="R116" i="6"/>
  <c r="N119" i="6"/>
  <c r="R120" i="6"/>
  <c r="V121" i="6"/>
  <c r="N123" i="6"/>
  <c r="S124" i="6"/>
  <c r="R138" i="6"/>
  <c r="R161" i="6"/>
  <c r="R164" i="6" s="1"/>
  <c r="W7" i="6"/>
  <c r="S18" i="6"/>
  <c r="T18" i="6"/>
  <c r="M70" i="6"/>
  <c r="O71" i="6"/>
  <c r="Q72" i="6"/>
  <c r="S73" i="6"/>
  <c r="U74" i="6"/>
  <c r="O79" i="6"/>
  <c r="K98" i="6"/>
  <c r="O99" i="6"/>
  <c r="S100" i="6"/>
  <c r="M107" i="6"/>
  <c r="Q108" i="6"/>
  <c r="K114" i="6"/>
  <c r="O115" i="6"/>
  <c r="T116" i="6"/>
  <c r="K118" i="6"/>
  <c r="O119" i="6"/>
  <c r="S120" i="6"/>
  <c r="O123" i="6"/>
  <c r="T124" i="6"/>
  <c r="S138" i="6"/>
  <c r="S141" i="6"/>
  <c r="W152" i="6"/>
  <c r="O108" i="6"/>
  <c r="P71" i="6"/>
  <c r="R72" i="6"/>
  <c r="T73" i="6"/>
  <c r="V74" i="6"/>
  <c r="L77" i="6"/>
  <c r="P79" i="6"/>
  <c r="T95" i="6"/>
  <c r="L98" i="6"/>
  <c r="P99" i="6"/>
  <c r="T100" i="6"/>
  <c r="K102" i="6"/>
  <c r="N107" i="6"/>
  <c r="R108" i="6"/>
  <c r="V109" i="6"/>
  <c r="L114" i="6"/>
  <c r="Q115" i="6"/>
  <c r="U116" i="6"/>
  <c r="L118" i="6"/>
  <c r="P119" i="6"/>
  <c r="T120" i="6"/>
  <c r="K122" i="6"/>
  <c r="P123" i="6"/>
  <c r="U124" i="6"/>
  <c r="T138" i="6"/>
  <c r="W132" i="6"/>
  <c r="T161" i="6"/>
  <c r="T164" i="6" s="1"/>
  <c r="W11" i="6"/>
  <c r="K68" i="6"/>
  <c r="S72" i="6"/>
  <c r="U73" i="6"/>
  <c r="K76" i="6"/>
  <c r="O78" i="6"/>
  <c r="M98" i="6"/>
  <c r="Q99" i="6"/>
  <c r="U100" i="6"/>
  <c r="K106" i="6"/>
  <c r="O107" i="6"/>
  <c r="S108" i="6"/>
  <c r="N114" i="6"/>
  <c r="R115" i="6"/>
  <c r="V116" i="6"/>
  <c r="M118" i="6"/>
  <c r="Q119" i="6"/>
  <c r="U120" i="6"/>
  <c r="L122" i="6"/>
  <c r="Q123" i="6"/>
  <c r="V124" i="6"/>
  <c r="U138" i="6"/>
  <c r="U141" i="6"/>
  <c r="U144" i="6" s="1"/>
  <c r="L138" i="6"/>
  <c r="X134" i="6" s="1"/>
  <c r="F38" i="5"/>
  <c r="V67" i="7"/>
  <c r="V97" i="7"/>
  <c r="V113" i="7"/>
  <c r="V18" i="7"/>
  <c r="O72" i="6"/>
  <c r="Q138" i="6"/>
  <c r="Q141" i="6"/>
  <c r="Q144" i="6" s="1"/>
  <c r="L68" i="6"/>
  <c r="V73" i="6"/>
  <c r="L76" i="6"/>
  <c r="R79" i="6"/>
  <c r="N98" i="6"/>
  <c r="R99" i="6"/>
  <c r="P107" i="6"/>
  <c r="T108" i="6"/>
  <c r="O114" i="6"/>
  <c r="S115" i="6"/>
  <c r="N118" i="6"/>
  <c r="R119" i="6"/>
  <c r="V120" i="6"/>
  <c r="M122" i="6"/>
  <c r="R123" i="6"/>
  <c r="V138" i="6"/>
  <c r="N138" i="6"/>
  <c r="V161" i="6"/>
  <c r="V164" i="6" s="1"/>
  <c r="M68" i="6"/>
  <c r="K75" i="6"/>
  <c r="M76" i="6"/>
  <c r="W83" i="6"/>
  <c r="O98" i="6"/>
  <c r="S99" i="6"/>
  <c r="Q107" i="6"/>
  <c r="P114" i="6"/>
  <c r="T115" i="6"/>
  <c r="K117" i="6"/>
  <c r="O118" i="6"/>
  <c r="S119" i="6"/>
  <c r="N122" i="6"/>
  <c r="S123" i="6"/>
  <c r="K125" i="6"/>
  <c r="W6" i="6"/>
  <c r="X33" i="6"/>
  <c r="Y33" i="6" s="1"/>
  <c r="P69" i="6"/>
  <c r="L75" i="6"/>
  <c r="N76" i="6"/>
  <c r="P98" i="6"/>
  <c r="O102" i="6"/>
  <c r="S107" i="6"/>
  <c r="Q114" i="6"/>
  <c r="U115" i="6"/>
  <c r="L117" i="6"/>
  <c r="P118" i="6"/>
  <c r="T119" i="6"/>
  <c r="K121" i="6"/>
  <c r="O122" i="6"/>
  <c r="T123" i="6"/>
  <c r="L125" i="6"/>
  <c r="K143" i="6"/>
  <c r="W143" i="6" s="1"/>
  <c r="W137" i="6"/>
  <c r="W12" i="6"/>
  <c r="W16" i="6"/>
  <c r="S70" i="6"/>
  <c r="M75" i="6"/>
  <c r="O76" i="6"/>
  <c r="Q98" i="6"/>
  <c r="P106" i="6"/>
  <c r="R114" i="6"/>
  <c r="V115" i="6"/>
  <c r="M117" i="6"/>
  <c r="Q118" i="6"/>
  <c r="U119" i="6"/>
  <c r="L121" i="6"/>
  <c r="P122" i="6"/>
  <c r="U123" i="6"/>
  <c r="M125" i="6"/>
  <c r="V71" i="6"/>
  <c r="N75" i="6"/>
  <c r="R77" i="6"/>
  <c r="M105" i="6"/>
  <c r="Q106" i="6"/>
  <c r="S114" i="6"/>
  <c r="N117" i="6"/>
  <c r="R118" i="6"/>
  <c r="V119" i="6"/>
  <c r="V123" i="6"/>
  <c r="P141" i="6"/>
  <c r="P144" i="6" s="1"/>
  <c r="U78" i="6"/>
  <c r="N105" i="6"/>
  <c r="R106" i="6"/>
  <c r="S118" i="6"/>
  <c r="K141" i="6"/>
  <c r="K138" i="6"/>
  <c r="R141" i="6"/>
  <c r="R144" i="6" s="1"/>
  <c r="W150" i="6"/>
  <c r="D35" i="4"/>
  <c r="P114" i="7"/>
  <c r="P98" i="7"/>
  <c r="P68" i="7"/>
  <c r="Q106" i="7"/>
  <c r="Q122" i="7"/>
  <c r="Q76" i="7"/>
  <c r="O161" i="6"/>
  <c r="O164" i="6" s="1"/>
  <c r="T68" i="7"/>
  <c r="T98" i="7"/>
  <c r="T114" i="7"/>
  <c r="U69" i="7"/>
  <c r="U99" i="7"/>
  <c r="U115" i="7"/>
  <c r="M120" i="7"/>
  <c r="M104" i="7"/>
  <c r="M74" i="7"/>
  <c r="G10" i="4"/>
  <c r="W4" i="7"/>
  <c r="P120" i="7"/>
  <c r="P74" i="7"/>
  <c r="P104" i="7"/>
  <c r="P2" i="7"/>
  <c r="P3" i="7" s="1"/>
  <c r="O2" i="7"/>
  <c r="O3" i="7" s="1"/>
  <c r="V2" i="7"/>
  <c r="X6" i="7" s="1"/>
  <c r="S2" i="7"/>
  <c r="S3" i="7" s="1"/>
  <c r="R2" i="7"/>
  <c r="R3" i="7" s="1"/>
  <c r="Q2" i="7"/>
  <c r="Q3" i="7" s="1"/>
  <c r="L2" i="7"/>
  <c r="L3" i="7" s="1"/>
  <c r="K2" i="7"/>
  <c r="V141" i="6"/>
  <c r="V144" i="6" s="1"/>
  <c r="K161" i="6"/>
  <c r="K164" i="6" s="1"/>
  <c r="L113" i="7"/>
  <c r="L67" i="7"/>
  <c r="L97" i="7"/>
  <c r="L18" i="7"/>
  <c r="W130" i="6"/>
  <c r="W151" i="6"/>
  <c r="D43" i="4"/>
  <c r="D49" i="4" s="1"/>
  <c r="D26" i="4"/>
  <c r="D38" i="4" s="1"/>
  <c r="N100" i="7"/>
  <c r="N116" i="7"/>
  <c r="N70" i="7"/>
  <c r="K99" i="7"/>
  <c r="K115" i="7"/>
  <c r="K69" i="7"/>
  <c r="W8" i="7"/>
  <c r="O100" i="7"/>
  <c r="O116" i="7"/>
  <c r="O70" i="7"/>
  <c r="W160" i="6"/>
  <c r="W170" i="6"/>
  <c r="AG14" i="7"/>
  <c r="W39" i="7"/>
  <c r="P18" i="7"/>
  <c r="Q116" i="7"/>
  <c r="Q100" i="7"/>
  <c r="Q70" i="7"/>
  <c r="T2" i="7"/>
  <c r="T3" i="7" s="1"/>
  <c r="U2" i="7"/>
  <c r="U3" i="7" s="1"/>
  <c r="N18" i="7"/>
  <c r="N23" i="7" s="1"/>
  <c r="K113" i="7"/>
  <c r="K67" i="7"/>
  <c r="K97" i="7"/>
  <c r="K18" i="7"/>
  <c r="U68" i="7"/>
  <c r="U98" i="7"/>
  <c r="U114" i="7"/>
  <c r="P72" i="7"/>
  <c r="P102" i="7"/>
  <c r="M113" i="7"/>
  <c r="M67" i="7"/>
  <c r="M97" i="7"/>
  <c r="M18" i="7"/>
  <c r="M138" i="7" s="1"/>
  <c r="AI6" i="7"/>
  <c r="R115" i="7"/>
  <c r="R69" i="7"/>
  <c r="R99" i="7"/>
  <c r="L63" i="7"/>
  <c r="M51" i="7"/>
  <c r="S115" i="7"/>
  <c r="S99" i="7"/>
  <c r="S69" i="7"/>
  <c r="S102" i="7"/>
  <c r="S118" i="7"/>
  <c r="S72" i="7"/>
  <c r="P118" i="7"/>
  <c r="T69" i="7"/>
  <c r="T99" i="7"/>
  <c r="T115" i="7"/>
  <c r="T116" i="7"/>
  <c r="T100" i="7"/>
  <c r="T70" i="7"/>
  <c r="U117" i="7"/>
  <c r="U71" i="7"/>
  <c r="U101" i="7"/>
  <c r="AF15" i="7"/>
  <c r="X37" i="7"/>
  <c r="Y37" i="7" s="1"/>
  <c r="N164" i="7"/>
  <c r="V117" i="7"/>
  <c r="V101" i="7"/>
  <c r="V71" i="7"/>
  <c r="U103" i="7"/>
  <c r="U119" i="7"/>
  <c r="U73" i="7"/>
  <c r="U121" i="7"/>
  <c r="U105" i="7"/>
  <c r="U75" i="7"/>
  <c r="M66" i="8"/>
  <c r="M96" i="8"/>
  <c r="M112" i="8"/>
  <c r="M18" i="8"/>
  <c r="K114" i="7"/>
  <c r="K98" i="7"/>
  <c r="W7" i="7"/>
  <c r="V69" i="7"/>
  <c r="V99" i="7"/>
  <c r="V115" i="7"/>
  <c r="V116" i="7"/>
  <c r="V70" i="7"/>
  <c r="V100" i="7"/>
  <c r="K123" i="7"/>
  <c r="K107" i="7"/>
  <c r="K77" i="7"/>
  <c r="W16" i="7"/>
  <c r="N61" i="7" s="1"/>
  <c r="R67" i="7"/>
  <c r="R97" i="7"/>
  <c r="R113" i="7"/>
  <c r="R18" i="7"/>
  <c r="R23" i="7" s="1"/>
  <c r="L114" i="7"/>
  <c r="L98" i="7"/>
  <c r="L68" i="7"/>
  <c r="S67" i="7"/>
  <c r="S97" i="7"/>
  <c r="S113" i="7"/>
  <c r="S18" i="7"/>
  <c r="S138" i="7" s="1"/>
  <c r="M114" i="7"/>
  <c r="M98" i="7"/>
  <c r="M68" i="7"/>
  <c r="AI10" i="7"/>
  <c r="K68" i="7"/>
  <c r="T97" i="7"/>
  <c r="T113" i="7"/>
  <c r="T67" i="7"/>
  <c r="T18" i="7"/>
  <c r="N114" i="7"/>
  <c r="N68" i="7"/>
  <c r="N98" i="7"/>
  <c r="AI12" i="7"/>
  <c r="U97" i="7"/>
  <c r="U113" i="7"/>
  <c r="U18" i="7"/>
  <c r="U67" i="7"/>
  <c r="O114" i="7"/>
  <c r="O68" i="7"/>
  <c r="O98" i="7"/>
  <c r="K71" i="7"/>
  <c r="K101" i="7"/>
  <c r="K117" i="7"/>
  <c r="W10" i="7"/>
  <c r="P143" i="7"/>
  <c r="W131" i="7"/>
  <c r="K22" i="7"/>
  <c r="K119" i="7"/>
  <c r="K73" i="7"/>
  <c r="W12" i="7"/>
  <c r="K103" i="7"/>
  <c r="W14" i="7"/>
  <c r="N106" i="7"/>
  <c r="N122" i="7"/>
  <c r="N76" i="7"/>
  <c r="Q23" i="7"/>
  <c r="W6" i="7"/>
  <c r="Q98" i="7"/>
  <c r="Q114" i="7"/>
  <c r="Q68" i="7"/>
  <c r="M101" i="7"/>
  <c r="M71" i="7"/>
  <c r="M117" i="7"/>
  <c r="R108" i="7"/>
  <c r="R78" i="7"/>
  <c r="W17" i="7"/>
  <c r="R124" i="7"/>
  <c r="M72" i="7"/>
  <c r="M102" i="7"/>
  <c r="M118" i="7"/>
  <c r="S23" i="7"/>
  <c r="L164" i="7"/>
  <c r="O119" i="8"/>
  <c r="O103" i="8"/>
  <c r="O73" i="8"/>
  <c r="Q67" i="7"/>
  <c r="Q97" i="7"/>
  <c r="P115" i="7"/>
  <c r="P69" i="7"/>
  <c r="P99" i="7"/>
  <c r="R101" i="7"/>
  <c r="R117" i="7"/>
  <c r="R73" i="7"/>
  <c r="R103" i="7"/>
  <c r="R119" i="7"/>
  <c r="R121" i="7"/>
  <c r="R75" i="7"/>
  <c r="R105" i="7"/>
  <c r="K106" i="7"/>
  <c r="K122" i="7"/>
  <c r="U107" i="7"/>
  <c r="U77" i="7"/>
  <c r="U123" i="7"/>
  <c r="O108" i="7"/>
  <c r="O124" i="7"/>
  <c r="U100" i="7"/>
  <c r="Q143" i="7"/>
  <c r="Q145" i="7" s="1"/>
  <c r="W132" i="7"/>
  <c r="M63" i="8"/>
  <c r="M58" i="8"/>
  <c r="O166" i="8"/>
  <c r="O168" i="8" s="1"/>
  <c r="O169" i="8"/>
  <c r="Q115" i="7"/>
  <c r="Q69" i="7"/>
  <c r="L70" i="7"/>
  <c r="L100" i="7"/>
  <c r="L116" i="7"/>
  <c r="S101" i="7"/>
  <c r="S117" i="7"/>
  <c r="K118" i="7"/>
  <c r="K72" i="7"/>
  <c r="K104" i="7"/>
  <c r="K120" i="7"/>
  <c r="K74" i="7"/>
  <c r="S121" i="7"/>
  <c r="S75" i="7"/>
  <c r="V77" i="7"/>
  <c r="V123" i="7"/>
  <c r="V107" i="7"/>
  <c r="W91" i="7"/>
  <c r="P124" i="7"/>
  <c r="W86" i="8"/>
  <c r="L93" i="8"/>
  <c r="M100" i="7"/>
  <c r="M116" i="7"/>
  <c r="T117" i="7"/>
  <c r="T71" i="7"/>
  <c r="T101" i="7"/>
  <c r="L118" i="7"/>
  <c r="L72" i="7"/>
  <c r="L102" i="7"/>
  <c r="L104" i="7"/>
  <c r="L120" i="7"/>
  <c r="M106" i="7"/>
  <c r="Q108" i="7"/>
  <c r="Q124" i="7"/>
  <c r="W40" i="7"/>
  <c r="X40" i="7" s="1"/>
  <c r="Y40" i="7" s="1"/>
  <c r="K63" i="7"/>
  <c r="K70" i="7"/>
  <c r="K76" i="7"/>
  <c r="M78" i="7"/>
  <c r="K94" i="7"/>
  <c r="M108" i="7"/>
  <c r="N118" i="7"/>
  <c r="W163" i="7"/>
  <c r="K159" i="7"/>
  <c r="K162" i="7" s="1"/>
  <c r="L66" i="8"/>
  <c r="L96" i="8"/>
  <c r="L112" i="8"/>
  <c r="L18" i="8"/>
  <c r="AB8" i="8"/>
  <c r="O69" i="8"/>
  <c r="O99" i="8"/>
  <c r="W9" i="8"/>
  <c r="O115" i="8"/>
  <c r="AB12" i="8"/>
  <c r="N73" i="8"/>
  <c r="N119" i="8"/>
  <c r="N103" i="8"/>
  <c r="V103" i="7"/>
  <c r="V119" i="7"/>
  <c r="N120" i="7"/>
  <c r="N74" i="7"/>
  <c r="V75" i="7"/>
  <c r="V105" i="7"/>
  <c r="V121" i="7"/>
  <c r="O106" i="7"/>
  <c r="O122" i="7"/>
  <c r="O76" i="7"/>
  <c r="S108" i="7"/>
  <c r="S78" i="7"/>
  <c r="O18" i="7"/>
  <c r="O138" i="7" s="1"/>
  <c r="M58" i="7"/>
  <c r="M76" i="7"/>
  <c r="O78" i="7"/>
  <c r="M94" i="7"/>
  <c r="Q118" i="7"/>
  <c r="U143" i="7"/>
  <c r="W135" i="7"/>
  <c r="P100" i="7"/>
  <c r="P116" i="7"/>
  <c r="O102" i="7"/>
  <c r="O118" i="7"/>
  <c r="O120" i="7"/>
  <c r="O74" i="7"/>
  <c r="O104" i="7"/>
  <c r="P106" i="7"/>
  <c r="P122" i="7"/>
  <c r="T108" i="7"/>
  <c r="T124" i="7"/>
  <c r="Q72" i="7"/>
  <c r="P76" i="7"/>
  <c r="N94" i="7"/>
  <c r="W87" i="7"/>
  <c r="W90" i="7"/>
  <c r="Q119" i="7"/>
  <c r="V137" i="7"/>
  <c r="W128" i="7"/>
  <c r="V140" i="7"/>
  <c r="V143" i="7" s="1"/>
  <c r="N18" i="8"/>
  <c r="Q93" i="8"/>
  <c r="Q108" i="8" s="1"/>
  <c r="U108" i="7"/>
  <c r="U124" i="7"/>
  <c r="Q18" i="7"/>
  <c r="Q138" i="7" s="1"/>
  <c r="P70" i="7"/>
  <c r="O167" i="7"/>
  <c r="O169" i="7" s="1"/>
  <c r="O170" i="7" s="1"/>
  <c r="O113" i="7"/>
  <c r="S119" i="7"/>
  <c r="W142" i="7"/>
  <c r="M159" i="7"/>
  <c r="M162" i="7" s="1"/>
  <c r="T136" i="8"/>
  <c r="T139" i="8"/>
  <c r="T142" i="8" s="1"/>
  <c r="W127" i="8"/>
  <c r="R116" i="7"/>
  <c r="R70" i="7"/>
  <c r="Q120" i="7"/>
  <c r="Q74" i="7"/>
  <c r="R106" i="7"/>
  <c r="R122" i="7"/>
  <c r="R76" i="7"/>
  <c r="L107" i="7"/>
  <c r="L123" i="7"/>
  <c r="V108" i="7"/>
  <c r="V78" i="7"/>
  <c r="V124" i="7"/>
  <c r="T78" i="7"/>
  <c r="P94" i="7"/>
  <c r="N104" i="7"/>
  <c r="Q113" i="7"/>
  <c r="T119" i="7"/>
  <c r="W153" i="7"/>
  <c r="K173" i="7"/>
  <c r="V122" i="8"/>
  <c r="V106" i="8"/>
  <c r="V76" i="8"/>
  <c r="N54" i="8"/>
  <c r="M22" i="8"/>
  <c r="M23" i="8" s="1"/>
  <c r="M136" i="8"/>
  <c r="S116" i="7"/>
  <c r="S70" i="7"/>
  <c r="S100" i="7"/>
  <c r="R102" i="7"/>
  <c r="R118" i="7"/>
  <c r="R120" i="7"/>
  <c r="R104" i="7"/>
  <c r="S122" i="7"/>
  <c r="S76" i="7"/>
  <c r="S106" i="7"/>
  <c r="M54" i="7"/>
  <c r="V74" i="7"/>
  <c r="U78" i="7"/>
  <c r="Q94" i="7"/>
  <c r="W134" i="7"/>
  <c r="O159" i="7"/>
  <c r="O162" i="7" s="1"/>
  <c r="Q24" i="8"/>
  <c r="P163" i="8"/>
  <c r="S104" i="7"/>
  <c r="S120" i="7"/>
  <c r="K105" i="7"/>
  <c r="K121" i="7"/>
  <c r="T122" i="7"/>
  <c r="T76" i="7"/>
  <c r="N107" i="7"/>
  <c r="N123" i="7"/>
  <c r="U70" i="7"/>
  <c r="R94" i="7"/>
  <c r="W93" i="7"/>
  <c r="Q104" i="7"/>
  <c r="V120" i="7"/>
  <c r="S24" i="8"/>
  <c r="R98" i="8"/>
  <c r="R114" i="8"/>
  <c r="R68" i="8"/>
  <c r="R71" i="8"/>
  <c r="R117" i="8"/>
  <c r="R101" i="8"/>
  <c r="V121" i="8"/>
  <c r="V105" i="8"/>
  <c r="V75" i="8"/>
  <c r="W40" i="8"/>
  <c r="AG16" i="8"/>
  <c r="AG18" i="8" s="1"/>
  <c r="S68" i="7"/>
  <c r="S98" i="7"/>
  <c r="S114" i="7"/>
  <c r="L101" i="7"/>
  <c r="L117" i="7"/>
  <c r="T102" i="7"/>
  <c r="T118" i="7"/>
  <c r="L119" i="7"/>
  <c r="L73" i="7"/>
  <c r="L103" i="7"/>
  <c r="T74" i="7"/>
  <c r="T104" i="7"/>
  <c r="L105" i="7"/>
  <c r="L121" i="7"/>
  <c r="L75" i="7"/>
  <c r="U122" i="7"/>
  <c r="U76" i="7"/>
  <c r="U106" i="7"/>
  <c r="M52" i="7"/>
  <c r="L71" i="7"/>
  <c r="L77" i="7"/>
  <c r="S94" i="7"/>
  <c r="K137" i="7"/>
  <c r="Q159" i="7"/>
  <c r="Q162" i="7" s="1"/>
  <c r="U102" i="7"/>
  <c r="U118" i="7"/>
  <c r="M119" i="7"/>
  <c r="M73" i="7"/>
  <c r="U104" i="7"/>
  <c r="U120" i="7"/>
  <c r="M105" i="7"/>
  <c r="M121" i="7"/>
  <c r="M75" i="7"/>
  <c r="V122" i="7"/>
  <c r="P107" i="7"/>
  <c r="P77" i="7"/>
  <c r="K75" i="7"/>
  <c r="M77" i="7"/>
  <c r="T167" i="7"/>
  <c r="T169" i="7" s="1"/>
  <c r="T170" i="7" s="1"/>
  <c r="O99" i="7"/>
  <c r="S105" i="7"/>
  <c r="L137" i="7"/>
  <c r="X136" i="7" s="1"/>
  <c r="T71" i="8"/>
  <c r="T101" i="8"/>
  <c r="T22" i="8"/>
  <c r="L99" i="7"/>
  <c r="L115" i="7"/>
  <c r="W9" i="7"/>
  <c r="N71" i="7"/>
  <c r="N101" i="7"/>
  <c r="V102" i="7"/>
  <c r="V118" i="7"/>
  <c r="V72" i="7"/>
  <c r="N119" i="7"/>
  <c r="N73" i="7"/>
  <c r="N105" i="7"/>
  <c r="N121" i="7"/>
  <c r="W15" i="7"/>
  <c r="N60" i="7" s="1"/>
  <c r="K124" i="7"/>
  <c r="K108" i="7"/>
  <c r="N75" i="7"/>
  <c r="N77" i="7"/>
  <c r="U94" i="7"/>
  <c r="Q99" i="7"/>
  <c r="T105" i="7"/>
  <c r="L122" i="7"/>
  <c r="W133" i="7"/>
  <c r="S159" i="7"/>
  <c r="S162" i="7" s="1"/>
  <c r="W156" i="7"/>
  <c r="U113" i="8"/>
  <c r="U67" i="8"/>
  <c r="W100" i="8"/>
  <c r="AB10" i="8"/>
  <c r="U71" i="8"/>
  <c r="U117" i="8"/>
  <c r="U101" i="8"/>
  <c r="AI14" i="8"/>
  <c r="N56" i="8"/>
  <c r="V140" i="8"/>
  <c r="V142" i="8" s="1"/>
  <c r="N97" i="7"/>
  <c r="N113" i="7"/>
  <c r="V98" i="7"/>
  <c r="V114" i="7"/>
  <c r="M99" i="7"/>
  <c r="M115" i="7"/>
  <c r="O101" i="7"/>
  <c r="O117" i="7"/>
  <c r="W11" i="7"/>
  <c r="O119" i="7"/>
  <c r="O73" i="7"/>
  <c r="O103" i="7"/>
  <c r="W13" i="7"/>
  <c r="O105" i="7"/>
  <c r="O121" i="7"/>
  <c r="AH14" i="7"/>
  <c r="R107" i="7"/>
  <c r="R123" i="7"/>
  <c r="L78" i="7"/>
  <c r="L124" i="7"/>
  <c r="N67" i="7"/>
  <c r="Q73" i="7"/>
  <c r="O75" i="7"/>
  <c r="O77" i="7"/>
  <c r="T106" i="7"/>
  <c r="M122" i="7"/>
  <c r="N137" i="7"/>
  <c r="S145" i="7"/>
  <c r="N115" i="7"/>
  <c r="N99" i="7"/>
  <c r="P101" i="7"/>
  <c r="P117" i="7"/>
  <c r="P103" i="7"/>
  <c r="P119" i="7"/>
  <c r="S107" i="7"/>
  <c r="S123" i="7"/>
  <c r="O67" i="7"/>
  <c r="O69" i="7"/>
  <c r="S73" i="7"/>
  <c r="T75" i="7"/>
  <c r="R77" i="7"/>
  <c r="W92" i="7"/>
  <c r="R100" i="7"/>
  <c r="V106" i="7"/>
  <c r="K116" i="7"/>
  <c r="M123" i="7"/>
  <c r="R164" i="7"/>
  <c r="W7" i="8"/>
  <c r="K74" i="8"/>
  <c r="K104" i="8"/>
  <c r="W14" i="8"/>
  <c r="K120" i="8"/>
  <c r="P67" i="7"/>
  <c r="P97" i="7"/>
  <c r="P113" i="7"/>
  <c r="Q101" i="7"/>
  <c r="Q117" i="7"/>
  <c r="Q121" i="7"/>
  <c r="Q75" i="7"/>
  <c r="T107" i="7"/>
  <c r="T77" i="7"/>
  <c r="T123" i="7"/>
  <c r="N124" i="7"/>
  <c r="N108" i="7"/>
  <c r="R71" i="7"/>
  <c r="T73" i="7"/>
  <c r="S77" i="7"/>
  <c r="O123" i="7"/>
  <c r="T164" i="7"/>
  <c r="J18" i="8"/>
  <c r="L74" i="8"/>
  <c r="L120" i="8"/>
  <c r="X38" i="8"/>
  <c r="Y38" i="8" s="1"/>
  <c r="R166" i="8"/>
  <c r="R168" i="8" s="1"/>
  <c r="R169" i="8" s="1"/>
  <c r="P105" i="7"/>
  <c r="P137" i="7"/>
  <c r="T97" i="8"/>
  <c r="T113" i="8"/>
  <c r="T67" i="8"/>
  <c r="T78" i="8" s="1"/>
  <c r="N68" i="8"/>
  <c r="N98" i="8"/>
  <c r="V100" i="8"/>
  <c r="V116" i="8"/>
  <c r="O118" i="8"/>
  <c r="O102" i="8"/>
  <c r="U122" i="8"/>
  <c r="U106" i="8"/>
  <c r="T123" i="8"/>
  <c r="T124" i="8" s="1"/>
  <c r="T107" i="8"/>
  <c r="K63" i="8"/>
  <c r="V93" i="8"/>
  <c r="W87" i="8"/>
  <c r="W102" i="8" s="1"/>
  <c r="W91" i="8"/>
  <c r="S117" i="8"/>
  <c r="O171" i="8"/>
  <c r="O173" i="8" s="1"/>
  <c r="M80" i="9"/>
  <c r="M50" i="9"/>
  <c r="M96" i="9"/>
  <c r="M97" i="9"/>
  <c r="M81" i="9"/>
  <c r="M51" i="9"/>
  <c r="K118" i="9"/>
  <c r="R137" i="7"/>
  <c r="K18" i="8"/>
  <c r="K66" i="8"/>
  <c r="K96" i="8"/>
  <c r="K112" i="8"/>
  <c r="M73" i="8"/>
  <c r="M119" i="8"/>
  <c r="M103" i="8"/>
  <c r="V77" i="8"/>
  <c r="V123" i="8"/>
  <c r="N57" i="8"/>
  <c r="W129" i="8"/>
  <c r="Q163" i="8"/>
  <c r="Q123" i="7"/>
  <c r="U137" i="7"/>
  <c r="K140" i="7"/>
  <c r="P69" i="8"/>
  <c r="P78" i="8" s="1"/>
  <c r="P99" i="8"/>
  <c r="P119" i="8"/>
  <c r="P103" i="8"/>
  <c r="P73" i="8"/>
  <c r="K93" i="8"/>
  <c r="W81" i="8"/>
  <c r="V118" i="8"/>
  <c r="V136" i="8"/>
  <c r="N23" i="8"/>
  <c r="Q136" i="8"/>
  <c r="T163" i="8"/>
  <c r="W16" i="9"/>
  <c r="K87" i="9"/>
  <c r="K103" i="9"/>
  <c r="K57" i="9"/>
  <c r="Q77" i="7"/>
  <c r="W82" i="7"/>
  <c r="L140" i="7"/>
  <c r="L143" i="7" s="1"/>
  <c r="O66" i="8"/>
  <c r="O112" i="8"/>
  <c r="T68" i="8"/>
  <c r="T98" i="8"/>
  <c r="T114" i="8"/>
  <c r="Q69" i="8"/>
  <c r="Q99" i="8"/>
  <c r="Q115" i="8"/>
  <c r="W11" i="8"/>
  <c r="U72" i="8"/>
  <c r="U102" i="8"/>
  <c r="N120" i="8"/>
  <c r="N104" i="8"/>
  <c r="W16" i="8"/>
  <c r="K122" i="8"/>
  <c r="K106" i="8"/>
  <c r="K76" i="8"/>
  <c r="AH16" i="8"/>
  <c r="K140" i="8"/>
  <c r="W140" i="8" s="1"/>
  <c r="W128" i="8"/>
  <c r="K22" i="8"/>
  <c r="U158" i="8"/>
  <c r="U161" i="8" s="1"/>
  <c r="W154" i="8"/>
  <c r="M140" i="7"/>
  <c r="M143" i="7" s="1"/>
  <c r="M145" i="7" s="1"/>
  <c r="K67" i="8"/>
  <c r="K97" i="8"/>
  <c r="R69" i="8"/>
  <c r="R99" i="8"/>
  <c r="R115" i="8"/>
  <c r="M100" i="8"/>
  <c r="M116" i="8"/>
  <c r="M70" i="8"/>
  <c r="R119" i="8"/>
  <c r="R103" i="8"/>
  <c r="L105" i="8"/>
  <c r="L75" i="8"/>
  <c r="O18" i="8"/>
  <c r="N53" i="8"/>
  <c r="N59" i="8"/>
  <c r="V70" i="8"/>
  <c r="R73" i="8"/>
  <c r="M93" i="8"/>
  <c r="L22" i="8"/>
  <c r="L23" i="8" s="1"/>
  <c r="L140" i="8"/>
  <c r="L142" i="8" s="1"/>
  <c r="Q94" i="9"/>
  <c r="Q48" i="9"/>
  <c r="Q78" i="9"/>
  <c r="W7" i="9"/>
  <c r="W136" i="7"/>
  <c r="N140" i="7"/>
  <c r="N143" i="7" s="1"/>
  <c r="L67" i="8"/>
  <c r="L97" i="8"/>
  <c r="V98" i="8"/>
  <c r="V114" i="8"/>
  <c r="V68" i="8"/>
  <c r="V78" i="8" s="1"/>
  <c r="S69" i="8"/>
  <c r="S78" i="8" s="1"/>
  <c r="S99" i="8"/>
  <c r="S115" i="8"/>
  <c r="S103" i="8"/>
  <c r="S73" i="8"/>
  <c r="M105" i="8"/>
  <c r="M75" i="8"/>
  <c r="M122" i="8"/>
  <c r="M76" i="8"/>
  <c r="N42" i="8"/>
  <c r="N93" i="8"/>
  <c r="K100" i="8"/>
  <c r="N114" i="8"/>
  <c r="W132" i="8"/>
  <c r="W133" i="8"/>
  <c r="L136" i="8"/>
  <c r="X130" i="8" s="1"/>
  <c r="K172" i="8"/>
  <c r="W162" i="8"/>
  <c r="W150" i="8"/>
  <c r="Q23" i="9"/>
  <c r="P75" i="7"/>
  <c r="O140" i="7"/>
  <c r="O143" i="7" s="1"/>
  <c r="O145" i="7" s="1"/>
  <c r="M67" i="8"/>
  <c r="M97" i="8"/>
  <c r="M113" i="8"/>
  <c r="W113" i="8" s="1"/>
  <c r="T99" i="8"/>
  <c r="T115" i="8"/>
  <c r="O116" i="8"/>
  <c r="O70" i="8"/>
  <c r="O100" i="8"/>
  <c r="M106" i="8"/>
  <c r="S112" i="8"/>
  <c r="S96" i="8"/>
  <c r="N67" i="8"/>
  <c r="N97" i="8"/>
  <c r="N113" i="8"/>
  <c r="U69" i="8"/>
  <c r="U99" i="8"/>
  <c r="U115" i="8"/>
  <c r="U119" i="8"/>
  <c r="U103" i="8"/>
  <c r="U73" i="8"/>
  <c r="O75" i="8"/>
  <c r="O121" i="8"/>
  <c r="O106" i="8"/>
  <c r="O76" i="8"/>
  <c r="N123" i="8"/>
  <c r="W123" i="8" s="1"/>
  <c r="N107" i="8"/>
  <c r="N77" i="8"/>
  <c r="N71" i="8"/>
  <c r="N74" i="8"/>
  <c r="U76" i="8"/>
  <c r="P93" i="8"/>
  <c r="W153" i="8"/>
  <c r="T18" i="8"/>
  <c r="O67" i="8"/>
  <c r="O97" i="8"/>
  <c r="O113" i="8"/>
  <c r="V69" i="8"/>
  <c r="V99" i="8"/>
  <c r="V115" i="8"/>
  <c r="P115" i="8"/>
  <c r="L121" i="8"/>
  <c r="W131" i="8"/>
  <c r="U112" i="8"/>
  <c r="U18" i="8"/>
  <c r="U23" i="8" s="1"/>
  <c r="U66" i="8"/>
  <c r="P97" i="8"/>
  <c r="P113" i="8"/>
  <c r="P18" i="8"/>
  <c r="M117" i="8"/>
  <c r="M101" i="8"/>
  <c r="K72" i="8"/>
  <c r="K118" i="8"/>
  <c r="K102" i="8"/>
  <c r="W13" i="8"/>
  <c r="T120" i="8"/>
  <c r="T104" i="8"/>
  <c r="Q75" i="8"/>
  <c r="Q121" i="8"/>
  <c r="Q105" i="8"/>
  <c r="S42" i="8"/>
  <c r="N55" i="8"/>
  <c r="U68" i="8"/>
  <c r="W92" i="8"/>
  <c r="O96" i="8"/>
  <c r="N101" i="8"/>
  <c r="L116" i="8"/>
  <c r="W116" i="8" s="1"/>
  <c r="M121" i="8"/>
  <c r="M142" i="8"/>
  <c r="K141" i="8"/>
  <c r="W141" i="8" s="1"/>
  <c r="W135" i="8"/>
  <c r="O163" i="8"/>
  <c r="S89" i="9"/>
  <c r="S24" i="9"/>
  <c r="S23" i="9"/>
  <c r="AG16" i="9"/>
  <c r="AF16" i="9" s="1"/>
  <c r="W36" i="9"/>
  <c r="X35" i="9" s="1"/>
  <c r="Y35" i="9" s="1"/>
  <c r="V112" i="8"/>
  <c r="V18" i="8"/>
  <c r="V96" i="8"/>
  <c r="Q67" i="8"/>
  <c r="Q97" i="8"/>
  <c r="Q113" i="8"/>
  <c r="K114" i="8"/>
  <c r="K68" i="8"/>
  <c r="L72" i="8"/>
  <c r="L118" i="8"/>
  <c r="L102" i="8"/>
  <c r="U104" i="8"/>
  <c r="U74" i="8"/>
  <c r="R75" i="8"/>
  <c r="R121" i="8"/>
  <c r="R105" i="8"/>
  <c r="Q107" i="8"/>
  <c r="Q77" i="8"/>
  <c r="Q78" i="8" s="1"/>
  <c r="Q123" i="8"/>
  <c r="X34" i="8"/>
  <c r="Y34" i="8" s="1"/>
  <c r="W39" i="8"/>
  <c r="X39" i="8" s="1"/>
  <c r="Y39" i="8" s="1"/>
  <c r="W45" i="8"/>
  <c r="S93" i="8"/>
  <c r="S108" i="8" s="1"/>
  <c r="W83" i="8"/>
  <c r="W98" i="8" s="1"/>
  <c r="W89" i="8"/>
  <c r="S101" i="8"/>
  <c r="Q142" i="8"/>
  <c r="T24" i="9"/>
  <c r="U147" i="9"/>
  <c r="U149" i="9" s="1"/>
  <c r="U150" i="9" s="1"/>
  <c r="W68" i="9"/>
  <c r="W6" i="8"/>
  <c r="N51" i="8" s="1"/>
  <c r="R67" i="8"/>
  <c r="R113" i="8"/>
  <c r="R124" i="8" s="1"/>
  <c r="L68" i="8"/>
  <c r="L98" i="8"/>
  <c r="L114" i="8"/>
  <c r="O117" i="8"/>
  <c r="O101" i="8"/>
  <c r="O71" i="8"/>
  <c r="M118" i="8"/>
  <c r="M102" i="8"/>
  <c r="S121" i="8"/>
  <c r="S105" i="8"/>
  <c r="T93" i="8"/>
  <c r="W88" i="8"/>
  <c r="O122" i="8"/>
  <c r="O142" i="8"/>
  <c r="M163" i="8"/>
  <c r="S97" i="8"/>
  <c r="S113" i="8"/>
  <c r="U70" i="8"/>
  <c r="U100" i="8"/>
  <c r="U116" i="8"/>
  <c r="P117" i="8"/>
  <c r="W117" i="8" s="1"/>
  <c r="P101" i="8"/>
  <c r="T121" i="8"/>
  <c r="T105" i="8"/>
  <c r="T75" i="8"/>
  <c r="S107" i="8"/>
  <c r="S77" i="8"/>
  <c r="O72" i="8"/>
  <c r="T77" i="8"/>
  <c r="U93" i="8"/>
  <c r="U96" i="8"/>
  <c r="V107" i="8"/>
  <c r="W130" i="8"/>
  <c r="S23" i="8"/>
  <c r="R172" i="8"/>
  <c r="W152" i="8"/>
  <c r="R66" i="8"/>
  <c r="L71" i="8"/>
  <c r="V97" i="8"/>
  <c r="L99" i="8"/>
  <c r="N105" i="8"/>
  <c r="Q106" i="8"/>
  <c r="N115" i="8"/>
  <c r="W115" i="8" s="1"/>
  <c r="K121" i="8"/>
  <c r="N122" i="8"/>
  <c r="K136" i="8"/>
  <c r="U139" i="8"/>
  <c r="U142" i="8" s="1"/>
  <c r="U144" i="8" s="1"/>
  <c r="L158" i="8"/>
  <c r="L161" i="8" s="1"/>
  <c r="R18" i="9"/>
  <c r="R93" i="9"/>
  <c r="R77" i="9"/>
  <c r="L97" i="9"/>
  <c r="L81" i="9"/>
  <c r="L51" i="9"/>
  <c r="W51" i="9" s="1"/>
  <c r="X51" i="9" s="1"/>
  <c r="L83" i="9"/>
  <c r="L99" i="9"/>
  <c r="L53" i="9"/>
  <c r="W132" i="9"/>
  <c r="V84" i="10"/>
  <c r="V41" i="10"/>
  <c r="V69" i="10"/>
  <c r="W7" i="10"/>
  <c r="R100" i="8"/>
  <c r="K103" i="8"/>
  <c r="T106" i="8"/>
  <c r="O114" i="8"/>
  <c r="S116" i="8"/>
  <c r="N121" i="8"/>
  <c r="Q122" i="8"/>
  <c r="N136" i="8"/>
  <c r="U18" i="9"/>
  <c r="R94" i="9"/>
  <c r="R78" i="9"/>
  <c r="R48" i="9"/>
  <c r="N23" i="9"/>
  <c r="M98" i="8"/>
  <c r="S100" i="8"/>
  <c r="V101" i="8"/>
  <c r="L103" i="8"/>
  <c r="O104" i="8"/>
  <c r="P114" i="8"/>
  <c r="T116" i="8"/>
  <c r="V117" i="8"/>
  <c r="K119" i="8"/>
  <c r="W119" i="8" s="1"/>
  <c r="M120" i="8"/>
  <c r="U123" i="8"/>
  <c r="O136" i="8"/>
  <c r="W25" i="9"/>
  <c r="S94" i="9"/>
  <c r="S78" i="9"/>
  <c r="K23" i="9"/>
  <c r="X34" i="9"/>
  <c r="Y34" i="9" s="1"/>
  <c r="W17" i="8"/>
  <c r="R18" i="8"/>
  <c r="M69" i="8"/>
  <c r="Q71" i="8"/>
  <c r="S72" i="8"/>
  <c r="M77" i="8"/>
  <c r="T100" i="8"/>
  <c r="P104" i="8"/>
  <c r="Q114" i="8"/>
  <c r="P136" i="8"/>
  <c r="Q49" i="9"/>
  <c r="Q59" i="9" s="1"/>
  <c r="Q95" i="9"/>
  <c r="Q79" i="9"/>
  <c r="R86" i="9"/>
  <c r="R102" i="9"/>
  <c r="R56" i="9"/>
  <c r="T88" i="9"/>
  <c r="T58" i="9"/>
  <c r="T104" i="9"/>
  <c r="W64" i="9"/>
  <c r="L63" i="8"/>
  <c r="L76" i="8"/>
  <c r="O98" i="8"/>
  <c r="Q104" i="8"/>
  <c r="N112" i="8"/>
  <c r="R158" i="8"/>
  <c r="R161" i="8" s="1"/>
  <c r="U78" i="9"/>
  <c r="R49" i="9"/>
  <c r="R95" i="9"/>
  <c r="R79" i="9"/>
  <c r="S86" i="9"/>
  <c r="S102" i="9"/>
  <c r="U58" i="9"/>
  <c r="U104" i="9"/>
  <c r="U88" i="9"/>
  <c r="W41" i="9"/>
  <c r="X30" i="9"/>
  <c r="Y30" i="9" s="1"/>
  <c r="T100" i="9"/>
  <c r="V22" i="9"/>
  <c r="V23" i="9" s="1"/>
  <c r="V117" i="9"/>
  <c r="V121" i="9"/>
  <c r="V123" i="9" s="1"/>
  <c r="W15" i="8"/>
  <c r="K75" i="8"/>
  <c r="O77" i="8"/>
  <c r="P98" i="8"/>
  <c r="R104" i="8"/>
  <c r="U105" i="8"/>
  <c r="K107" i="8"/>
  <c r="S114" i="8"/>
  <c r="S136" i="8"/>
  <c r="S158" i="8"/>
  <c r="S161" i="8" s="1"/>
  <c r="W149" i="8"/>
  <c r="W157" i="8"/>
  <c r="R84" i="9"/>
  <c r="R54" i="9"/>
  <c r="R100" i="9"/>
  <c r="T102" i="9"/>
  <c r="T86" i="9"/>
  <c r="V104" i="9"/>
  <c r="V58" i="9"/>
  <c r="K74" i="9"/>
  <c r="W62" i="9"/>
  <c r="O74" i="9"/>
  <c r="N76" i="8"/>
  <c r="Q98" i="8"/>
  <c r="S104" i="8"/>
  <c r="L107" i="8"/>
  <c r="P112" i="8"/>
  <c r="T50" i="9"/>
  <c r="T96" i="9"/>
  <c r="T80" i="9"/>
  <c r="S98" i="9"/>
  <c r="S82" i="9"/>
  <c r="S52" i="9"/>
  <c r="S100" i="9"/>
  <c r="S54" i="9"/>
  <c r="S84" i="9"/>
  <c r="U86" i="9"/>
  <c r="O24" i="9"/>
  <c r="O89" i="9"/>
  <c r="L74" i="9"/>
  <c r="P150" i="9"/>
  <c r="K101" i="8"/>
  <c r="N102" i="8"/>
  <c r="Q103" i="8"/>
  <c r="Q112" i="8"/>
  <c r="W6" i="9"/>
  <c r="K93" i="9"/>
  <c r="K18" i="9"/>
  <c r="K47" i="9"/>
  <c r="K77" i="9"/>
  <c r="U50" i="9"/>
  <c r="U96" i="9"/>
  <c r="U80" i="9"/>
  <c r="T98" i="9"/>
  <c r="W98" i="9" s="1"/>
  <c r="T82" i="9"/>
  <c r="T52" i="9"/>
  <c r="P24" i="9"/>
  <c r="P89" i="9"/>
  <c r="S56" i="9"/>
  <c r="M147" i="9"/>
  <c r="M149" i="9" s="1"/>
  <c r="M150" i="9" s="1"/>
  <c r="W70" i="9"/>
  <c r="N74" i="9"/>
  <c r="U120" i="9"/>
  <c r="U123" i="9" s="1"/>
  <c r="U22" i="9"/>
  <c r="U23" i="9" s="1"/>
  <c r="U117" i="9"/>
  <c r="W108" i="9"/>
  <c r="R77" i="8"/>
  <c r="S98" i="8"/>
  <c r="L101" i="8"/>
  <c r="R136" i="8"/>
  <c r="V158" i="8"/>
  <c r="V161" i="8" s="1"/>
  <c r="V96" i="9"/>
  <c r="V80" i="9"/>
  <c r="V50" i="9"/>
  <c r="U98" i="9"/>
  <c r="U82" i="9"/>
  <c r="U52" i="9"/>
  <c r="Q18" i="9"/>
  <c r="T56" i="9"/>
  <c r="U144" i="9"/>
  <c r="V104" i="8"/>
  <c r="L106" i="8"/>
  <c r="O107" i="8"/>
  <c r="W156" i="8"/>
  <c r="W167" i="8"/>
  <c r="M18" i="9"/>
  <c r="M47" i="9"/>
  <c r="M77" i="9"/>
  <c r="M93" i="9"/>
  <c r="AI9" i="9"/>
  <c r="AG13" i="9"/>
  <c r="AF13" i="9" s="1"/>
  <c r="AI13" i="9" s="1"/>
  <c r="N38" i="9"/>
  <c r="W33" i="9"/>
  <c r="X33" i="9" s="1"/>
  <c r="Y33" i="9" s="1"/>
  <c r="R47" i="9"/>
  <c r="W65" i="9"/>
  <c r="V144" i="9"/>
  <c r="V87" i="10"/>
  <c r="V44" i="10"/>
  <c r="V72" i="10"/>
  <c r="P96" i="8"/>
  <c r="R102" i="8"/>
  <c r="L103" i="9"/>
  <c r="L87" i="9"/>
  <c r="L57" i="9"/>
  <c r="S48" i="9"/>
  <c r="S59" i="9" s="1"/>
  <c r="Q74" i="9"/>
  <c r="T23" i="9"/>
  <c r="W14" i="9"/>
  <c r="K55" i="9"/>
  <c r="K85" i="9"/>
  <c r="K101" i="9"/>
  <c r="M87" i="9"/>
  <c r="M103" i="9"/>
  <c r="M57" i="9"/>
  <c r="R74" i="9"/>
  <c r="U94" i="9"/>
  <c r="O135" i="10"/>
  <c r="O137" i="10" s="1"/>
  <c r="O138" i="10" s="1"/>
  <c r="Q101" i="8"/>
  <c r="K158" i="8"/>
  <c r="K161" i="8" s="1"/>
  <c r="W148" i="8"/>
  <c r="Q77" i="9"/>
  <c r="Q93" i="9"/>
  <c r="Q105" i="9" s="1"/>
  <c r="W8" i="9"/>
  <c r="W68" i="8" s="1"/>
  <c r="X68" i="8" s="1"/>
  <c r="K49" i="9"/>
  <c r="K95" i="9"/>
  <c r="W10" i="9"/>
  <c r="W70" i="8" s="1"/>
  <c r="X70" i="8" s="1"/>
  <c r="K97" i="9"/>
  <c r="K81" i="9"/>
  <c r="K99" i="9"/>
  <c r="K83" i="9"/>
  <c r="K53" i="9"/>
  <c r="W12" i="9"/>
  <c r="L55" i="9"/>
  <c r="L85" i="9"/>
  <c r="L101" i="9"/>
  <c r="S147" i="9"/>
  <c r="S149" i="9" s="1"/>
  <c r="S150" i="9" s="1"/>
  <c r="N18" i="9"/>
  <c r="P47" i="9"/>
  <c r="T49" i="9"/>
  <c r="P55" i="9"/>
  <c r="T57" i="9"/>
  <c r="O80" i="9"/>
  <c r="V81" i="9"/>
  <c r="N83" i="9"/>
  <c r="K86" i="9"/>
  <c r="P87" i="9"/>
  <c r="T94" i="9"/>
  <c r="L96" i="9"/>
  <c r="R97" i="9"/>
  <c r="M102" i="9"/>
  <c r="W102" i="9" s="1"/>
  <c r="S103" i="9"/>
  <c r="T117" i="9"/>
  <c r="S144" i="9"/>
  <c r="W133" i="9"/>
  <c r="N65" i="10"/>
  <c r="K74" i="10"/>
  <c r="S132" i="11"/>
  <c r="S134" i="11" s="1"/>
  <c r="S135" i="11"/>
  <c r="T77" i="9"/>
  <c r="L79" i="9"/>
  <c r="K82" i="9"/>
  <c r="P83" i="9"/>
  <c r="N96" i="9"/>
  <c r="W96" i="9" s="1"/>
  <c r="T97" i="9"/>
  <c r="V100" i="9"/>
  <c r="W111" i="9"/>
  <c r="L117" i="9"/>
  <c r="M152" i="9"/>
  <c r="M154" i="9" s="1"/>
  <c r="W136" i="9"/>
  <c r="AH10" i="10"/>
  <c r="P135" i="10"/>
  <c r="P137" i="10" s="1"/>
  <c r="P138" i="10"/>
  <c r="L65" i="10"/>
  <c r="L82" i="9"/>
  <c r="M140" i="9"/>
  <c r="M125" i="9"/>
  <c r="P91" i="10"/>
  <c r="P76" i="10"/>
  <c r="P48" i="10"/>
  <c r="Q135" i="10"/>
  <c r="Q137" i="10" s="1"/>
  <c r="Q138" i="10" s="1"/>
  <c r="T135" i="10"/>
  <c r="T137" i="10" s="1"/>
  <c r="T138" i="10"/>
  <c r="K128" i="10"/>
  <c r="S92" i="11"/>
  <c r="S49" i="11"/>
  <c r="S77" i="11"/>
  <c r="S50" i="10"/>
  <c r="W9" i="9"/>
  <c r="W17" i="9"/>
  <c r="T47" i="9"/>
  <c r="V48" i="9"/>
  <c r="N52" i="9"/>
  <c r="W52" i="9" s="1"/>
  <c r="X52" i="9" s="1"/>
  <c r="P53" i="9"/>
  <c r="V56" i="9"/>
  <c r="V77" i="9"/>
  <c r="P79" i="9"/>
  <c r="M82" i="9"/>
  <c r="R83" i="9"/>
  <c r="S93" i="9"/>
  <c r="P96" i="9"/>
  <c r="Q99" i="9"/>
  <c r="Q102" i="9"/>
  <c r="K104" i="9"/>
  <c r="X108" i="9"/>
  <c r="N117" i="9"/>
  <c r="W130" i="9"/>
  <c r="T139" i="9"/>
  <c r="T142" i="9" s="1"/>
  <c r="W148" i="9"/>
  <c r="AH9" i="10"/>
  <c r="AG5" i="10"/>
  <c r="AE5" i="10" s="1"/>
  <c r="AH5" i="10" s="1"/>
  <c r="R65" i="10"/>
  <c r="W111" i="10"/>
  <c r="T44" i="11"/>
  <c r="T72" i="11"/>
  <c r="T87" i="11"/>
  <c r="W11" i="9"/>
  <c r="U47" i="9"/>
  <c r="K50" i="9"/>
  <c r="O52" i="9"/>
  <c r="K78" i="9"/>
  <c r="N82" i="9"/>
  <c r="S83" i="9"/>
  <c r="P86" i="9"/>
  <c r="T93" i="9"/>
  <c r="L95" i="9"/>
  <c r="Q96" i="9"/>
  <c r="S99" i="9"/>
  <c r="L104" i="9"/>
  <c r="X110" i="9"/>
  <c r="W116" i="9"/>
  <c r="K122" i="9"/>
  <c r="R76" i="10"/>
  <c r="R48" i="10"/>
  <c r="R91" i="10"/>
  <c r="X26" i="10"/>
  <c r="Y26" i="10" s="1"/>
  <c r="S135" i="10"/>
  <c r="S137" i="10" s="1"/>
  <c r="S138" i="10" s="1"/>
  <c r="V135" i="10"/>
  <c r="V137" i="10" s="1"/>
  <c r="V138" i="10" s="1"/>
  <c r="W101" i="10"/>
  <c r="P78" i="11"/>
  <c r="P19" i="11"/>
  <c r="S125" i="11"/>
  <c r="S106" i="11"/>
  <c r="W13" i="9"/>
  <c r="W15" i="9"/>
  <c r="V47" i="9"/>
  <c r="L50" i="9"/>
  <c r="N51" i="9"/>
  <c r="P52" i="9"/>
  <c r="R53" i="9"/>
  <c r="V55" i="9"/>
  <c r="L58" i="9"/>
  <c r="M78" i="9"/>
  <c r="O82" i="9"/>
  <c r="T83" i="9"/>
  <c r="U93" i="9"/>
  <c r="M95" i="9"/>
  <c r="S96" i="9"/>
  <c r="T99" i="9"/>
  <c r="M101" i="9"/>
  <c r="M104" i="9"/>
  <c r="K121" i="9"/>
  <c r="W109" i="9"/>
  <c r="X116" i="9"/>
  <c r="L122" i="9"/>
  <c r="L123" i="9" s="1"/>
  <c r="Y41" i="10"/>
  <c r="Y42" i="10"/>
  <c r="W44" i="10"/>
  <c r="X44" i="10" s="1"/>
  <c r="P140" i="10"/>
  <c r="P142" i="10" s="1"/>
  <c r="O78" i="11"/>
  <c r="O19" i="11"/>
  <c r="S43" i="11"/>
  <c r="S71" i="11"/>
  <c r="S86" i="11"/>
  <c r="AB13" i="11"/>
  <c r="K38" i="9"/>
  <c r="O51" i="9"/>
  <c r="U54" i="9"/>
  <c r="N78" i="9"/>
  <c r="S79" i="9"/>
  <c r="P82" i="9"/>
  <c r="U83" i="9"/>
  <c r="M85" i="9"/>
  <c r="V93" i="9"/>
  <c r="N95" i="9"/>
  <c r="N105" i="9" s="1"/>
  <c r="U99" i="9"/>
  <c r="N101" i="9"/>
  <c r="U102" i="9"/>
  <c r="N104" i="9"/>
  <c r="L43" i="10"/>
  <c r="L51" i="10" s="1"/>
  <c r="L86" i="10"/>
  <c r="M73" i="10"/>
  <c r="M45" i="10"/>
  <c r="W11" i="10"/>
  <c r="M88" i="10"/>
  <c r="W88" i="10" s="1"/>
  <c r="Z88" i="10" s="1"/>
  <c r="L78" i="10"/>
  <c r="W16" i="10"/>
  <c r="L50" i="10"/>
  <c r="U135" i="10"/>
  <c r="U137" i="10" s="1"/>
  <c r="U138" i="10" s="1"/>
  <c r="O106" i="10"/>
  <c r="Q101" i="9"/>
  <c r="Q85" i="9"/>
  <c r="N50" i="9"/>
  <c r="P51" i="9"/>
  <c r="O78" i="9"/>
  <c r="T79" i="9"/>
  <c r="Q82" i="9"/>
  <c r="V83" i="9"/>
  <c r="N85" i="9"/>
  <c r="O95" i="9"/>
  <c r="O105" i="9" s="1"/>
  <c r="V99" i="9"/>
  <c r="O101" i="9"/>
  <c r="V102" i="9"/>
  <c r="P104" i="9"/>
  <c r="W115" i="9"/>
  <c r="K139" i="9"/>
  <c r="K142" i="9" s="1"/>
  <c r="W138" i="9"/>
  <c r="M68" i="10"/>
  <c r="W6" i="10"/>
  <c r="M83" i="10"/>
  <c r="M94" i="10" s="1"/>
  <c r="M17" i="10"/>
  <c r="M40" i="10"/>
  <c r="K19" i="10"/>
  <c r="O31" i="10"/>
  <c r="W56" i="10"/>
  <c r="W65" i="10" s="1"/>
  <c r="L71" i="10"/>
  <c r="W100" i="10"/>
  <c r="W104" i="10"/>
  <c r="K48" i="9"/>
  <c r="M49" i="9"/>
  <c r="Q51" i="9"/>
  <c r="K56" i="9"/>
  <c r="P78" i="9"/>
  <c r="U79" i="9"/>
  <c r="R82" i="9"/>
  <c r="P85" i="9"/>
  <c r="P95" i="9"/>
  <c r="P105" i="9" s="1"/>
  <c r="R104" i="9"/>
  <c r="X115" i="9"/>
  <c r="L144" i="9"/>
  <c r="N68" i="10"/>
  <c r="N83" i="10"/>
  <c r="N17" i="10"/>
  <c r="O88" i="10"/>
  <c r="O45" i="10"/>
  <c r="W45" i="10" s="1"/>
  <c r="X45" i="10" s="1"/>
  <c r="O73" i="10"/>
  <c r="R75" i="10"/>
  <c r="R47" i="10"/>
  <c r="R90" i="10"/>
  <c r="N50" i="10"/>
  <c r="N78" i="10"/>
  <c r="L48" i="9"/>
  <c r="P50" i="9"/>
  <c r="R51" i="9"/>
  <c r="L56" i="9"/>
  <c r="N57" i="9"/>
  <c r="P58" i="9"/>
  <c r="T74" i="9"/>
  <c r="T89" i="9" s="1"/>
  <c r="L77" i="9"/>
  <c r="V79" i="9"/>
  <c r="N81" i="9"/>
  <c r="K84" i="9"/>
  <c r="R85" i="9"/>
  <c r="O88" i="9"/>
  <c r="L94" i="9"/>
  <c r="W94" i="9" s="1"/>
  <c r="K100" i="9"/>
  <c r="S104" i="9"/>
  <c r="N123" i="9"/>
  <c r="K143" i="9"/>
  <c r="O83" i="10"/>
  <c r="O17" i="10"/>
  <c r="O40" i="10"/>
  <c r="Y49" i="10"/>
  <c r="W34" i="10"/>
  <c r="N40" i="10"/>
  <c r="W63" i="10"/>
  <c r="W87" i="10"/>
  <c r="R106" i="10"/>
  <c r="R109" i="10"/>
  <c r="R112" i="10" s="1"/>
  <c r="V106" i="10"/>
  <c r="V110" i="10"/>
  <c r="W110" i="10" s="1"/>
  <c r="S75" i="12"/>
  <c r="S26" i="12"/>
  <c r="W40" i="12"/>
  <c r="X40" i="12" s="1"/>
  <c r="U97" i="9"/>
  <c r="U81" i="9"/>
  <c r="M48" i="9"/>
  <c r="O49" i="9"/>
  <c r="S51" i="9"/>
  <c r="O57" i="9"/>
  <c r="Q58" i="9"/>
  <c r="O81" i="9"/>
  <c r="M84" i="9"/>
  <c r="S85" i="9"/>
  <c r="L100" i="9"/>
  <c r="O123" i="9"/>
  <c r="P70" i="10"/>
  <c r="P85" i="10"/>
  <c r="T75" i="10"/>
  <c r="T90" i="10"/>
  <c r="T47" i="10"/>
  <c r="L47" i="9"/>
  <c r="N48" i="9"/>
  <c r="T51" i="9"/>
  <c r="V52" i="9"/>
  <c r="P57" i="9"/>
  <c r="R58" i="9"/>
  <c r="V74" i="9"/>
  <c r="N77" i="9"/>
  <c r="K80" i="9"/>
  <c r="P81" i="9"/>
  <c r="O84" i="9"/>
  <c r="T85" i="9"/>
  <c r="Q88" i="9"/>
  <c r="S95" i="9"/>
  <c r="M100" i="9"/>
  <c r="O103" i="9"/>
  <c r="P120" i="9"/>
  <c r="P123" i="9" s="1"/>
  <c r="P117" i="9"/>
  <c r="O139" i="9"/>
  <c r="O142" i="9" s="1"/>
  <c r="W137" i="9"/>
  <c r="Q70" i="10"/>
  <c r="Q85" i="10"/>
  <c r="Q42" i="10"/>
  <c r="T106" i="10"/>
  <c r="T109" i="10"/>
  <c r="T112" i="10" s="1"/>
  <c r="V127" i="10"/>
  <c r="V130" i="10" s="1"/>
  <c r="W118" i="10"/>
  <c r="N100" i="9"/>
  <c r="N84" i="9"/>
  <c r="O48" i="9"/>
  <c r="O59" i="9" s="1"/>
  <c r="U51" i="9"/>
  <c r="Q57" i="9"/>
  <c r="O77" i="9"/>
  <c r="Q81" i="9"/>
  <c r="P84" i="9"/>
  <c r="U85" i="9"/>
  <c r="Q117" i="9"/>
  <c r="Q120" i="9"/>
  <c r="Q123" i="9" s="1"/>
  <c r="P139" i="9"/>
  <c r="P142" i="9" s="1"/>
  <c r="R70" i="10"/>
  <c r="R85" i="10"/>
  <c r="R17" i="10"/>
  <c r="R42" i="10"/>
  <c r="N49" i="10"/>
  <c r="W15" i="10"/>
  <c r="N92" i="10"/>
  <c r="N77" i="10"/>
  <c r="U112" i="10"/>
  <c r="R82" i="11"/>
  <c r="R17" i="11"/>
  <c r="R39" i="11"/>
  <c r="O132" i="11"/>
  <c r="O134" i="11" s="1"/>
  <c r="O135" i="11" s="1"/>
  <c r="L18" i="9"/>
  <c r="L22" i="9"/>
  <c r="N47" i="9"/>
  <c r="P48" i="9"/>
  <c r="L54" i="9"/>
  <c r="W54" i="9" s="1"/>
  <c r="X54" i="9" s="1"/>
  <c r="R57" i="9"/>
  <c r="P77" i="9"/>
  <c r="Q84" i="9"/>
  <c r="V85" i="9"/>
  <c r="N87" i="9"/>
  <c r="V98" i="9"/>
  <c r="R117" i="9"/>
  <c r="R120" i="9"/>
  <c r="R123" i="9" s="1"/>
  <c r="Q139" i="9"/>
  <c r="Q142" i="9" s="1"/>
  <c r="M144" i="9"/>
  <c r="W58" i="10"/>
  <c r="W62" i="10"/>
  <c r="O132" i="10"/>
  <c r="O140" i="10"/>
  <c r="U40" i="11"/>
  <c r="U83" i="11"/>
  <c r="U93" i="11" s="1"/>
  <c r="U41" i="10"/>
  <c r="U51" i="10" s="1"/>
  <c r="U68" i="11"/>
  <c r="R96" i="9"/>
  <c r="R80" i="9"/>
  <c r="O55" i="9"/>
  <c r="S140" i="9"/>
  <c r="S118" i="9"/>
  <c r="S120" i="9"/>
  <c r="S123" i="9" s="1"/>
  <c r="S125" i="9" s="1"/>
  <c r="R139" i="9"/>
  <c r="R142" i="9" s="1"/>
  <c r="N144" i="9"/>
  <c r="T87" i="10"/>
  <c r="T44" i="10"/>
  <c r="T72" i="10"/>
  <c r="W74" i="10"/>
  <c r="AB12" i="10"/>
  <c r="P49" i="10"/>
  <c r="P92" i="10"/>
  <c r="P77" i="10"/>
  <c r="X28" i="10"/>
  <c r="Y28" i="10" s="1"/>
  <c r="M65" i="10"/>
  <c r="V73" i="10"/>
  <c r="L93" i="10"/>
  <c r="W103" i="10"/>
  <c r="T17" i="11"/>
  <c r="T67" i="11"/>
  <c r="T39" i="11"/>
  <c r="T82" i="11"/>
  <c r="T93" i="11" s="1"/>
  <c r="R67" i="11"/>
  <c r="P68" i="10"/>
  <c r="Q89" i="10"/>
  <c r="M93" i="10"/>
  <c r="S106" i="10"/>
  <c r="S82" i="11"/>
  <c r="S17" i="11"/>
  <c r="U44" i="11"/>
  <c r="U72" i="11"/>
  <c r="U87" i="11"/>
  <c r="R92" i="11"/>
  <c r="R49" i="11"/>
  <c r="R77" i="11"/>
  <c r="R132" i="11"/>
  <c r="R134" i="11" s="1"/>
  <c r="R135" i="11" s="1"/>
  <c r="P132" i="11"/>
  <c r="P134" i="11" s="1"/>
  <c r="P135" i="11"/>
  <c r="V125" i="11"/>
  <c r="O117" i="9"/>
  <c r="W10" i="10"/>
  <c r="L17" i="10"/>
  <c r="AB23" i="10" s="1"/>
  <c r="R43" i="10"/>
  <c r="S44" i="10"/>
  <c r="T45" i="10"/>
  <c r="U46" i="10"/>
  <c r="V47" i="10"/>
  <c r="R68" i="10"/>
  <c r="O71" i="10"/>
  <c r="L74" i="10"/>
  <c r="Q75" i="10"/>
  <c r="K77" i="10"/>
  <c r="P78" i="10"/>
  <c r="N87" i="10"/>
  <c r="Q88" i="10"/>
  <c r="S89" i="10"/>
  <c r="K92" i="10"/>
  <c r="W92" i="10" s="1"/>
  <c r="W124" i="10"/>
  <c r="U17" i="11"/>
  <c r="V69" i="11"/>
  <c r="V84" i="11"/>
  <c r="V41" i="11"/>
  <c r="T132" i="11"/>
  <c r="T134" i="11" s="1"/>
  <c r="T135" i="11"/>
  <c r="W59" i="11"/>
  <c r="S67" i="11"/>
  <c r="K39" i="12"/>
  <c r="W8" i="12"/>
  <c r="K67" i="12"/>
  <c r="K82" i="12"/>
  <c r="P40" i="10"/>
  <c r="P51" i="10" s="1"/>
  <c r="Q41" i="10"/>
  <c r="W41" i="10" s="1"/>
  <c r="X41" i="10" s="1"/>
  <c r="S43" i="10"/>
  <c r="U45" i="10"/>
  <c r="K65" i="10"/>
  <c r="K79" i="10" s="1"/>
  <c r="S68" i="10"/>
  <c r="K70" i="10"/>
  <c r="P71" i="10"/>
  <c r="U72" i="10"/>
  <c r="M74" i="10"/>
  <c r="L77" i="10"/>
  <c r="Q78" i="10"/>
  <c r="K86" i="10"/>
  <c r="R88" i="10"/>
  <c r="T89" i="10"/>
  <c r="U90" i="10"/>
  <c r="O141" i="10"/>
  <c r="W141" i="10" s="1"/>
  <c r="W20" i="11"/>
  <c r="V19" i="11"/>
  <c r="V78" i="11"/>
  <c r="W8" i="11"/>
  <c r="U132" i="11"/>
  <c r="U134" i="11" s="1"/>
  <c r="U135" i="11"/>
  <c r="M124" i="11"/>
  <c r="M127" i="11" s="1"/>
  <c r="L67" i="12"/>
  <c r="L39" i="12"/>
  <c r="L82" i="12"/>
  <c r="V129" i="12"/>
  <c r="V131" i="12" s="1"/>
  <c r="V132" i="12" s="1"/>
  <c r="W13" i="10"/>
  <c r="Q40" i="10"/>
  <c r="Q51" i="10" s="1"/>
  <c r="R41" i="10"/>
  <c r="S42" i="10"/>
  <c r="W42" i="10" s="1"/>
  <c r="X42" i="10" s="1"/>
  <c r="T43" i="10"/>
  <c r="U44" i="10"/>
  <c r="V45" i="10"/>
  <c r="K50" i="10"/>
  <c r="T68" i="10"/>
  <c r="L70" i="10"/>
  <c r="Q71" i="10"/>
  <c r="N74" i="10"/>
  <c r="M77" i="10"/>
  <c r="R78" i="10"/>
  <c r="K85" i="10"/>
  <c r="S88" i="10"/>
  <c r="V90" i="10"/>
  <c r="W105" i="10"/>
  <c r="K127" i="10"/>
  <c r="K130" i="10" s="1"/>
  <c r="V64" i="11"/>
  <c r="T125" i="11"/>
  <c r="N129" i="11"/>
  <c r="S129" i="11"/>
  <c r="S137" i="11"/>
  <c r="S139" i="11" s="1"/>
  <c r="W50" i="12"/>
  <c r="R40" i="10"/>
  <c r="R51" i="10" s="1"/>
  <c r="S41" i="10"/>
  <c r="T42" i="10"/>
  <c r="U43" i="10"/>
  <c r="W64" i="10"/>
  <c r="U68" i="10"/>
  <c r="M70" i="10"/>
  <c r="R71" i="10"/>
  <c r="Q74" i="10"/>
  <c r="S78" i="10"/>
  <c r="K84" i="10"/>
  <c r="L85" i="10"/>
  <c r="T88" i="10"/>
  <c r="V89" i="10"/>
  <c r="L127" i="10"/>
  <c r="L130" i="10" s="1"/>
  <c r="Q131" i="10"/>
  <c r="Q141" i="10" s="1"/>
  <c r="AH6" i="11"/>
  <c r="V74" i="12"/>
  <c r="V89" i="12"/>
  <c r="V49" i="11"/>
  <c r="W129" i="9"/>
  <c r="W8" i="10"/>
  <c r="W14" i="10"/>
  <c r="P17" i="10"/>
  <c r="S40" i="10"/>
  <c r="T41" i="10"/>
  <c r="U42" i="10"/>
  <c r="V43" i="10"/>
  <c r="K48" i="10"/>
  <c r="V68" i="10"/>
  <c r="N70" i="10"/>
  <c r="S71" i="10"/>
  <c r="K73" i="10"/>
  <c r="O77" i="10"/>
  <c r="T78" i="10"/>
  <c r="K83" i="10"/>
  <c r="L84" i="10"/>
  <c r="M85" i="10"/>
  <c r="U88" i="10"/>
  <c r="U94" i="10" s="1"/>
  <c r="K91" i="10"/>
  <c r="O92" i="10"/>
  <c r="W98" i="10"/>
  <c r="M127" i="10"/>
  <c r="M130" i="10" s="1"/>
  <c r="W119" i="10"/>
  <c r="W123" i="10"/>
  <c r="N88" i="11"/>
  <c r="W88" i="11" s="1"/>
  <c r="N73" i="11"/>
  <c r="W12" i="11"/>
  <c r="N45" i="11"/>
  <c r="T91" i="11"/>
  <c r="T48" i="11"/>
  <c r="T76" i="11"/>
  <c r="T111" i="11"/>
  <c r="T113" i="11" s="1"/>
  <c r="P129" i="11"/>
  <c r="W15" i="12"/>
  <c r="V46" i="12"/>
  <c r="O89" i="10"/>
  <c r="W89" i="10" s="1"/>
  <c r="O74" i="10"/>
  <c r="Q17" i="10"/>
  <c r="T40" i="10"/>
  <c r="V42" i="10"/>
  <c r="K47" i="10"/>
  <c r="L48" i="10"/>
  <c r="O70" i="10"/>
  <c r="T71" i="10"/>
  <c r="N73" i="10"/>
  <c r="U78" i="10"/>
  <c r="L83" i="10"/>
  <c r="M84" i="10"/>
  <c r="V88" i="10"/>
  <c r="L91" i="10"/>
  <c r="V93" i="10"/>
  <c r="O109" i="10"/>
  <c r="O112" i="10" s="1"/>
  <c r="N127" i="10"/>
  <c r="N130" i="10" s="1"/>
  <c r="W7" i="11"/>
  <c r="K71" i="11"/>
  <c r="W10" i="11"/>
  <c r="K86" i="11"/>
  <c r="K43" i="11"/>
  <c r="O88" i="11"/>
  <c r="O73" i="11"/>
  <c r="O45" i="11"/>
  <c r="U91" i="11"/>
  <c r="U48" i="11"/>
  <c r="U76" i="11"/>
  <c r="U30" i="11"/>
  <c r="AF11" i="11"/>
  <c r="AE11" i="11" s="1"/>
  <c r="AH11" i="11" s="1"/>
  <c r="W26" i="11"/>
  <c r="X26" i="11" s="1"/>
  <c r="Y26" i="11" s="1"/>
  <c r="L47" i="10"/>
  <c r="K69" i="10"/>
  <c r="U71" i="10"/>
  <c r="V78" i="10"/>
  <c r="N84" i="10"/>
  <c r="W97" i="10"/>
  <c r="K109" i="10"/>
  <c r="L106" i="10"/>
  <c r="X105" i="10" s="1"/>
  <c r="K17" i="11"/>
  <c r="K67" i="11"/>
  <c r="K39" i="11"/>
  <c r="K82" i="11"/>
  <c r="W6" i="11"/>
  <c r="L40" i="11"/>
  <c r="L83" i="11"/>
  <c r="L68" i="11"/>
  <c r="S39" i="11"/>
  <c r="S50" i="11" s="1"/>
  <c r="M105" i="11"/>
  <c r="M108" i="11"/>
  <c r="R129" i="11"/>
  <c r="L137" i="11"/>
  <c r="L139" i="11" s="1"/>
  <c r="L129" i="11"/>
  <c r="L16" i="12"/>
  <c r="L79" i="12"/>
  <c r="L90" i="12" s="1"/>
  <c r="L64" i="12"/>
  <c r="L36" i="12"/>
  <c r="Y36" i="12" s="1"/>
  <c r="W6" i="12"/>
  <c r="M80" i="12"/>
  <c r="M90" i="12" s="1"/>
  <c r="M37" i="12"/>
  <c r="Y37" i="12" s="1"/>
  <c r="T75" i="12"/>
  <c r="T26" i="12"/>
  <c r="T88" i="12"/>
  <c r="T73" i="12"/>
  <c r="T45" i="12"/>
  <c r="W14" i="12"/>
  <c r="P84" i="10"/>
  <c r="P69" i="10"/>
  <c r="S17" i="10"/>
  <c r="V40" i="10"/>
  <c r="L69" i="10"/>
  <c r="Q84" i="10"/>
  <c r="N106" i="10"/>
  <c r="P132" i="10"/>
  <c r="L17" i="11"/>
  <c r="M40" i="11"/>
  <c r="M83" i="11"/>
  <c r="M68" i="11"/>
  <c r="K132" i="11"/>
  <c r="N105" i="11"/>
  <c r="N108" i="11"/>
  <c r="N111" i="11" s="1"/>
  <c r="W99" i="11"/>
  <c r="M110" i="11"/>
  <c r="W110" i="11" s="1"/>
  <c r="W104" i="11"/>
  <c r="M16" i="12"/>
  <c r="M64" i="12"/>
  <c r="M36" i="12"/>
  <c r="T17" i="10"/>
  <c r="L45" i="10"/>
  <c r="Y45" i="10" s="1"/>
  <c r="M46" i="10"/>
  <c r="Y46" i="10" s="1"/>
  <c r="N47" i="10"/>
  <c r="L72" i="10"/>
  <c r="S77" i="10"/>
  <c r="R84" i="10"/>
  <c r="S85" i="10"/>
  <c r="S94" i="10" s="1"/>
  <c r="O91" i="10"/>
  <c r="U92" i="10"/>
  <c r="M109" i="10"/>
  <c r="M112" i="10" s="1"/>
  <c r="M106" i="10"/>
  <c r="M17" i="11"/>
  <c r="N40" i="11"/>
  <c r="N83" i="11"/>
  <c r="N68" i="11"/>
  <c r="L132" i="11"/>
  <c r="L134" i="11" s="1"/>
  <c r="L135" i="11" s="1"/>
  <c r="T137" i="11"/>
  <c r="T139" i="11" s="1"/>
  <c r="T129" i="11"/>
  <c r="U17" i="10"/>
  <c r="K43" i="10"/>
  <c r="U70" i="10"/>
  <c r="M72" i="10"/>
  <c r="T77" i="10"/>
  <c r="S84" i="10"/>
  <c r="T85" i="10"/>
  <c r="T94" i="10" s="1"/>
  <c r="K90" i="10"/>
  <c r="V92" i="10"/>
  <c r="P106" i="10"/>
  <c r="S109" i="10"/>
  <c r="S112" i="10" s="1"/>
  <c r="R127" i="10"/>
  <c r="R130" i="10" s="1"/>
  <c r="O84" i="11"/>
  <c r="O41" i="11"/>
  <c r="O69" i="11"/>
  <c r="V75" i="11"/>
  <c r="V47" i="11"/>
  <c r="V90" i="11"/>
  <c r="M64" i="11"/>
  <c r="Q64" i="11"/>
  <c r="V129" i="11"/>
  <c r="X20" i="12"/>
  <c r="Y20" i="12" s="1"/>
  <c r="W9" i="10"/>
  <c r="N45" i="10"/>
  <c r="O46" i="10"/>
  <c r="Q48" i="10"/>
  <c r="R49" i="10"/>
  <c r="O69" i="10"/>
  <c r="V70" i="10"/>
  <c r="N72" i="10"/>
  <c r="V86" i="10"/>
  <c r="V94" i="10" s="1"/>
  <c r="L90" i="10"/>
  <c r="S91" i="10"/>
  <c r="U106" i="10"/>
  <c r="S127" i="10"/>
  <c r="S130" i="10" s="1"/>
  <c r="P85" i="11"/>
  <c r="W85" i="11" s="1"/>
  <c r="P42" i="11"/>
  <c r="P70" i="11"/>
  <c r="W14" i="11"/>
  <c r="W53" i="11"/>
  <c r="N64" i="11"/>
  <c r="Q111" i="11"/>
  <c r="M43" i="10"/>
  <c r="P46" i="10"/>
  <c r="S49" i="10"/>
  <c r="T50" i="10"/>
  <c r="K68" i="10"/>
  <c r="O72" i="10"/>
  <c r="Q76" i="10"/>
  <c r="T127" i="10"/>
  <c r="T130" i="10" s="1"/>
  <c r="V141" i="10"/>
  <c r="Q42" i="11"/>
  <c r="Q70" i="11"/>
  <c r="Q85" i="11"/>
  <c r="W33" i="11"/>
  <c r="X27" i="11"/>
  <c r="Y27" i="11" s="1"/>
  <c r="N43" i="10"/>
  <c r="O44" i="10"/>
  <c r="Y44" i="10" s="1"/>
  <c r="U50" i="10"/>
  <c r="P72" i="10"/>
  <c r="M75" i="10"/>
  <c r="U91" i="10"/>
  <c r="K93" i="10"/>
  <c r="Q106" i="10"/>
  <c r="U127" i="10"/>
  <c r="U130" i="10" s="1"/>
  <c r="W125" i="10"/>
  <c r="Q93" i="11"/>
  <c r="R42" i="11"/>
  <c r="R70" i="11"/>
  <c r="W60" i="11"/>
  <c r="W74" i="11" s="1"/>
  <c r="S111" i="11"/>
  <c r="S113" i="11" s="1"/>
  <c r="J15" i="13"/>
  <c r="AA14" i="13"/>
  <c r="N17" i="11"/>
  <c r="Q39" i="11"/>
  <c r="R40" i="11"/>
  <c r="S41" i="11"/>
  <c r="T42" i="11"/>
  <c r="U43" i="11"/>
  <c r="V44" i="11"/>
  <c r="K49" i="11"/>
  <c r="Q67" i="11"/>
  <c r="M71" i="11"/>
  <c r="P72" i="11"/>
  <c r="S73" i="11"/>
  <c r="V74" i="11"/>
  <c r="L76" i="11"/>
  <c r="O77" i="11"/>
  <c r="S83" i="11"/>
  <c r="R84" i="11"/>
  <c r="W84" i="11" s="1"/>
  <c r="R87" i="11"/>
  <c r="Q88" i="11"/>
  <c r="P89" i="11"/>
  <c r="S90" i="11"/>
  <c r="W90" i="11" s="1"/>
  <c r="V91" i="11"/>
  <c r="L111" i="11"/>
  <c r="X104" i="11"/>
  <c r="Q105" i="11"/>
  <c r="W119" i="11"/>
  <c r="K65" i="12"/>
  <c r="AH7" i="12"/>
  <c r="AE8" i="12"/>
  <c r="P85" i="12"/>
  <c r="P70" i="12"/>
  <c r="U74" i="12"/>
  <c r="U89" i="12"/>
  <c r="U46" i="12"/>
  <c r="U61" i="12"/>
  <c r="W135" i="12"/>
  <c r="M89" i="13"/>
  <c r="Q17" i="11"/>
  <c r="K46" i="11"/>
  <c r="M48" i="11"/>
  <c r="Y48" i="11" s="1"/>
  <c r="M70" i="11"/>
  <c r="P71" i="11"/>
  <c r="S72" i="11"/>
  <c r="V73" i="11"/>
  <c r="L75" i="11"/>
  <c r="O76" i="11"/>
  <c r="V83" i="11"/>
  <c r="V93" i="11" s="1"/>
  <c r="U84" i="11"/>
  <c r="T85" i="11"/>
  <c r="V86" i="11"/>
  <c r="S89" i="11"/>
  <c r="K92" i="11"/>
  <c r="O105" i="11"/>
  <c r="V108" i="11"/>
  <c r="V111" i="11" s="1"/>
  <c r="V113" i="11" s="1"/>
  <c r="N16" i="12"/>
  <c r="N64" i="12"/>
  <c r="N36" i="12"/>
  <c r="M66" i="12"/>
  <c r="M67" i="12"/>
  <c r="M82" i="12"/>
  <c r="O69" i="12"/>
  <c r="O84" i="12"/>
  <c r="Q75" i="12"/>
  <c r="N79" i="12"/>
  <c r="AB10" i="13"/>
  <c r="Y10" i="13"/>
  <c r="Z10" i="13" s="1"/>
  <c r="K61" i="13"/>
  <c r="K15" i="13"/>
  <c r="K24" i="13"/>
  <c r="K25" i="13"/>
  <c r="L87" i="13"/>
  <c r="W87" i="13" s="1"/>
  <c r="W11" i="11"/>
  <c r="W15" i="11"/>
  <c r="U39" i="11"/>
  <c r="V40" i="11"/>
  <c r="K45" i="11"/>
  <c r="L46" i="11"/>
  <c r="M47" i="11"/>
  <c r="N48" i="11"/>
  <c r="W48" i="11" s="1"/>
  <c r="X48" i="11" s="1"/>
  <c r="O49" i="11"/>
  <c r="U67" i="11"/>
  <c r="K69" i="11"/>
  <c r="N70" i="11"/>
  <c r="Q71" i="11"/>
  <c r="M75" i="11"/>
  <c r="P76" i="11"/>
  <c r="U85" i="11"/>
  <c r="V87" i="11"/>
  <c r="U88" i="11"/>
  <c r="T89" i="11"/>
  <c r="L92" i="11"/>
  <c r="K109" i="11"/>
  <c r="W109" i="11" s="1"/>
  <c r="K128" i="11"/>
  <c r="O16" i="12"/>
  <c r="O64" i="12"/>
  <c r="O36" i="12"/>
  <c r="N66" i="12"/>
  <c r="N67" i="12"/>
  <c r="P69" i="12"/>
  <c r="P84" i="12"/>
  <c r="W72" i="12"/>
  <c r="AB13" i="12"/>
  <c r="R16" i="12"/>
  <c r="O79" i="12"/>
  <c r="P57" i="13"/>
  <c r="P68" i="13"/>
  <c r="P37" i="13"/>
  <c r="Y37" i="13" s="1"/>
  <c r="W7" i="13"/>
  <c r="P14" i="13"/>
  <c r="AF10" i="11"/>
  <c r="AE10" i="11" s="1"/>
  <c r="V39" i="11"/>
  <c r="K44" i="11"/>
  <c r="L45" i="11"/>
  <c r="M46" i="11"/>
  <c r="N47" i="11"/>
  <c r="W47" i="11" s="1"/>
  <c r="X47" i="11" s="1"/>
  <c r="O48" i="11"/>
  <c r="P49" i="11"/>
  <c r="V67" i="11"/>
  <c r="L69" i="11"/>
  <c r="O70" i="11"/>
  <c r="R71" i="11"/>
  <c r="K74" i="11"/>
  <c r="N75" i="11"/>
  <c r="Q76" i="11"/>
  <c r="T77" i="11"/>
  <c r="V85" i="11"/>
  <c r="V88" i="11"/>
  <c r="U89" i="11"/>
  <c r="M92" i="11"/>
  <c r="L138" i="11"/>
  <c r="P16" i="12"/>
  <c r="O67" i="12"/>
  <c r="Q69" i="12"/>
  <c r="Q84" i="12"/>
  <c r="Q26" i="12"/>
  <c r="W59" i="12"/>
  <c r="Q57" i="13"/>
  <c r="Q68" i="13"/>
  <c r="Q37" i="13"/>
  <c r="W16" i="11"/>
  <c r="W25" i="11"/>
  <c r="L44" i="11"/>
  <c r="M45" i="11"/>
  <c r="N46" i="11"/>
  <c r="O47" i="11"/>
  <c r="P48" i="11"/>
  <c r="Q49" i="11"/>
  <c r="M69" i="11"/>
  <c r="L74" i="11"/>
  <c r="O75" i="11"/>
  <c r="R76" i="11"/>
  <c r="U77" i="11"/>
  <c r="V89" i="11"/>
  <c r="K91" i="11"/>
  <c r="N92" i="11"/>
  <c r="R105" i="11"/>
  <c r="W123" i="11"/>
  <c r="P81" i="12"/>
  <c r="P38" i="12"/>
  <c r="R69" i="12"/>
  <c r="R84" i="12"/>
  <c r="R41" i="12"/>
  <c r="K61" i="12"/>
  <c r="U105" i="12"/>
  <c r="U108" i="12" s="1"/>
  <c r="U110" i="12" s="1"/>
  <c r="R57" i="13"/>
  <c r="R68" i="13"/>
  <c r="R37" i="13"/>
  <c r="Q72" i="13"/>
  <c r="K42" i="11"/>
  <c r="L43" i="11"/>
  <c r="M44" i="11"/>
  <c r="O46" i="11"/>
  <c r="P47" i="11"/>
  <c r="Q48" i="11"/>
  <c r="K68" i="11"/>
  <c r="N69" i="11"/>
  <c r="T71" i="11"/>
  <c r="M74" i="11"/>
  <c r="P75" i="11"/>
  <c r="S76" i="11"/>
  <c r="V77" i="11"/>
  <c r="Q81" i="12"/>
  <c r="Q38" i="12"/>
  <c r="Q67" i="12"/>
  <c r="J17" i="12"/>
  <c r="J87" i="12"/>
  <c r="P42" i="12"/>
  <c r="L61" i="12"/>
  <c r="W54" i="12"/>
  <c r="R72" i="13"/>
  <c r="S83" i="17"/>
  <c r="S91" i="17"/>
  <c r="S93" i="17" s="1"/>
  <c r="W9" i="11"/>
  <c r="K41" i="11"/>
  <c r="L42" i="11"/>
  <c r="M43" i="11"/>
  <c r="N44" i="11"/>
  <c r="P46" i="11"/>
  <c r="Q47" i="11"/>
  <c r="R48" i="11"/>
  <c r="K73" i="11"/>
  <c r="N74" i="11"/>
  <c r="Q75" i="11"/>
  <c r="L82" i="11"/>
  <c r="K83" i="11"/>
  <c r="W117" i="11"/>
  <c r="S64" i="12"/>
  <c r="S36" i="12"/>
  <c r="S79" i="12"/>
  <c r="R81" i="12"/>
  <c r="R38" i="12"/>
  <c r="K71" i="12"/>
  <c r="W12" i="12"/>
  <c r="K43" i="12"/>
  <c r="Q42" i="12"/>
  <c r="M61" i="12"/>
  <c r="W97" i="12"/>
  <c r="K40" i="11"/>
  <c r="L41" i="11"/>
  <c r="M42" i="11"/>
  <c r="O44" i="11"/>
  <c r="P45" i="11"/>
  <c r="Q46" i="11"/>
  <c r="R47" i="11"/>
  <c r="T49" i="11"/>
  <c r="P69" i="11"/>
  <c r="S70" i="11"/>
  <c r="V71" i="11"/>
  <c r="L73" i="11"/>
  <c r="O74" i="11"/>
  <c r="R75" i="11"/>
  <c r="M82" i="11"/>
  <c r="L86" i="11"/>
  <c r="K87" i="11"/>
  <c r="S81" i="12"/>
  <c r="S38" i="12"/>
  <c r="Y38" i="12" s="1"/>
  <c r="S66" i="12"/>
  <c r="R68" i="12"/>
  <c r="U69" i="12"/>
  <c r="L71" i="12"/>
  <c r="L43" i="12"/>
  <c r="L86" i="12"/>
  <c r="M39" i="12"/>
  <c r="U45" i="12"/>
  <c r="N61" i="12"/>
  <c r="W58" i="12"/>
  <c r="W107" i="12"/>
  <c r="P134" i="12"/>
  <c r="P136" i="12" s="1"/>
  <c r="P126" i="12"/>
  <c r="M41" i="11"/>
  <c r="N42" i="11"/>
  <c r="P44" i="11"/>
  <c r="R46" i="11"/>
  <c r="Q69" i="11"/>
  <c r="M73" i="11"/>
  <c r="V76" i="11"/>
  <c r="N82" i="11"/>
  <c r="L87" i="11"/>
  <c r="M71" i="12"/>
  <c r="M43" i="12"/>
  <c r="M86" i="12"/>
  <c r="K27" i="12"/>
  <c r="AG9" i="12"/>
  <c r="AE9" i="12" s="1"/>
  <c r="W24" i="12"/>
  <c r="X24" i="12" s="1"/>
  <c r="Y24" i="12" s="1"/>
  <c r="O129" i="12"/>
  <c r="O131" i="12" s="1"/>
  <c r="O132" i="12" s="1"/>
  <c r="Q126" i="12"/>
  <c r="S34" i="13"/>
  <c r="S54" i="13"/>
  <c r="S14" i="13"/>
  <c r="S65" i="13"/>
  <c r="T109" i="15"/>
  <c r="T111" i="15" s="1"/>
  <c r="T101" i="15"/>
  <c r="L39" i="11"/>
  <c r="L50" i="11" s="1"/>
  <c r="N41" i="11"/>
  <c r="O42" i="11"/>
  <c r="Q44" i="11"/>
  <c r="S46" i="11"/>
  <c r="T47" i="11"/>
  <c r="L67" i="11"/>
  <c r="O68" i="11"/>
  <c r="R69" i="11"/>
  <c r="O82" i="11"/>
  <c r="O93" i="11" s="1"/>
  <c r="M87" i="11"/>
  <c r="K89" i="11"/>
  <c r="U96" i="11"/>
  <c r="U118" i="11"/>
  <c r="U128" i="11" s="1"/>
  <c r="U138" i="11" s="1"/>
  <c r="V64" i="12"/>
  <c r="V37" i="12"/>
  <c r="V80" i="12"/>
  <c r="V65" i="12"/>
  <c r="T68" i="12"/>
  <c r="T83" i="12"/>
  <c r="T40" i="12"/>
  <c r="AF6" i="12"/>
  <c r="T27" i="12"/>
  <c r="P132" i="12"/>
  <c r="P129" i="12"/>
  <c r="P131" i="12" s="1"/>
  <c r="W53" i="12"/>
  <c r="U73" i="12"/>
  <c r="W85" i="12"/>
  <c r="U122" i="12"/>
  <c r="W114" i="12"/>
  <c r="W20" i="13"/>
  <c r="AF5" i="13"/>
  <c r="R107" i="13"/>
  <c r="R115" i="13"/>
  <c r="R117" i="13" s="1"/>
  <c r="M39" i="11"/>
  <c r="Q43" i="11"/>
  <c r="T46" i="11"/>
  <c r="U47" i="11"/>
  <c r="M67" i="11"/>
  <c r="P68" i="11"/>
  <c r="P82" i="11"/>
  <c r="N87" i="11"/>
  <c r="W98" i="11"/>
  <c r="O124" i="11"/>
  <c r="O127" i="11" s="1"/>
  <c r="U83" i="12"/>
  <c r="U40" i="12"/>
  <c r="U68" i="12"/>
  <c r="Q61" i="12"/>
  <c r="V102" i="12"/>
  <c r="S134" i="12"/>
  <c r="S136" i="12" s="1"/>
  <c r="S126" i="12"/>
  <c r="W115" i="12"/>
  <c r="S115" i="13"/>
  <c r="S117" i="13" s="1"/>
  <c r="S107" i="13"/>
  <c r="N39" i="11"/>
  <c r="P41" i="11"/>
  <c r="R43" i="11"/>
  <c r="U46" i="11"/>
  <c r="Q68" i="11"/>
  <c r="P73" i="11"/>
  <c r="P83" i="11"/>
  <c r="O87" i="11"/>
  <c r="L105" i="11"/>
  <c r="X100" i="11" s="1"/>
  <c r="W120" i="11"/>
  <c r="U124" i="11"/>
  <c r="U127" i="11" s="1"/>
  <c r="AB7" i="12"/>
  <c r="V83" i="12"/>
  <c r="V40" i="12"/>
  <c r="M42" i="12"/>
  <c r="Y42" i="12" s="1"/>
  <c r="M85" i="12"/>
  <c r="R132" i="12"/>
  <c r="R129" i="12"/>
  <c r="R131" i="12" s="1"/>
  <c r="T89" i="12"/>
  <c r="W89" i="12" s="1"/>
  <c r="T126" i="12"/>
  <c r="O39" i="11"/>
  <c r="Q41" i="11"/>
  <c r="R68" i="11"/>
  <c r="Q83" i="11"/>
  <c r="O108" i="11"/>
  <c r="O111" i="11" s="1"/>
  <c r="Q124" i="11"/>
  <c r="Q127" i="11" s="1"/>
  <c r="AH5" i="12"/>
  <c r="W9" i="12"/>
  <c r="N42" i="12"/>
  <c r="N85" i="12"/>
  <c r="W22" i="12"/>
  <c r="X22" i="12" s="1"/>
  <c r="Y22" i="12" s="1"/>
  <c r="S129" i="12"/>
  <c r="S131" i="12" s="1"/>
  <c r="S132" i="12"/>
  <c r="U126" i="12"/>
  <c r="P39" i="11"/>
  <c r="K105" i="11"/>
  <c r="P105" i="11"/>
  <c r="O85" i="12"/>
  <c r="O70" i="12"/>
  <c r="T46" i="12"/>
  <c r="T129" i="12"/>
  <c r="T131" i="12" s="1"/>
  <c r="T132" i="12" s="1"/>
  <c r="W52" i="12"/>
  <c r="W66" i="12" s="1"/>
  <c r="K86" i="12"/>
  <c r="K90" i="12" s="1"/>
  <c r="K80" i="12"/>
  <c r="K83" i="12"/>
  <c r="L25" i="13"/>
  <c r="M51" i="13"/>
  <c r="M61" i="13" s="1"/>
  <c r="M54" i="13"/>
  <c r="K84" i="13"/>
  <c r="O115" i="13"/>
  <c r="O117" i="13" s="1"/>
  <c r="O107" i="13"/>
  <c r="K112" i="13"/>
  <c r="W110" i="13"/>
  <c r="L12" i="15"/>
  <c r="L18" i="15"/>
  <c r="M83" i="17"/>
  <c r="M91" i="17"/>
  <c r="M93" i="17" s="1"/>
  <c r="U16" i="12"/>
  <c r="O38" i="12"/>
  <c r="W38" i="12" s="1"/>
  <c r="X38" i="12" s="1"/>
  <c r="P39" i="12"/>
  <c r="Q40" i="12"/>
  <c r="Y40" i="12" s="1"/>
  <c r="S42" i="12"/>
  <c r="T43" i="12"/>
  <c r="U44" i="12"/>
  <c r="P65" i="12"/>
  <c r="V67" i="12"/>
  <c r="L69" i="12"/>
  <c r="R71" i="12"/>
  <c r="U72" i="12"/>
  <c r="K74" i="12"/>
  <c r="P79" i="12"/>
  <c r="O80" i="12"/>
  <c r="N81" i="12"/>
  <c r="W81" i="12" s="1"/>
  <c r="O83" i="12"/>
  <c r="N84" i="12"/>
  <c r="O87" i="12"/>
  <c r="W87" i="12" s="1"/>
  <c r="R88" i="12"/>
  <c r="W88" i="12" s="1"/>
  <c r="W96" i="12"/>
  <c r="V121" i="12"/>
  <c r="V124" i="12" s="1"/>
  <c r="R121" i="12"/>
  <c r="R124" i="12" s="1"/>
  <c r="T54" i="13"/>
  <c r="T14" i="13"/>
  <c r="T65" i="13"/>
  <c r="S57" i="13"/>
  <c r="S68" i="13"/>
  <c r="S37" i="13"/>
  <c r="L14" i="13"/>
  <c r="AG3" i="13" s="1"/>
  <c r="AE3" i="13" s="1"/>
  <c r="P25" i="13"/>
  <c r="X22" i="13"/>
  <c r="Y22" i="13" s="1"/>
  <c r="N89" i="13"/>
  <c r="F34" i="23"/>
  <c r="F27" i="23"/>
  <c r="V16" i="12"/>
  <c r="Q39" i="12"/>
  <c r="R40" i="12"/>
  <c r="T42" i="12"/>
  <c r="U43" i="12"/>
  <c r="V44" i="12"/>
  <c r="Q65" i="12"/>
  <c r="T66" i="12"/>
  <c r="M69" i="12"/>
  <c r="S71" i="12"/>
  <c r="V72" i="12"/>
  <c r="L74" i="12"/>
  <c r="Q79" i="12"/>
  <c r="P80" i="12"/>
  <c r="N82" i="12"/>
  <c r="P83" i="12"/>
  <c r="P87" i="12"/>
  <c r="S88" i="12"/>
  <c r="U54" i="13"/>
  <c r="U14" i="13"/>
  <c r="U25" i="13" s="1"/>
  <c r="U65" i="13"/>
  <c r="U72" i="13" s="1"/>
  <c r="X4" i="13"/>
  <c r="M15" i="13"/>
  <c r="M25" i="13"/>
  <c r="M24" i="13"/>
  <c r="K86" i="13"/>
  <c r="W75" i="13"/>
  <c r="T65" i="15"/>
  <c r="T54" i="15"/>
  <c r="T34" i="15"/>
  <c r="T11" i="15"/>
  <c r="K81" i="15"/>
  <c r="W81" i="15" s="1"/>
  <c r="R39" i="12"/>
  <c r="S40" i="12"/>
  <c r="T41" i="12"/>
  <c r="Y41" i="12" s="1"/>
  <c r="U42" i="12"/>
  <c r="V43" i="12"/>
  <c r="R65" i="12"/>
  <c r="U66" i="12"/>
  <c r="K68" i="12"/>
  <c r="Q70" i="12"/>
  <c r="T71" i="12"/>
  <c r="M74" i="12"/>
  <c r="R79" i="12"/>
  <c r="Q80" i="12"/>
  <c r="O82" i="12"/>
  <c r="Q83" i="12"/>
  <c r="W120" i="12"/>
  <c r="W130" i="12"/>
  <c r="V54" i="13"/>
  <c r="V14" i="13"/>
  <c r="V65" i="13"/>
  <c r="T34" i="13"/>
  <c r="W40" i="13"/>
  <c r="X40" i="13" s="1"/>
  <c r="L83" i="13"/>
  <c r="X75" i="13" s="1"/>
  <c r="U65" i="15"/>
  <c r="U54" i="15"/>
  <c r="U34" i="15"/>
  <c r="C44" i="20"/>
  <c r="C9" i="20"/>
  <c r="C10" i="20" s="1"/>
  <c r="P36" i="12"/>
  <c r="S39" i="12"/>
  <c r="V42" i="12"/>
  <c r="P64" i="12"/>
  <c r="S65" i="12"/>
  <c r="V66" i="12"/>
  <c r="L68" i="12"/>
  <c r="R70" i="12"/>
  <c r="U71" i="12"/>
  <c r="K73" i="12"/>
  <c r="N74" i="12"/>
  <c r="R80" i="12"/>
  <c r="P82" i="12"/>
  <c r="R83" i="12"/>
  <c r="O86" i="12"/>
  <c r="J90" i="12"/>
  <c r="Y90" i="12" s="1"/>
  <c r="K108" i="12"/>
  <c r="K102" i="12"/>
  <c r="AB6" i="13"/>
  <c r="M71" i="13"/>
  <c r="W13" i="13"/>
  <c r="M60" i="13"/>
  <c r="S25" i="13"/>
  <c r="U34" i="13"/>
  <c r="U41" i="13" s="1"/>
  <c r="V107" i="13"/>
  <c r="V54" i="15"/>
  <c r="V34" i="15"/>
  <c r="X10" i="15"/>
  <c r="V65" i="15"/>
  <c r="U63" i="20"/>
  <c r="U65" i="20" s="1"/>
  <c r="J33" i="20"/>
  <c r="W10" i="12"/>
  <c r="Q36" i="12"/>
  <c r="T39" i="12"/>
  <c r="V41" i="12"/>
  <c r="K46" i="12"/>
  <c r="T65" i="12"/>
  <c r="S70" i="12"/>
  <c r="V71" i="12"/>
  <c r="L73" i="12"/>
  <c r="O74" i="12"/>
  <c r="T79" i="12"/>
  <c r="S80" i="12"/>
  <c r="Q82" i="12"/>
  <c r="S83" i="12"/>
  <c r="L108" i="12"/>
  <c r="L102" i="12"/>
  <c r="X97" i="12" s="1"/>
  <c r="T110" i="12"/>
  <c r="T39" i="13"/>
  <c r="T70" i="13"/>
  <c r="T59" i="13"/>
  <c r="N71" i="13"/>
  <c r="N60" i="13"/>
  <c r="N40" i="13"/>
  <c r="V34" i="13"/>
  <c r="M40" i="13"/>
  <c r="Y40" i="13" s="1"/>
  <c r="U51" i="13"/>
  <c r="U64" i="15"/>
  <c r="U66" i="15" s="1"/>
  <c r="U53" i="15"/>
  <c r="U33" i="15"/>
  <c r="W10" i="15"/>
  <c r="K82" i="15"/>
  <c r="E184" i="21"/>
  <c r="R36" i="12"/>
  <c r="T38" i="12"/>
  <c r="U39" i="12"/>
  <c r="K45" i="12"/>
  <c r="U65" i="12"/>
  <c r="T70" i="12"/>
  <c r="M73" i="12"/>
  <c r="P74" i="12"/>
  <c r="U79" i="12"/>
  <c r="T80" i="12"/>
  <c r="S84" i="12"/>
  <c r="W84" i="12" s="1"/>
  <c r="M102" i="12"/>
  <c r="K121" i="12"/>
  <c r="K124" i="12" s="1"/>
  <c r="Y6" i="13"/>
  <c r="Z6" i="13" s="1"/>
  <c r="U59" i="13"/>
  <c r="U39" i="13"/>
  <c r="U70" i="13"/>
  <c r="X9" i="13"/>
  <c r="W12" i="13"/>
  <c r="AB12" i="13" s="1"/>
  <c r="O71" i="13"/>
  <c r="O60" i="13"/>
  <c r="O40" i="13"/>
  <c r="V51" i="13"/>
  <c r="O89" i="13"/>
  <c r="V64" i="15"/>
  <c r="V53" i="15"/>
  <c r="V33" i="15"/>
  <c r="X9" i="15"/>
  <c r="Q48" i="17"/>
  <c r="Q38" i="17"/>
  <c r="G184" i="21"/>
  <c r="W11" i="12"/>
  <c r="K16" i="12"/>
  <c r="J28" i="12"/>
  <c r="J29" i="12" s="1"/>
  <c r="U38" i="12"/>
  <c r="V39" i="12"/>
  <c r="K44" i="12"/>
  <c r="L45" i="12"/>
  <c r="M46" i="12"/>
  <c r="U70" i="12"/>
  <c r="V79" i="12"/>
  <c r="U80" i="12"/>
  <c r="T84" i="12"/>
  <c r="N105" i="12"/>
  <c r="N102" i="12"/>
  <c r="W101" i="12"/>
  <c r="O102" i="12"/>
  <c r="L121" i="12"/>
  <c r="L124" i="12" s="1"/>
  <c r="W119" i="12"/>
  <c r="J72" i="13"/>
  <c r="Y72" i="13" s="1"/>
  <c r="Y65" i="13"/>
  <c r="V39" i="13"/>
  <c r="W39" i="13" s="1"/>
  <c r="X39" i="13" s="1"/>
  <c r="V70" i="13"/>
  <c r="V59" i="13"/>
  <c r="P71" i="13"/>
  <c r="P60" i="13"/>
  <c r="P40" i="13"/>
  <c r="V25" i="13"/>
  <c r="K51" i="13"/>
  <c r="W78" i="13"/>
  <c r="W9" i="15"/>
  <c r="AE4" i="12"/>
  <c r="W5" i="12"/>
  <c r="T36" i="12"/>
  <c r="V38" i="12"/>
  <c r="L44" i="12"/>
  <c r="V70" i="12"/>
  <c r="O73" i="12"/>
  <c r="R74" i="12"/>
  <c r="U84" i="12"/>
  <c r="M121" i="12"/>
  <c r="M124" i="12" s="1"/>
  <c r="W65" i="13"/>
  <c r="W9" i="13"/>
  <c r="W11" i="13"/>
  <c r="W23" i="13"/>
  <c r="W50" i="13"/>
  <c r="AB8" i="15"/>
  <c r="Y8" i="15"/>
  <c r="Z8" i="15" s="1"/>
  <c r="N85" i="15"/>
  <c r="N97" i="15"/>
  <c r="U36" i="12"/>
  <c r="O46" i="12"/>
  <c r="P73" i="12"/>
  <c r="V84" i="12"/>
  <c r="P105" i="12"/>
  <c r="P108" i="12" s="1"/>
  <c r="P102" i="12"/>
  <c r="W100" i="12"/>
  <c r="W102" i="12" s="1"/>
  <c r="N126" i="12"/>
  <c r="L72" i="13"/>
  <c r="L66" i="13"/>
  <c r="W66" i="13" s="1"/>
  <c r="W5" i="13"/>
  <c r="L35" i="13"/>
  <c r="L41" i="13" s="1"/>
  <c r="AH6" i="15"/>
  <c r="T66" i="15"/>
  <c r="V36" i="12"/>
  <c r="N44" i="12"/>
  <c r="Q73" i="12"/>
  <c r="V82" i="12"/>
  <c r="Q105" i="12"/>
  <c r="Q108" i="12" s="1"/>
  <c r="Q102" i="12"/>
  <c r="O121" i="12"/>
  <c r="O124" i="12" s="1"/>
  <c r="M66" i="13"/>
  <c r="M72" i="13" s="1"/>
  <c r="M35" i="13"/>
  <c r="K69" i="13"/>
  <c r="W8" i="13"/>
  <c r="W46" i="13"/>
  <c r="W56" i="13" s="1"/>
  <c r="W49" i="13"/>
  <c r="W15" i="15"/>
  <c r="W17" i="15"/>
  <c r="U19" i="15"/>
  <c r="AF7" i="15"/>
  <c r="AE7" i="15" s="1"/>
  <c r="P45" i="12"/>
  <c r="R105" i="12"/>
  <c r="R108" i="12" s="1"/>
  <c r="R102" i="12"/>
  <c r="W118" i="12"/>
  <c r="W125" i="12"/>
  <c r="N66" i="13"/>
  <c r="N35" i="13"/>
  <c r="N55" i="13"/>
  <c r="L58" i="13"/>
  <c r="L38" i="13"/>
  <c r="Y38" i="13" s="1"/>
  <c r="V36" i="13"/>
  <c r="W45" i="13"/>
  <c r="V67" i="13"/>
  <c r="W5" i="15"/>
  <c r="K60" i="15"/>
  <c r="K29" i="15"/>
  <c r="K35" i="13"/>
  <c r="V66" i="15"/>
  <c r="P44" i="12"/>
  <c r="R46" i="12"/>
  <c r="S105" i="12"/>
  <c r="S108" i="12" s="1"/>
  <c r="S102" i="12"/>
  <c r="O41" i="13"/>
  <c r="O66" i="13"/>
  <c r="O72" i="13" s="1"/>
  <c r="O35" i="13"/>
  <c r="O55" i="13"/>
  <c r="O14" i="13"/>
  <c r="O25" i="13" s="1"/>
  <c r="M69" i="13"/>
  <c r="M58" i="13"/>
  <c r="M38" i="13"/>
  <c r="W38" i="13" s="1"/>
  <c r="X38" i="13" s="1"/>
  <c r="AF6" i="13"/>
  <c r="W21" i="13"/>
  <c r="X21" i="13" s="1"/>
  <c r="Y21" i="13" s="1"/>
  <c r="L51" i="13"/>
  <c r="W44" i="13"/>
  <c r="L54" i="13"/>
  <c r="M115" i="13"/>
  <c r="M117" i="13" s="1"/>
  <c r="K28" i="15"/>
  <c r="K59" i="15"/>
  <c r="W4" i="15"/>
  <c r="K48" i="15"/>
  <c r="K34" i="13"/>
  <c r="K11" i="15"/>
  <c r="K19" i="15" s="1"/>
  <c r="L60" i="15"/>
  <c r="L29" i="15"/>
  <c r="W4" i="13"/>
  <c r="N58" i="13"/>
  <c r="N14" i="13"/>
  <c r="M39" i="13"/>
  <c r="S56" i="13"/>
  <c r="P69" i="13"/>
  <c r="P72" i="13" s="1"/>
  <c r="S70" i="13"/>
  <c r="W70" i="13" s="1"/>
  <c r="V71" i="13"/>
  <c r="M83" i="13"/>
  <c r="T102" i="13"/>
  <c r="T105" i="13" s="1"/>
  <c r="N11" i="15"/>
  <c r="N78" i="15" s="1"/>
  <c r="N28" i="15"/>
  <c r="N59" i="15"/>
  <c r="N66" i="15" s="1"/>
  <c r="N48" i="15"/>
  <c r="L51" i="15"/>
  <c r="L62" i="15"/>
  <c r="L31" i="15"/>
  <c r="Y31" i="15" s="1"/>
  <c r="X13" i="15"/>
  <c r="Y13" i="15" s="1"/>
  <c r="Q19" i="15"/>
  <c r="W38" i="15"/>
  <c r="K96" i="15"/>
  <c r="K99" i="15" s="1"/>
  <c r="K6" i="21"/>
  <c r="K7" i="21" s="1"/>
  <c r="K36" i="13"/>
  <c r="Q51" i="13"/>
  <c r="Q69" i="13"/>
  <c r="N83" i="13"/>
  <c r="P83" i="13"/>
  <c r="Q89" i="13"/>
  <c r="U102" i="13"/>
  <c r="U105" i="13" s="1"/>
  <c r="O11" i="15"/>
  <c r="O28" i="15"/>
  <c r="O59" i="15"/>
  <c r="O48" i="15"/>
  <c r="M50" i="15"/>
  <c r="M11" i="15"/>
  <c r="M19" i="15" s="1"/>
  <c r="M61" i="15"/>
  <c r="M66" i="15" s="1"/>
  <c r="M30" i="15"/>
  <c r="M51" i="15"/>
  <c r="M62" i="15"/>
  <c r="M31" i="15"/>
  <c r="L45" i="15"/>
  <c r="L55" i="15" s="1"/>
  <c r="Q47" i="17"/>
  <c r="U6" i="17"/>
  <c r="T81" i="17"/>
  <c r="V73" i="17"/>
  <c r="L6" i="21"/>
  <c r="L7" i="21" s="1"/>
  <c r="L36" i="13"/>
  <c r="K54" i="13"/>
  <c r="O58" i="13"/>
  <c r="O83" i="13"/>
  <c r="R83" i="13"/>
  <c r="R89" i="13"/>
  <c r="N102" i="13"/>
  <c r="N105" i="13" s="1"/>
  <c r="P28" i="15"/>
  <c r="P59" i="15"/>
  <c r="P48" i="15"/>
  <c r="N51" i="15"/>
  <c r="N62" i="15"/>
  <c r="N31" i="15"/>
  <c r="K52" i="15"/>
  <c r="K63" i="15"/>
  <c r="W14" i="15"/>
  <c r="L19" i="15"/>
  <c r="AG5" i="15"/>
  <c r="W42" i="15"/>
  <c r="W52" i="15" s="1"/>
  <c r="R47" i="17"/>
  <c r="T33" i="15"/>
  <c r="O33" i="17"/>
  <c r="O30" i="17"/>
  <c r="R59" i="17"/>
  <c r="R62" i="17"/>
  <c r="R65" i="17" s="1"/>
  <c r="R83" i="17"/>
  <c r="R91" i="17"/>
  <c r="R93" i="17" s="1"/>
  <c r="L83" i="17"/>
  <c r="L91" i="17"/>
  <c r="L93" i="17" s="1"/>
  <c r="V76" i="17"/>
  <c r="F140" i="20"/>
  <c r="E154" i="20"/>
  <c r="F154" i="20" s="1"/>
  <c r="AA9" i="13"/>
  <c r="Q14" i="13"/>
  <c r="M36" i="13"/>
  <c r="Q55" i="13"/>
  <c r="Q58" i="13"/>
  <c r="P89" i="13"/>
  <c r="S83" i="13"/>
  <c r="Q59" i="15"/>
  <c r="Q66" i="15" s="1"/>
  <c r="Q48" i="15"/>
  <c r="O62" i="15"/>
  <c r="O51" i="15"/>
  <c r="O31" i="15"/>
  <c r="P11" i="15"/>
  <c r="P19" i="15" s="1"/>
  <c r="O96" i="15"/>
  <c r="O99" i="15" s="1"/>
  <c r="R109" i="15"/>
  <c r="R111" i="15" s="1"/>
  <c r="R101" i="15"/>
  <c r="U3" i="17"/>
  <c r="P33" i="17"/>
  <c r="P30" i="17"/>
  <c r="AA4" i="13"/>
  <c r="X7" i="13"/>
  <c r="R14" i="13"/>
  <c r="R25" i="13" s="1"/>
  <c r="N36" i="13"/>
  <c r="P38" i="13"/>
  <c r="R40" i="13"/>
  <c r="R55" i="13"/>
  <c r="Q83" i="13"/>
  <c r="T83" i="13"/>
  <c r="T89" i="13"/>
  <c r="W101" i="13"/>
  <c r="R59" i="15"/>
  <c r="R66" i="15" s="1"/>
  <c r="R48" i="15"/>
  <c r="P51" i="15"/>
  <c r="P62" i="15"/>
  <c r="P31" i="15"/>
  <c r="Q11" i="15"/>
  <c r="O45" i="15"/>
  <c r="S96" i="15"/>
  <c r="S99" i="15" s="1"/>
  <c r="V3" i="17"/>
  <c r="T47" i="17"/>
  <c r="T37" i="17"/>
  <c r="V6" i="17"/>
  <c r="Q37" i="17"/>
  <c r="T65" i="17"/>
  <c r="V71" i="17"/>
  <c r="U55" i="13"/>
  <c r="M34" i="13"/>
  <c r="O36" i="13"/>
  <c r="S40" i="13"/>
  <c r="N54" i="13"/>
  <c r="S55" i="13"/>
  <c r="T58" i="13"/>
  <c r="L67" i="13"/>
  <c r="W67" i="13" s="1"/>
  <c r="U69" i="13"/>
  <c r="U83" i="13"/>
  <c r="R11" i="15"/>
  <c r="O19" i="15"/>
  <c r="P45" i="15"/>
  <c r="R77" i="15"/>
  <c r="X76" i="15" s="1"/>
  <c r="U2" i="17"/>
  <c r="I33" i="17"/>
  <c r="I43" i="17"/>
  <c r="I8" i="17"/>
  <c r="R37" i="17"/>
  <c r="K91" i="17"/>
  <c r="K93" i="17" s="1"/>
  <c r="K83" i="17"/>
  <c r="G212" i="21"/>
  <c r="G213" i="21"/>
  <c r="N34" i="13"/>
  <c r="P36" i="13"/>
  <c r="R38" i="13"/>
  <c r="S39" i="13"/>
  <c r="T40" i="13"/>
  <c r="O54" i="13"/>
  <c r="T55" i="13"/>
  <c r="U58" i="13"/>
  <c r="M67" i="13"/>
  <c r="V69" i="13"/>
  <c r="N116" i="13"/>
  <c r="W116" i="13" s="1"/>
  <c r="S49" i="15"/>
  <c r="R61" i="15"/>
  <c r="R30" i="15"/>
  <c r="S11" i="15"/>
  <c r="S19" i="15" s="1"/>
  <c r="N34" i="15"/>
  <c r="Q45" i="15"/>
  <c r="J33" i="17"/>
  <c r="J43" i="17"/>
  <c r="S37" i="17"/>
  <c r="K68" i="13"/>
  <c r="K57" i="13"/>
  <c r="X13" i="13"/>
  <c r="P35" i="13"/>
  <c r="P41" i="13" s="1"/>
  <c r="Q36" i="13"/>
  <c r="P54" i="13"/>
  <c r="V58" i="13"/>
  <c r="N67" i="13"/>
  <c r="N72" i="13" s="1"/>
  <c r="K102" i="13"/>
  <c r="K105" i="13" s="1"/>
  <c r="W95" i="13"/>
  <c r="T49" i="15"/>
  <c r="S30" i="15"/>
  <c r="S50" i="15"/>
  <c r="O53" i="15"/>
  <c r="S29" i="15"/>
  <c r="R45" i="15"/>
  <c r="K106" i="15"/>
  <c r="W104" i="15"/>
  <c r="K33" i="17"/>
  <c r="K43" i="17"/>
  <c r="K49" i="17" s="1"/>
  <c r="M28" i="15"/>
  <c r="M35" i="15" s="1"/>
  <c r="K8" i="17"/>
  <c r="X5" i="13"/>
  <c r="R36" i="13"/>
  <c r="R41" i="13" s="1"/>
  <c r="V40" i="13"/>
  <c r="K56" i="13"/>
  <c r="L102" i="13"/>
  <c r="L105" i="13" s="1"/>
  <c r="W100" i="13"/>
  <c r="U49" i="15"/>
  <c r="U11" i="15"/>
  <c r="T30" i="15"/>
  <c r="T50" i="15"/>
  <c r="P64" i="15"/>
  <c r="W64" i="15" s="1"/>
  <c r="P53" i="15"/>
  <c r="P33" i="15"/>
  <c r="S45" i="15"/>
  <c r="L33" i="17"/>
  <c r="L43" i="17"/>
  <c r="L8" i="17"/>
  <c r="M57" i="13"/>
  <c r="Q59" i="13"/>
  <c r="Q34" i="13"/>
  <c r="T37" i="13"/>
  <c r="W37" i="13" s="1"/>
  <c r="X37" i="13" s="1"/>
  <c r="K59" i="13"/>
  <c r="Q60" i="13"/>
  <c r="T68" i="13"/>
  <c r="V83" i="13"/>
  <c r="W111" i="13"/>
  <c r="R52" i="15"/>
  <c r="R63" i="15"/>
  <c r="R32" i="15"/>
  <c r="K32" i="15"/>
  <c r="T45" i="15"/>
  <c r="U96" i="15"/>
  <c r="U99" i="15" s="1"/>
  <c r="W95" i="15"/>
  <c r="R34" i="17"/>
  <c r="E75" i="20"/>
  <c r="R86" i="20"/>
  <c r="W71" i="13"/>
  <c r="U37" i="13"/>
  <c r="L59" i="13"/>
  <c r="M70" i="13"/>
  <c r="W106" i="13"/>
  <c r="V50" i="15"/>
  <c r="X6" i="15"/>
  <c r="V29" i="15"/>
  <c r="W44" i="15"/>
  <c r="V101" i="15"/>
  <c r="V109" i="15"/>
  <c r="V111" i="15" s="1"/>
  <c r="D91" i="21"/>
  <c r="D92" i="21"/>
  <c r="R54" i="13"/>
  <c r="AA5" i="13"/>
  <c r="V37" i="13"/>
  <c r="AF4" i="15"/>
  <c r="W7" i="15"/>
  <c r="S65" i="15"/>
  <c r="W65" i="15" s="1"/>
  <c r="S54" i="15"/>
  <c r="S34" i="15"/>
  <c r="W16" i="15"/>
  <c r="X16" i="15" s="1"/>
  <c r="Y16" i="15" s="1"/>
  <c r="K110" i="15"/>
  <c r="N101" i="15"/>
  <c r="T34" i="17"/>
  <c r="W6" i="15"/>
  <c r="M48" i="15"/>
  <c r="P49" i="15"/>
  <c r="Q54" i="15"/>
  <c r="K77" i="15"/>
  <c r="L76" i="15"/>
  <c r="L82" i="15" s="1"/>
  <c r="Q96" i="15"/>
  <c r="Q99" i="15" s="1"/>
  <c r="AF3" i="17"/>
  <c r="S86" i="20"/>
  <c r="L65" i="21"/>
  <c r="L66" i="21"/>
  <c r="W76" i="13"/>
  <c r="W96" i="13"/>
  <c r="AF5" i="15"/>
  <c r="V11" i="15"/>
  <c r="K30" i="15"/>
  <c r="O32" i="15"/>
  <c r="Q33" i="15"/>
  <c r="K45" i="15"/>
  <c r="Q49" i="15"/>
  <c r="N53" i="15"/>
  <c r="R54" i="15"/>
  <c r="L63" i="15"/>
  <c r="L69" i="15"/>
  <c r="S77" i="15"/>
  <c r="V110" i="15"/>
  <c r="W92" i="15"/>
  <c r="U58" i="17"/>
  <c r="W58" i="17" s="1"/>
  <c r="K79" i="17"/>
  <c r="J95" i="20"/>
  <c r="K68" i="21"/>
  <c r="I37" i="23"/>
  <c r="I34" i="23"/>
  <c r="P32" i="15"/>
  <c r="R33" i="15"/>
  <c r="R49" i="15"/>
  <c r="L65" i="15"/>
  <c r="N83" i="15"/>
  <c r="AF5" i="17"/>
  <c r="U25" i="17"/>
  <c r="N30" i="17"/>
  <c r="I36" i="17"/>
  <c r="Q98" i="21"/>
  <c r="Q115" i="21" s="1"/>
  <c r="Q32" i="15"/>
  <c r="S33" i="15"/>
  <c r="K62" i="15"/>
  <c r="N63" i="15"/>
  <c r="L75" i="15"/>
  <c r="W75" i="15" s="1"/>
  <c r="E119" i="15"/>
  <c r="U71" i="15"/>
  <c r="U82" i="15" s="1"/>
  <c r="U73" i="15"/>
  <c r="U74" i="15"/>
  <c r="U76" i="15"/>
  <c r="K60" i="17"/>
  <c r="V74" i="17"/>
  <c r="J55" i="17"/>
  <c r="U55" i="17" s="1"/>
  <c r="W55" i="17" s="1"/>
  <c r="J4" i="17"/>
  <c r="J8" i="17" s="1"/>
  <c r="E626" i="17"/>
  <c r="H19" i="17" s="1"/>
  <c r="H20" i="17" s="1"/>
  <c r="J72" i="17"/>
  <c r="J82" i="17" s="1"/>
  <c r="J92" i="17" s="1"/>
  <c r="T65" i="21"/>
  <c r="T98" i="21" s="1"/>
  <c r="T115" i="21" s="1"/>
  <c r="O31" i="24"/>
  <c r="S31" i="24" s="1"/>
  <c r="I136" i="31"/>
  <c r="N30" i="15"/>
  <c r="Q53" i="15"/>
  <c r="K61" i="15"/>
  <c r="W61" i="15" s="1"/>
  <c r="O63" i="15"/>
  <c r="W91" i="15"/>
  <c r="U110" i="15"/>
  <c r="I37" i="17"/>
  <c r="U29" i="17"/>
  <c r="K36" i="17"/>
  <c r="W43" i="17"/>
  <c r="H49" i="17"/>
  <c r="W49" i="17" s="1"/>
  <c r="G123" i="21"/>
  <c r="P31" i="24"/>
  <c r="X4" i="15"/>
  <c r="M29" i="15"/>
  <c r="O30" i="15"/>
  <c r="Q31" i="15"/>
  <c r="W31" i="15" s="1"/>
  <c r="S32" i="15"/>
  <c r="R53" i="15"/>
  <c r="L59" i="15"/>
  <c r="L61" i="15"/>
  <c r="P63" i="15"/>
  <c r="P90" i="15"/>
  <c r="P72" i="15"/>
  <c r="P73" i="15"/>
  <c r="N34" i="17"/>
  <c r="N35" i="17"/>
  <c r="N45" i="17"/>
  <c r="J37" i="17"/>
  <c r="I30" i="17"/>
  <c r="M45" i="17"/>
  <c r="L65" i="17"/>
  <c r="G277" i="21"/>
  <c r="D166" i="30"/>
  <c r="D167" i="30" s="1"/>
  <c r="T32" i="15"/>
  <c r="S53" i="15"/>
  <c r="L74" i="15"/>
  <c r="O34" i="17"/>
  <c r="O35" i="17"/>
  <c r="O45" i="17"/>
  <c r="O8" i="17"/>
  <c r="K37" i="17"/>
  <c r="L48" i="17"/>
  <c r="L38" i="17"/>
  <c r="M8" i="17"/>
  <c r="J30" i="17"/>
  <c r="M62" i="17"/>
  <c r="M65" i="17" s="1"/>
  <c r="M59" i="17"/>
  <c r="S63" i="15"/>
  <c r="S66" i="15" s="1"/>
  <c r="K80" i="15"/>
  <c r="M89" i="15"/>
  <c r="M96" i="15" s="1"/>
  <c r="M99" i="15" s="1"/>
  <c r="M69" i="15"/>
  <c r="P35" i="17"/>
  <c r="P45" i="17"/>
  <c r="N8" i="17"/>
  <c r="I46" i="17"/>
  <c r="N62" i="17"/>
  <c r="N65" i="17" s="1"/>
  <c r="N59" i="17"/>
  <c r="I65" i="17"/>
  <c r="V77" i="17"/>
  <c r="J65" i="20"/>
  <c r="K97" i="21"/>
  <c r="N19" i="24"/>
  <c r="N33" i="24" s="1"/>
  <c r="N35" i="24" s="1"/>
  <c r="T80" i="15"/>
  <c r="T83" i="15" s="1"/>
  <c r="T77" i="15"/>
  <c r="Q35" i="17"/>
  <c r="Q45" i="17"/>
  <c r="M48" i="17"/>
  <c r="O62" i="17"/>
  <c r="O65" i="17" s="1"/>
  <c r="O59" i="17"/>
  <c r="D213" i="21"/>
  <c r="D212" i="21"/>
  <c r="O17" i="24"/>
  <c r="Q29" i="15"/>
  <c r="U80" i="15"/>
  <c r="L90" i="15"/>
  <c r="L100" i="15" s="1"/>
  <c r="L110" i="15" s="1"/>
  <c r="W94" i="15"/>
  <c r="R35" i="17"/>
  <c r="R45" i="17"/>
  <c r="V11" i="17"/>
  <c r="M43" i="17"/>
  <c r="N48" i="17"/>
  <c r="P62" i="17"/>
  <c r="P65" i="17" s="1"/>
  <c r="P59" i="17"/>
  <c r="J12" i="20"/>
  <c r="D81" i="20"/>
  <c r="P16" i="24"/>
  <c r="P17" i="24"/>
  <c r="D29" i="24"/>
  <c r="E29" i="24"/>
  <c r="I29" i="24"/>
  <c r="H29" i="24"/>
  <c r="G29" i="24"/>
  <c r="F29" i="24"/>
  <c r="R29" i="15"/>
  <c r="L34" i="15"/>
  <c r="V63" i="15"/>
  <c r="V77" i="15"/>
  <c r="V80" i="15"/>
  <c r="V83" i="15" s="1"/>
  <c r="S35" i="17"/>
  <c r="AD4" i="17"/>
  <c r="L46" i="17"/>
  <c r="O48" i="17"/>
  <c r="Q62" i="17"/>
  <c r="Q65" i="17" s="1"/>
  <c r="Q59" i="17"/>
  <c r="Q78" i="17"/>
  <c r="Q81" i="17" s="1"/>
  <c r="T92" i="17"/>
  <c r="V82" i="17"/>
  <c r="E81" i="20"/>
  <c r="E95" i="20" s="1"/>
  <c r="M86" i="20"/>
  <c r="F212" i="21"/>
  <c r="F213" i="21" s="1"/>
  <c r="I27" i="23"/>
  <c r="P36" i="17"/>
  <c r="N44" i="17"/>
  <c r="U57" i="17"/>
  <c r="W57" i="17" s="1"/>
  <c r="L59" i="17"/>
  <c r="U72" i="17"/>
  <c r="W72" i="17" s="1"/>
  <c r="I82" i="17"/>
  <c r="E36" i="21"/>
  <c r="E63" i="21"/>
  <c r="E64" i="21"/>
  <c r="E91" i="21"/>
  <c r="E92" i="21" s="1"/>
  <c r="P8" i="17"/>
  <c r="H16" i="17"/>
  <c r="H17" i="17" s="1"/>
  <c r="Q36" i="17"/>
  <c r="O44" i="17"/>
  <c r="R48" i="17"/>
  <c r="U56" i="17"/>
  <c r="W56" i="17" s="1"/>
  <c r="F92" i="21"/>
  <c r="F91" i="21"/>
  <c r="E215" i="21"/>
  <c r="D244" i="21"/>
  <c r="D243" i="21"/>
  <c r="L168" i="22"/>
  <c r="L171" i="22" s="1"/>
  <c r="E25" i="23"/>
  <c r="Q8" i="17"/>
  <c r="U11" i="17"/>
  <c r="Y11" i="17" s="1"/>
  <c r="U13" i="17"/>
  <c r="R36" i="17"/>
  <c r="P44" i="17"/>
  <c r="I78" i="17"/>
  <c r="U71" i="17"/>
  <c r="W71" i="17" s="1"/>
  <c r="G35" i="21"/>
  <c r="G36" i="21" s="1"/>
  <c r="G92" i="21"/>
  <c r="G91" i="21"/>
  <c r="E243" i="21"/>
  <c r="E244" i="21"/>
  <c r="H19" i="24"/>
  <c r="I25" i="24"/>
  <c r="H25" i="24"/>
  <c r="U7" i="17"/>
  <c r="R8" i="17"/>
  <c r="S36" i="17"/>
  <c r="Q44" i="17"/>
  <c r="U76" i="17"/>
  <c r="W76" i="17" s="1"/>
  <c r="C154" i="20"/>
  <c r="F149" i="21"/>
  <c r="E149" i="21"/>
  <c r="D149" i="21"/>
  <c r="Q33" i="24"/>
  <c r="Q35" i="24" s="1"/>
  <c r="S8" i="17"/>
  <c r="U10" i="17"/>
  <c r="Y10" i="17" s="1"/>
  <c r="U24" i="17"/>
  <c r="T36" i="17"/>
  <c r="U54" i="17"/>
  <c r="W54" i="17" s="1"/>
  <c r="U86" i="20"/>
  <c r="D38" i="21"/>
  <c r="G149" i="21"/>
  <c r="BM171" i="22"/>
  <c r="CC171" i="22"/>
  <c r="CS171" i="22"/>
  <c r="DI171" i="22"/>
  <c r="R33" i="24"/>
  <c r="T8" i="17"/>
  <c r="S43" i="17"/>
  <c r="S45" i="17"/>
  <c r="I63" i="17"/>
  <c r="U63" i="17" s="1"/>
  <c r="W63" i="17" s="1"/>
  <c r="U53" i="17"/>
  <c r="W53" i="17" s="1"/>
  <c r="V86" i="20"/>
  <c r="E35" i="21"/>
  <c r="Q112" i="21"/>
  <c r="Q171" i="22"/>
  <c r="BN171" i="22"/>
  <c r="CD171" i="22"/>
  <c r="T45" i="17"/>
  <c r="I59" i="17"/>
  <c r="U52" i="17"/>
  <c r="S59" i="17"/>
  <c r="U75" i="17"/>
  <c r="W75" i="17" s="1"/>
  <c r="W86" i="20"/>
  <c r="F244" i="21"/>
  <c r="R171" i="22"/>
  <c r="AH171" i="22"/>
  <c r="BO171" i="22"/>
  <c r="CE171" i="22"/>
  <c r="DK171" i="22"/>
  <c r="D17" i="24"/>
  <c r="J59" i="17"/>
  <c r="T59" i="17"/>
  <c r="V55" i="17" s="1"/>
  <c r="N78" i="17"/>
  <c r="N81" i="17" s="1"/>
  <c r="I88" i="17"/>
  <c r="U86" i="17"/>
  <c r="F182" i="21"/>
  <c r="AI171" i="22"/>
  <c r="E19" i="24"/>
  <c r="E27" i="24"/>
  <c r="I27" i="24" s="1"/>
  <c r="G27" i="24"/>
  <c r="F27" i="24"/>
  <c r="F33" i="24" s="1"/>
  <c r="F35" i="24" s="1"/>
  <c r="D27" i="24"/>
  <c r="H27" i="24" s="1"/>
  <c r="O78" i="17"/>
  <c r="O81" i="17" s="1"/>
  <c r="Y86" i="20"/>
  <c r="F66" i="21"/>
  <c r="P78" i="17"/>
  <c r="P81" i="17" s="1"/>
  <c r="U74" i="17"/>
  <c r="W74" i="17" s="1"/>
  <c r="M37" i="21"/>
  <c r="G66" i="21"/>
  <c r="BR171" i="22"/>
  <c r="CX171" i="22"/>
  <c r="I19" i="24"/>
  <c r="I33" i="24" s="1"/>
  <c r="I35" i="24" s="1"/>
  <c r="G31" i="24"/>
  <c r="D31" i="24"/>
  <c r="H31" i="24" s="1"/>
  <c r="F31" i="24"/>
  <c r="E31" i="24"/>
  <c r="I31" i="24" s="1"/>
  <c r="S17" i="24"/>
  <c r="E121" i="21"/>
  <c r="E35" i="23"/>
  <c r="V75" i="17"/>
  <c r="J23" i="20"/>
  <c r="J63" i="20"/>
  <c r="F6" i="21"/>
  <c r="F7" i="21"/>
  <c r="Q95" i="21"/>
  <c r="T95" i="21" s="1"/>
  <c r="D119" i="21"/>
  <c r="K168" i="22"/>
  <c r="M171" i="22"/>
  <c r="DF171" i="22"/>
  <c r="G25" i="23"/>
  <c r="G35" i="23"/>
  <c r="R35" i="24"/>
  <c r="K84" i="20"/>
  <c r="F119" i="21"/>
  <c r="AT171" i="22"/>
  <c r="BK171" i="22"/>
  <c r="J590" i="32"/>
  <c r="N86" i="20"/>
  <c r="AD86" i="20"/>
  <c r="E277" i="21"/>
  <c r="K88" i="22"/>
  <c r="DJ171" i="22"/>
  <c r="O86" i="20"/>
  <c r="Y273" i="33"/>
  <c r="V72" i="17"/>
  <c r="D180" i="21"/>
  <c r="AY171" i="22"/>
  <c r="G17" i="24"/>
  <c r="AD65" i="20"/>
  <c r="W171" i="22"/>
  <c r="AM171" i="22"/>
  <c r="J171" i="22" s="1"/>
  <c r="BC171" i="22"/>
  <c r="BT171" i="22"/>
  <c r="H30" i="19"/>
  <c r="CB171" i="22"/>
  <c r="D42" i="40"/>
  <c r="D73" i="37"/>
  <c r="E27" i="40"/>
  <c r="E27" i="39"/>
  <c r="E30" i="40"/>
  <c r="C63" i="37"/>
  <c r="D33" i="40"/>
  <c r="D41" i="40" s="1"/>
  <c r="D33" i="39"/>
  <c r="D41" i="39" s="1"/>
  <c r="D42" i="39" s="1"/>
  <c r="G57" i="7" l="1"/>
  <c r="E65" i="7"/>
  <c r="E66" i="6"/>
  <c r="G48" i="6"/>
  <c r="J44" i="7"/>
  <c r="V172" i="7"/>
  <c r="V174" i="7" s="1"/>
  <c r="K23" i="7"/>
  <c r="L23" i="7"/>
  <c r="W124" i="7"/>
  <c r="X8" i="7"/>
  <c r="X13" i="7"/>
  <c r="X10" i="7"/>
  <c r="X9" i="7"/>
  <c r="T160" i="7"/>
  <c r="X15" i="7"/>
  <c r="X11" i="7"/>
  <c r="X39" i="7"/>
  <c r="Y39" i="7" s="1"/>
  <c r="T145" i="7"/>
  <c r="AF14" i="7"/>
  <c r="AI13" i="7" s="1"/>
  <c r="W159" i="7"/>
  <c r="X158" i="7" s="1"/>
  <c r="X133" i="7"/>
  <c r="W173" i="7"/>
  <c r="O160" i="7"/>
  <c r="X38" i="7"/>
  <c r="Y38" i="7" s="1"/>
  <c r="W118" i="7"/>
  <c r="N2" i="7"/>
  <c r="N3" i="7" s="1"/>
  <c r="M2" i="7"/>
  <c r="M3" i="7" s="1"/>
  <c r="H590" i="32"/>
  <c r="N579" i="32"/>
  <c r="AI11" i="6"/>
  <c r="K2" i="6"/>
  <c r="K3" i="6" s="1"/>
  <c r="K19" i="6" s="1"/>
  <c r="P2" i="6"/>
  <c r="X9" i="6" s="1"/>
  <c r="U2" i="6"/>
  <c r="U3" i="6" s="1"/>
  <c r="U19" i="6" s="1"/>
  <c r="X41" i="6"/>
  <c r="Y41" i="6" s="1"/>
  <c r="AI9" i="6"/>
  <c r="AI12" i="6"/>
  <c r="X40" i="6"/>
  <c r="Y40" i="6" s="1"/>
  <c r="AG18" i="6"/>
  <c r="AI10" i="6"/>
  <c r="AI7" i="6"/>
  <c r="L2" i="6"/>
  <c r="L3" i="6" s="1"/>
  <c r="L19" i="6" s="1"/>
  <c r="AF16" i="6"/>
  <c r="AF14" i="6"/>
  <c r="AI13" i="6" s="1"/>
  <c r="K110" i="6"/>
  <c r="T2" i="6"/>
  <c r="T3" i="6" s="1"/>
  <c r="T19" i="6" s="1"/>
  <c r="S2" i="6"/>
  <c r="S3" i="6" s="1"/>
  <c r="S19" i="6" s="1"/>
  <c r="Q2" i="6"/>
  <c r="Q3" i="6" s="1"/>
  <c r="Q19" i="6" s="1"/>
  <c r="R2" i="6"/>
  <c r="R3" i="6" s="1"/>
  <c r="R19" i="6" s="1"/>
  <c r="O2" i="6"/>
  <c r="O3" i="6" s="1"/>
  <c r="O19" i="6" s="1"/>
  <c r="V2" i="6"/>
  <c r="V3" i="6" s="1"/>
  <c r="V19" i="6" s="1"/>
  <c r="M2" i="6"/>
  <c r="AI6" i="6"/>
  <c r="G66" i="6"/>
  <c r="W47" i="6"/>
  <c r="X39" i="6"/>
  <c r="Y39" i="6" s="1"/>
  <c r="W102" i="6"/>
  <c r="W109" i="6"/>
  <c r="X38" i="6"/>
  <c r="Y38" i="6" s="1"/>
  <c r="N3" i="6"/>
  <c r="N19" i="6" s="1"/>
  <c r="G65" i="7"/>
  <c r="N57" i="6"/>
  <c r="K23" i="6"/>
  <c r="D4" i="6"/>
  <c r="D5" i="6" s="1"/>
  <c r="Q25" i="6"/>
  <c r="V23" i="6"/>
  <c r="W105" i="6"/>
  <c r="AB24" i="6"/>
  <c r="AB37" i="6" s="1"/>
  <c r="W101" i="6"/>
  <c r="V110" i="6"/>
  <c r="W95" i="6"/>
  <c r="N56" i="6"/>
  <c r="U23" i="6"/>
  <c r="N55" i="6"/>
  <c r="O85" i="15"/>
  <c r="N58" i="6"/>
  <c r="W175" i="6"/>
  <c r="X175" i="6" s="1"/>
  <c r="W100" i="6"/>
  <c r="L110" i="6"/>
  <c r="Q23" i="6"/>
  <c r="N54" i="6"/>
  <c r="M64" i="6"/>
  <c r="N61" i="6"/>
  <c r="P162" i="6"/>
  <c r="P139" i="6"/>
  <c r="P146" i="6"/>
  <c r="R110" i="6"/>
  <c r="L23" i="6"/>
  <c r="AH5" i="6"/>
  <c r="AH18" i="6" s="1"/>
  <c r="W124" i="6"/>
  <c r="W107" i="6"/>
  <c r="R23" i="6"/>
  <c r="N60" i="6"/>
  <c r="AB14" i="6"/>
  <c r="U174" i="6"/>
  <c r="N126" i="6"/>
  <c r="N20" i="6" s="1"/>
  <c r="U24" i="6"/>
  <c r="U172" i="6"/>
  <c r="W106" i="6"/>
  <c r="L24" i="6"/>
  <c r="L172" i="6"/>
  <c r="K169" i="6"/>
  <c r="K174" i="6" s="1"/>
  <c r="Q169" i="6"/>
  <c r="N59" i="6"/>
  <c r="O126" i="6"/>
  <c r="O127" i="6" s="1"/>
  <c r="L174" i="6"/>
  <c r="U166" i="6"/>
  <c r="S144" i="6"/>
  <c r="S146" i="6" s="1"/>
  <c r="W138" i="6"/>
  <c r="Y134" i="6" s="1"/>
  <c r="W78" i="6"/>
  <c r="X78" i="6" s="1"/>
  <c r="W77" i="6"/>
  <c r="X77" i="6" s="1"/>
  <c r="N80" i="6"/>
  <c r="W70" i="6"/>
  <c r="X70" i="6" s="1"/>
  <c r="U110" i="6"/>
  <c r="M126" i="6"/>
  <c r="M127" i="6" s="1"/>
  <c r="W116" i="6"/>
  <c r="AB10" i="6"/>
  <c r="Q85" i="15"/>
  <c r="N63" i="6"/>
  <c r="T126" i="6"/>
  <c r="T127" i="6" s="1"/>
  <c r="U126" i="6"/>
  <c r="U127" i="6" s="1"/>
  <c r="U35" i="15"/>
  <c r="T39" i="17"/>
  <c r="W73" i="15"/>
  <c r="N79" i="7"/>
  <c r="T49" i="17"/>
  <c r="X77" i="13"/>
  <c r="W69" i="6"/>
  <c r="X69" i="6" s="1"/>
  <c r="W74" i="6"/>
  <c r="X74" i="6" s="1"/>
  <c r="Q80" i="6"/>
  <c r="W73" i="6"/>
  <c r="X73" i="6" s="1"/>
  <c r="V56" i="17"/>
  <c r="R80" i="6"/>
  <c r="O80" i="6"/>
  <c r="P80" i="6"/>
  <c r="P77" i="15"/>
  <c r="P85" i="15" s="1"/>
  <c r="Q78" i="15"/>
  <c r="V80" i="6"/>
  <c r="W88" i="13"/>
  <c r="S49" i="17"/>
  <c r="R35" i="15"/>
  <c r="U47" i="17"/>
  <c r="X47" i="17" s="1"/>
  <c r="N49" i="17"/>
  <c r="Q39" i="17"/>
  <c r="T35" i="15"/>
  <c r="U38" i="17"/>
  <c r="Q49" i="17"/>
  <c r="U83" i="15"/>
  <c r="U65" i="17"/>
  <c r="W65" i="17" s="1"/>
  <c r="Q35" i="15"/>
  <c r="Z5" i="17"/>
  <c r="W5" i="17"/>
  <c r="X5" i="17" s="1"/>
  <c r="U48" i="17"/>
  <c r="X48" i="17" s="1"/>
  <c r="P35" i="15"/>
  <c r="W34" i="15"/>
  <c r="Y33" i="15"/>
  <c r="W74" i="15"/>
  <c r="W82" i="15"/>
  <c r="S39" i="17"/>
  <c r="W71" i="15"/>
  <c r="R39" i="17"/>
  <c r="R49" i="17"/>
  <c r="O35" i="15"/>
  <c r="U77" i="15"/>
  <c r="U97" i="15" s="1"/>
  <c r="V35" i="15"/>
  <c r="N41" i="24"/>
  <c r="N42" i="24" s="1"/>
  <c r="N37" i="24"/>
  <c r="X84" i="12"/>
  <c r="Z84" i="12"/>
  <c r="Z89" i="10"/>
  <c r="X89" i="10"/>
  <c r="I41" i="24"/>
  <c r="I42" i="24" s="1"/>
  <c r="I37" i="24"/>
  <c r="Z66" i="13"/>
  <c r="X66" i="13"/>
  <c r="J14" i="17"/>
  <c r="J9" i="17"/>
  <c r="Y95" i="12"/>
  <c r="Y93" i="12"/>
  <c r="Y98" i="12"/>
  <c r="Y94" i="12"/>
  <c r="E94" i="21"/>
  <c r="Z65" i="15"/>
  <c r="X65" i="15"/>
  <c r="Z70" i="13"/>
  <c r="X70" i="13"/>
  <c r="N106" i="9"/>
  <c r="N20" i="9"/>
  <c r="N21" i="9" s="1"/>
  <c r="X67" i="13"/>
  <c r="Z67" i="13"/>
  <c r="K9" i="21"/>
  <c r="R125" i="8"/>
  <c r="R20" i="8"/>
  <c r="X157" i="7"/>
  <c r="P20" i="9"/>
  <c r="P21" i="9" s="1"/>
  <c r="P106" i="9"/>
  <c r="X81" i="12"/>
  <c r="Z81" i="12"/>
  <c r="T125" i="8"/>
  <c r="T20" i="8"/>
  <c r="Z84" i="11"/>
  <c r="X84" i="11"/>
  <c r="Z88" i="11"/>
  <c r="X88" i="11"/>
  <c r="F41" i="24"/>
  <c r="F42" i="24" s="1"/>
  <c r="F37" i="24"/>
  <c r="O20" i="9"/>
  <c r="O21" i="9" s="1"/>
  <c r="O106" i="9"/>
  <c r="G38" i="21"/>
  <c r="F215" i="21"/>
  <c r="L9" i="21"/>
  <c r="M7" i="21"/>
  <c r="O109" i="15"/>
  <c r="O111" i="15" s="1"/>
  <c r="O101" i="15"/>
  <c r="R9" i="17"/>
  <c r="R14" i="17"/>
  <c r="M110" i="12"/>
  <c r="M122" i="12"/>
  <c r="M103" i="12"/>
  <c r="T9" i="17"/>
  <c r="V8" i="17"/>
  <c r="T14" i="17"/>
  <c r="E27" i="23"/>
  <c r="E34" i="23"/>
  <c r="W68" i="13"/>
  <c r="P66" i="15"/>
  <c r="Z6" i="17"/>
  <c r="W6" i="17"/>
  <c r="X6" i="17" s="1"/>
  <c r="Y44" i="12"/>
  <c r="W44" i="12"/>
  <c r="X44" i="12" s="1"/>
  <c r="T90" i="12"/>
  <c r="T18" i="15"/>
  <c r="AC24" i="14"/>
  <c r="T12" i="15"/>
  <c r="T55" i="15"/>
  <c r="V50" i="11"/>
  <c r="N75" i="12"/>
  <c r="AF2" i="12"/>
  <c r="N26" i="12"/>
  <c r="W46" i="11"/>
  <c r="X46" i="11" s="1"/>
  <c r="Y46" i="11"/>
  <c r="X98" i="11"/>
  <c r="Q132" i="11"/>
  <c r="Q134" i="11" s="1"/>
  <c r="Q135" i="11" s="1"/>
  <c r="M26" i="12"/>
  <c r="M75" i="12"/>
  <c r="AB6" i="11"/>
  <c r="W17" i="11"/>
  <c r="W67" i="11"/>
  <c r="N132" i="10"/>
  <c r="Q79" i="10"/>
  <c r="AB19" i="10"/>
  <c r="AB24" i="10" s="1"/>
  <c r="Q19" i="10"/>
  <c r="K132" i="10"/>
  <c r="W130" i="10"/>
  <c r="X101" i="11"/>
  <c r="S128" i="10"/>
  <c r="S107" i="10"/>
  <c r="S114" i="10"/>
  <c r="R140" i="9"/>
  <c r="R125" i="9"/>
  <c r="R118" i="9"/>
  <c r="R50" i="11"/>
  <c r="V147" i="9"/>
  <c r="T105" i="9"/>
  <c r="S105" i="9"/>
  <c r="W55" i="9"/>
  <c r="X55" i="9" s="1"/>
  <c r="M89" i="9"/>
  <c r="M23" i="9"/>
  <c r="M24" i="9"/>
  <c r="W93" i="9"/>
  <c r="K105" i="9"/>
  <c r="R108" i="8"/>
  <c r="R24" i="8"/>
  <c r="W122" i="8"/>
  <c r="W94" i="7"/>
  <c r="W70" i="7"/>
  <c r="X70" i="7" s="1"/>
  <c r="W100" i="7"/>
  <c r="AB9" i="7"/>
  <c r="S167" i="7"/>
  <c r="S169" i="7" s="1"/>
  <c r="S170" i="7" s="1"/>
  <c r="W121" i="7"/>
  <c r="N167" i="7"/>
  <c r="L79" i="7"/>
  <c r="M80" i="6"/>
  <c r="X131" i="6"/>
  <c r="L162" i="6"/>
  <c r="L146" i="6"/>
  <c r="L139" i="6"/>
  <c r="X137" i="6"/>
  <c r="X136" i="6"/>
  <c r="X130" i="6"/>
  <c r="X132" i="6"/>
  <c r="Q15" i="13"/>
  <c r="Q24" i="13"/>
  <c r="Q61" i="13"/>
  <c r="X71" i="13"/>
  <c r="Z71" i="13"/>
  <c r="W2" i="17"/>
  <c r="X2" i="17" s="1"/>
  <c r="Z2" i="17"/>
  <c r="G27" i="23"/>
  <c r="G34" i="23"/>
  <c r="N83" i="17"/>
  <c r="N91" i="17"/>
  <c r="N93" i="17" s="1"/>
  <c r="I79" i="17"/>
  <c r="I67" i="17"/>
  <c r="I60" i="17"/>
  <c r="U34" i="17"/>
  <c r="X74" i="15"/>
  <c r="R97" i="15"/>
  <c r="X71" i="15"/>
  <c r="X72" i="15"/>
  <c r="R85" i="15"/>
  <c r="R78" i="15"/>
  <c r="X69" i="15"/>
  <c r="X70" i="15"/>
  <c r="X75" i="15"/>
  <c r="P39" i="17"/>
  <c r="O39" i="17"/>
  <c r="W14" i="13"/>
  <c r="AB4" i="13"/>
  <c r="Y4" i="13"/>
  <c r="Z4" i="13" s="1"/>
  <c r="W54" i="13"/>
  <c r="F38" i="23"/>
  <c r="F44" i="23" s="1"/>
  <c r="F45" i="23"/>
  <c r="F37" i="23"/>
  <c r="F59" i="23" s="1"/>
  <c r="F66" i="23" s="1"/>
  <c r="W91" i="11"/>
  <c r="Q78" i="11"/>
  <c r="AB19" i="11"/>
  <c r="Q19" i="11"/>
  <c r="M135" i="11"/>
  <c r="M132" i="11"/>
  <c r="M134" i="11" s="1"/>
  <c r="V51" i="10"/>
  <c r="W82" i="11"/>
  <c r="K93" i="11"/>
  <c r="R19" i="11"/>
  <c r="R78" i="11"/>
  <c r="X104" i="10"/>
  <c r="W121" i="9"/>
  <c r="V59" i="9"/>
  <c r="R135" i="10"/>
  <c r="R137" i="10" s="1"/>
  <c r="R138" i="10"/>
  <c r="L135" i="10"/>
  <c r="L137" i="10" s="1"/>
  <c r="L138" i="10"/>
  <c r="Q106" i="9"/>
  <c r="Q20" i="9"/>
  <c r="Q21" i="9" s="1"/>
  <c r="W85" i="9"/>
  <c r="AB14" i="9"/>
  <c r="W77" i="9"/>
  <c r="W18" i="9"/>
  <c r="H6" i="9" s="1"/>
  <c r="AB6" i="9"/>
  <c r="AB17" i="8"/>
  <c r="H17" i="8"/>
  <c r="W107" i="8"/>
  <c r="W77" i="8"/>
  <c r="X77" i="8" s="1"/>
  <c r="N62" i="8"/>
  <c r="V108" i="8"/>
  <c r="V24" i="8"/>
  <c r="V25" i="8"/>
  <c r="D4" i="8"/>
  <c r="P24" i="8"/>
  <c r="P108" i="8"/>
  <c r="S124" i="8"/>
  <c r="W106" i="8"/>
  <c r="AB16" i="8"/>
  <c r="W76" i="8"/>
  <c r="X76" i="8" s="1"/>
  <c r="J19" i="8"/>
  <c r="W72" i="7"/>
  <c r="X72" i="7" s="1"/>
  <c r="W102" i="7"/>
  <c r="AB11" i="7"/>
  <c r="U167" i="7"/>
  <c r="W97" i="7"/>
  <c r="W18" i="7"/>
  <c r="H6" i="7" s="1"/>
  <c r="W67" i="7"/>
  <c r="AB6" i="7"/>
  <c r="K79" i="7"/>
  <c r="W69" i="7"/>
  <c r="X69" i="7" s="1"/>
  <c r="W99" i="7"/>
  <c r="AB8" i="7"/>
  <c r="N53" i="7"/>
  <c r="L125" i="7"/>
  <c r="W98" i="6"/>
  <c r="W18" i="6"/>
  <c r="H12" i="6" s="1"/>
  <c r="AB6" i="6"/>
  <c r="V166" i="6"/>
  <c r="V174" i="6"/>
  <c r="T169" i="6"/>
  <c r="T171" i="6" s="1"/>
  <c r="T172" i="6" s="1"/>
  <c r="W86" i="13"/>
  <c r="K89" i="13"/>
  <c r="D215" i="21"/>
  <c r="T15" i="13"/>
  <c r="T24" i="13"/>
  <c r="T61" i="13"/>
  <c r="S9" i="17"/>
  <c r="S14" i="17"/>
  <c r="C17" i="21"/>
  <c r="C225" i="21"/>
  <c r="C102" i="21"/>
  <c r="J109" i="21"/>
  <c r="K109" i="21" s="1"/>
  <c r="J76" i="21"/>
  <c r="C256" i="21"/>
  <c r="C287" i="21"/>
  <c r="C74" i="21"/>
  <c r="C46" i="21"/>
  <c r="C194" i="21"/>
  <c r="J17" i="21"/>
  <c r="C163" i="21"/>
  <c r="C131" i="21"/>
  <c r="J47" i="21"/>
  <c r="S91" i="13"/>
  <c r="S103" i="13"/>
  <c r="S84" i="13"/>
  <c r="Q41" i="24"/>
  <c r="Q42" i="24" s="1"/>
  <c r="Q37" i="24"/>
  <c r="E246" i="21"/>
  <c r="E66" i="21"/>
  <c r="D94" i="21"/>
  <c r="O55" i="15"/>
  <c r="O18" i="15"/>
  <c r="O12" i="15"/>
  <c r="AH6" i="13"/>
  <c r="AE6" i="13"/>
  <c r="X20" i="13"/>
  <c r="Y20" i="13" s="1"/>
  <c r="Y41" i="11"/>
  <c r="W41" i="11"/>
  <c r="X41" i="11" s="1"/>
  <c r="T67" i="17"/>
  <c r="T79" i="17"/>
  <c r="V57" i="17"/>
  <c r="V58" i="17"/>
  <c r="D150" i="21"/>
  <c r="D151" i="21"/>
  <c r="Q91" i="17"/>
  <c r="Q93" i="17" s="1"/>
  <c r="Q83" i="17"/>
  <c r="Q41" i="13"/>
  <c r="L115" i="13"/>
  <c r="L117" i="13" s="1"/>
  <c r="L107" i="13"/>
  <c r="S35" i="15"/>
  <c r="X73" i="15"/>
  <c r="Z3" i="17"/>
  <c r="W3" i="17"/>
  <c r="X3" i="17" s="1"/>
  <c r="N115" i="13"/>
  <c r="N117" i="13" s="1"/>
  <c r="N107" i="13"/>
  <c r="U107" i="13"/>
  <c r="U115" i="13"/>
  <c r="U117" i="13" s="1"/>
  <c r="X19" i="13"/>
  <c r="Y19" i="13" s="1"/>
  <c r="Y35" i="13"/>
  <c r="W35" i="13"/>
  <c r="X35" i="13" s="1"/>
  <c r="R103" i="12"/>
  <c r="R110" i="12"/>
  <c r="R122" i="12"/>
  <c r="O134" i="12"/>
  <c r="O136" i="12" s="1"/>
  <c r="O126" i="12"/>
  <c r="V41" i="13"/>
  <c r="R90" i="12"/>
  <c r="W41" i="12"/>
  <c r="X41" i="12" s="1"/>
  <c r="W121" i="12"/>
  <c r="X114" i="12"/>
  <c r="S90" i="12"/>
  <c r="W70" i="11"/>
  <c r="AB9" i="11"/>
  <c r="O125" i="11"/>
  <c r="O106" i="11"/>
  <c r="O113" i="11"/>
  <c r="W79" i="12"/>
  <c r="Y47" i="11"/>
  <c r="S19" i="10"/>
  <c r="S79" i="10"/>
  <c r="L26" i="12"/>
  <c r="L75" i="12"/>
  <c r="K50" i="11"/>
  <c r="Y50" i="11" s="1"/>
  <c r="Y39" i="11"/>
  <c r="W39" i="11"/>
  <c r="X98" i="10"/>
  <c r="AB12" i="11"/>
  <c r="W73" i="11"/>
  <c r="X99" i="10"/>
  <c r="R93" i="11"/>
  <c r="V128" i="10"/>
  <c r="W100" i="9"/>
  <c r="X100" i="10"/>
  <c r="AB11" i="10"/>
  <c r="W73" i="10"/>
  <c r="AB15" i="9"/>
  <c r="W86" i="9"/>
  <c r="AI12" i="9"/>
  <c r="X156" i="8"/>
  <c r="L105" i="9"/>
  <c r="Q124" i="8"/>
  <c r="AB7" i="10"/>
  <c r="W69" i="10"/>
  <c r="T166" i="8"/>
  <c r="V124" i="8"/>
  <c r="X128" i="8"/>
  <c r="X131" i="7"/>
  <c r="W139" i="8"/>
  <c r="W120" i="7"/>
  <c r="W46" i="7"/>
  <c r="K125" i="7"/>
  <c r="W113" i="7"/>
  <c r="W164" i="6"/>
  <c r="K166" i="6"/>
  <c r="W125" i="6"/>
  <c r="N162" i="6"/>
  <c r="N146" i="6"/>
  <c r="N139" i="6"/>
  <c r="U146" i="6"/>
  <c r="U162" i="6"/>
  <c r="U139" i="6"/>
  <c r="W122" i="6"/>
  <c r="S110" i="6"/>
  <c r="S24" i="6"/>
  <c r="V85" i="15"/>
  <c r="V97" i="15"/>
  <c r="P79" i="17"/>
  <c r="P60" i="17"/>
  <c r="P67" i="17"/>
  <c r="W71" i="11"/>
  <c r="AB10" i="11"/>
  <c r="U59" i="17"/>
  <c r="W52" i="17"/>
  <c r="J67" i="17"/>
  <c r="J60" i="17"/>
  <c r="E150" i="21"/>
  <c r="E151" i="21"/>
  <c r="D246" i="21"/>
  <c r="E38" i="21"/>
  <c r="Q79" i="17"/>
  <c r="Q67" i="17"/>
  <c r="Q60" i="17"/>
  <c r="T97" i="15"/>
  <c r="T85" i="15"/>
  <c r="M80" i="15"/>
  <c r="M83" i="15" s="1"/>
  <c r="M77" i="15"/>
  <c r="J45" i="17"/>
  <c r="U45" i="17" s="1"/>
  <c r="J35" i="17"/>
  <c r="U35" i="17" s="1"/>
  <c r="U36" i="17"/>
  <c r="Y30" i="15"/>
  <c r="AB6" i="15"/>
  <c r="W50" i="15"/>
  <c r="Y6" i="15"/>
  <c r="Z6" i="15" s="1"/>
  <c r="J49" i="17"/>
  <c r="W72" i="15"/>
  <c r="L96" i="15"/>
  <c r="L99" i="15" s="1"/>
  <c r="Y29" i="15"/>
  <c r="W29" i="15"/>
  <c r="Q122" i="12"/>
  <c r="Q103" i="12"/>
  <c r="Q110" i="12"/>
  <c r="W55" i="13"/>
  <c r="Y5" i="13"/>
  <c r="Z5" i="13" s="1"/>
  <c r="AB5" i="13"/>
  <c r="Y45" i="12"/>
  <c r="W45" i="12"/>
  <c r="X45" i="12" s="1"/>
  <c r="T25" i="13"/>
  <c r="L84" i="13"/>
  <c r="L103" i="13"/>
  <c r="X78" i="13"/>
  <c r="X81" i="13"/>
  <c r="X82" i="13"/>
  <c r="X79" i="13"/>
  <c r="X80" i="13"/>
  <c r="Q90" i="12"/>
  <c r="U75" i="12"/>
  <c r="U26" i="12"/>
  <c r="AB9" i="12"/>
  <c r="W68" i="12"/>
  <c r="O137" i="11"/>
  <c r="O139" i="11" s="1"/>
  <c r="O129" i="11"/>
  <c r="S47" i="12"/>
  <c r="AH10" i="11"/>
  <c r="AH9" i="11"/>
  <c r="O47" i="12"/>
  <c r="W92" i="11"/>
  <c r="X119" i="11"/>
  <c r="X97" i="10"/>
  <c r="M51" i="10"/>
  <c r="AB13" i="9"/>
  <c r="H13" i="9"/>
  <c r="W84" i="9"/>
  <c r="W158" i="8"/>
  <c r="X148" i="8" s="1"/>
  <c r="V163" i="8"/>
  <c r="W105" i="8"/>
  <c r="W75" i="8"/>
  <c r="X75" i="8" s="1"/>
  <c r="N60" i="8"/>
  <c r="AB15" i="8"/>
  <c r="R78" i="8"/>
  <c r="M166" i="8"/>
  <c r="W57" i="9"/>
  <c r="X57" i="9" s="1"/>
  <c r="N52" i="7"/>
  <c r="N56" i="7"/>
  <c r="L169" i="8"/>
  <c r="L166" i="8"/>
  <c r="L168" i="8" s="1"/>
  <c r="N19" i="7"/>
  <c r="N109" i="7"/>
  <c r="N24" i="7"/>
  <c r="W115" i="7"/>
  <c r="L80" i="6"/>
  <c r="W72" i="6"/>
  <c r="X72" i="6" s="1"/>
  <c r="W120" i="6"/>
  <c r="D182" i="21"/>
  <c r="D181" i="21"/>
  <c r="K171" i="22"/>
  <c r="D19" i="24"/>
  <c r="D33" i="24" s="1"/>
  <c r="D35" i="24"/>
  <c r="F150" i="21"/>
  <c r="F151" i="21" s="1"/>
  <c r="G94" i="21"/>
  <c r="U82" i="17"/>
  <c r="W82" i="17" s="1"/>
  <c r="X82" i="17" s="1"/>
  <c r="I92" i="17"/>
  <c r="U92" i="17" s="1"/>
  <c r="M109" i="15"/>
  <c r="M111" i="15" s="1"/>
  <c r="M101" i="15"/>
  <c r="AE24" i="14"/>
  <c r="V12" i="15"/>
  <c r="X11" i="15"/>
  <c r="V55" i="15"/>
  <c r="V18" i="15"/>
  <c r="X101" i="13"/>
  <c r="R84" i="13"/>
  <c r="R91" i="13"/>
  <c r="R103" i="13"/>
  <c r="P84" i="13"/>
  <c r="P103" i="13"/>
  <c r="P91" i="13"/>
  <c r="W60" i="15"/>
  <c r="T47" i="12"/>
  <c r="AB19" i="12"/>
  <c r="K26" i="12"/>
  <c r="K75" i="12"/>
  <c r="W83" i="13"/>
  <c r="Y78" i="13" s="1"/>
  <c r="P106" i="11"/>
  <c r="P113" i="11"/>
  <c r="P125" i="11"/>
  <c r="P15" i="13"/>
  <c r="P24" i="13"/>
  <c r="P61" i="13"/>
  <c r="Q125" i="11"/>
  <c r="Q106" i="11"/>
  <c r="Q113" i="11"/>
  <c r="Y43" i="10"/>
  <c r="W43" i="10"/>
  <c r="X43" i="10" s="1"/>
  <c r="R94" i="10"/>
  <c r="P94" i="10"/>
  <c r="K19" i="11"/>
  <c r="K78" i="11"/>
  <c r="AG5" i="11"/>
  <c r="AE5" i="11" s="1"/>
  <c r="AH5" i="11" s="1"/>
  <c r="AB22" i="11"/>
  <c r="O144" i="9"/>
  <c r="R128" i="10"/>
  <c r="R114" i="10"/>
  <c r="R107" i="10"/>
  <c r="M79" i="10"/>
  <c r="M19" i="10"/>
  <c r="N135" i="10"/>
  <c r="N137" i="10" s="1"/>
  <c r="N138" i="10"/>
  <c r="K163" i="8"/>
  <c r="W161" i="8"/>
  <c r="R159" i="8"/>
  <c r="R137" i="8"/>
  <c r="R144" i="8"/>
  <c r="U78" i="8"/>
  <c r="T108" i="8"/>
  <c r="T24" i="8"/>
  <c r="W172" i="8"/>
  <c r="W103" i="9"/>
  <c r="P125" i="7"/>
  <c r="W116" i="7"/>
  <c r="T23" i="8"/>
  <c r="Q109" i="7"/>
  <c r="Q24" i="7"/>
  <c r="Q19" i="7"/>
  <c r="M23" i="7"/>
  <c r="M24" i="7"/>
  <c r="M19" i="7"/>
  <c r="M109" i="7"/>
  <c r="AA17" i="7"/>
  <c r="Y17" i="7" s="1"/>
  <c r="Z17" i="7" s="1"/>
  <c r="AA14" i="7"/>
  <c r="Y14" i="7" s="1"/>
  <c r="Z14" i="7" s="1"/>
  <c r="AA13" i="7"/>
  <c r="AA9" i="7"/>
  <c r="Y9" i="7" s="1"/>
  <c r="Z9" i="7" s="1"/>
  <c r="AA12" i="7"/>
  <c r="Y12" i="7" s="1"/>
  <c r="Z12" i="7" s="1"/>
  <c r="AA10" i="7"/>
  <c r="Y10" i="7" s="1"/>
  <c r="Z10" i="7" s="1"/>
  <c r="AA16" i="7"/>
  <c r="Y16" i="7" s="1"/>
  <c r="Z16" i="7" s="1"/>
  <c r="AA7" i="7"/>
  <c r="Y7" i="7" s="1"/>
  <c r="Z7" i="7" s="1"/>
  <c r="AA6" i="7"/>
  <c r="Y6" i="7" s="1"/>
  <c r="Z6" i="7" s="1"/>
  <c r="K3" i="7"/>
  <c r="K19" i="7" s="1"/>
  <c r="S126" i="6"/>
  <c r="W121" i="6"/>
  <c r="V146" i="6"/>
  <c r="V162" i="6"/>
  <c r="V139" i="6"/>
  <c r="W76" i="6"/>
  <c r="X76" i="6" s="1"/>
  <c r="S174" i="6"/>
  <c r="W79" i="6"/>
  <c r="X79" i="6" s="1"/>
  <c r="W112" i="8"/>
  <c r="K124" i="8"/>
  <c r="E6" i="4"/>
  <c r="F6" i="4" s="1"/>
  <c r="E5" i="4"/>
  <c r="E9" i="4"/>
  <c r="F9" i="4" s="1"/>
  <c r="E279" i="21"/>
  <c r="D120" i="21"/>
  <c r="D121" i="21"/>
  <c r="L60" i="17"/>
  <c r="L79" i="17"/>
  <c r="L67" i="17"/>
  <c r="X96" i="13"/>
  <c r="W110" i="15"/>
  <c r="U101" i="15"/>
  <c r="U109" i="15"/>
  <c r="U111" i="15" s="1"/>
  <c r="L14" i="17"/>
  <c r="L9" i="17"/>
  <c r="AD2" i="17"/>
  <c r="N41" i="13"/>
  <c r="R18" i="15"/>
  <c r="R12" i="15"/>
  <c r="R55" i="15"/>
  <c r="T91" i="13"/>
  <c r="T103" i="13"/>
  <c r="K72" i="13"/>
  <c r="R19" i="15"/>
  <c r="N35" i="15"/>
  <c r="Y34" i="13"/>
  <c r="K41" i="13"/>
  <c r="Y41" i="13" s="1"/>
  <c r="W34" i="13"/>
  <c r="W64" i="12"/>
  <c r="W16" i="12"/>
  <c r="AB5" i="12"/>
  <c r="O122" i="12"/>
  <c r="O103" i="12"/>
  <c r="O110" i="12"/>
  <c r="R47" i="12"/>
  <c r="Y46" i="12"/>
  <c r="W46" i="12"/>
  <c r="X46" i="12" s="1"/>
  <c r="Q25" i="13"/>
  <c r="L15" i="13"/>
  <c r="L24" i="13"/>
  <c r="L61" i="13"/>
  <c r="P90" i="12"/>
  <c r="P50" i="11"/>
  <c r="N50" i="11"/>
  <c r="P93" i="11"/>
  <c r="W83" i="11"/>
  <c r="X98" i="12"/>
  <c r="W118" i="11"/>
  <c r="X125" i="10"/>
  <c r="X103" i="11"/>
  <c r="K134" i="11"/>
  <c r="K135" i="11" s="1"/>
  <c r="R137" i="11"/>
  <c r="R139" i="11" s="1"/>
  <c r="W109" i="10"/>
  <c r="K112" i="10"/>
  <c r="X119" i="10"/>
  <c r="W85" i="10"/>
  <c r="T50" i="11"/>
  <c r="L59" i="9"/>
  <c r="AB6" i="10"/>
  <c r="W17" i="10"/>
  <c r="W68" i="10"/>
  <c r="W50" i="9"/>
  <c r="X50" i="9" s="1"/>
  <c r="W53" i="9"/>
  <c r="X53" i="9" s="1"/>
  <c r="V118" i="9"/>
  <c r="V140" i="9"/>
  <c r="V125" i="9"/>
  <c r="R24" i="9"/>
  <c r="R89" i="9"/>
  <c r="R23" i="9"/>
  <c r="U124" i="8"/>
  <c r="W71" i="8"/>
  <c r="X71" i="8" s="1"/>
  <c r="AB11" i="8"/>
  <c r="W101" i="8"/>
  <c r="W87" i="9"/>
  <c r="H16" i="9"/>
  <c r="AB16" i="9"/>
  <c r="K143" i="7"/>
  <c r="W143" i="7" s="1"/>
  <c r="W140" i="7"/>
  <c r="P79" i="7"/>
  <c r="W106" i="7"/>
  <c r="H15" i="7"/>
  <c r="W76" i="7"/>
  <c r="X76" i="7" s="1"/>
  <c r="AB15" i="7"/>
  <c r="W105" i="7"/>
  <c r="AB14" i="7"/>
  <c r="W75" i="7"/>
  <c r="X75" i="7" s="1"/>
  <c r="U109" i="7"/>
  <c r="U19" i="7"/>
  <c r="U23" i="7"/>
  <c r="U24" i="7"/>
  <c r="R125" i="7"/>
  <c r="N59" i="7"/>
  <c r="M79" i="7"/>
  <c r="W161" i="6"/>
  <c r="X150" i="6" s="1"/>
  <c r="R126" i="6"/>
  <c r="S162" i="6"/>
  <c r="S139" i="6"/>
  <c r="W99" i="6"/>
  <c r="AB7" i="6"/>
  <c r="V126" i="6"/>
  <c r="S23" i="6"/>
  <c r="Q129" i="11"/>
  <c r="Q137" i="11"/>
  <c r="Q139" i="11" s="1"/>
  <c r="X85" i="12"/>
  <c r="Z85" i="12"/>
  <c r="W27" i="12"/>
  <c r="O75" i="12"/>
  <c r="O26" i="12"/>
  <c r="AB15" i="12"/>
  <c r="W74" i="12"/>
  <c r="Y48" i="10"/>
  <c r="W48" i="10"/>
  <c r="X48" i="10" s="1"/>
  <c r="AB13" i="10"/>
  <c r="W75" i="10"/>
  <c r="W83" i="9"/>
  <c r="H12" i="9"/>
  <c r="AB12" i="9"/>
  <c r="X152" i="8"/>
  <c r="L159" i="8"/>
  <c r="X135" i="8"/>
  <c r="L144" i="8"/>
  <c r="X132" i="8"/>
  <c r="X129" i="8"/>
  <c r="X134" i="8"/>
  <c r="L137" i="8"/>
  <c r="K98" i="21"/>
  <c r="K99" i="21" s="1"/>
  <c r="M79" i="17"/>
  <c r="M60" i="17"/>
  <c r="M67" i="17"/>
  <c r="U37" i="17"/>
  <c r="W90" i="15"/>
  <c r="L49" i="17"/>
  <c r="W102" i="13"/>
  <c r="X95" i="13"/>
  <c r="U91" i="13"/>
  <c r="U103" i="13"/>
  <c r="Q84" i="13"/>
  <c r="Q103" i="13"/>
  <c r="Q91" i="13"/>
  <c r="N55" i="15"/>
  <c r="N18" i="15"/>
  <c r="AF2" i="15"/>
  <c r="AE2" i="15" s="1"/>
  <c r="N12" i="15"/>
  <c r="O15" i="13"/>
  <c r="O24" i="13"/>
  <c r="O61" i="13"/>
  <c r="Y101" i="12"/>
  <c r="AB13" i="13"/>
  <c r="Y13" i="13"/>
  <c r="Z13" i="13" s="1"/>
  <c r="W60" i="13"/>
  <c r="W83" i="12"/>
  <c r="W87" i="11"/>
  <c r="Y40" i="11"/>
  <c r="W40" i="11"/>
  <c r="X40" i="11" s="1"/>
  <c r="L93" i="11"/>
  <c r="K129" i="12"/>
  <c r="K134" i="12" s="1"/>
  <c r="K138" i="11"/>
  <c r="W138" i="11" s="1"/>
  <c r="W128" i="11"/>
  <c r="N90" i="12"/>
  <c r="U129" i="12"/>
  <c r="U140" i="10"/>
  <c r="U142" i="10" s="1"/>
  <c r="U132" i="10"/>
  <c r="W106" i="10"/>
  <c r="Y98" i="10" s="1"/>
  <c r="Y97" i="10"/>
  <c r="L94" i="10"/>
  <c r="P137" i="11"/>
  <c r="P139" i="11" s="1"/>
  <c r="M132" i="10"/>
  <c r="W61" i="12"/>
  <c r="K135" i="10"/>
  <c r="K140" i="10" s="1"/>
  <c r="O142" i="10"/>
  <c r="W77" i="10"/>
  <c r="AB15" i="10"/>
  <c r="N51" i="10"/>
  <c r="U105" i="9"/>
  <c r="U59" i="9"/>
  <c r="L118" i="9"/>
  <c r="L140" i="9"/>
  <c r="X113" i="9"/>
  <c r="L125" i="9"/>
  <c r="X109" i="9"/>
  <c r="Q147" i="9"/>
  <c r="Q149" i="9" s="1"/>
  <c r="Q150" i="9" s="1"/>
  <c r="L147" i="9"/>
  <c r="R163" i="8"/>
  <c r="R171" i="8"/>
  <c r="R173" i="8" s="1"/>
  <c r="V89" i="9"/>
  <c r="L163" i="8"/>
  <c r="L171" i="8"/>
  <c r="L173" i="8" s="1"/>
  <c r="X153" i="8"/>
  <c r="U160" i="7"/>
  <c r="U138" i="7"/>
  <c r="U145" i="7"/>
  <c r="K78" i="8"/>
  <c r="S172" i="7"/>
  <c r="S174" i="7" s="1"/>
  <c r="S164" i="7"/>
  <c r="AF16" i="8"/>
  <c r="Q125" i="7"/>
  <c r="P23" i="8"/>
  <c r="Q166" i="8"/>
  <c r="L24" i="8"/>
  <c r="L108" i="8"/>
  <c r="U125" i="7"/>
  <c r="W98" i="7"/>
  <c r="W68" i="7"/>
  <c r="X68" i="7" s="1"/>
  <c r="AB7" i="7"/>
  <c r="H60" i="7"/>
  <c r="M125" i="7"/>
  <c r="W117" i="6"/>
  <c r="W68" i="6"/>
  <c r="X68" i="6" s="1"/>
  <c r="K80" i="6"/>
  <c r="O110" i="6"/>
  <c r="O24" i="6"/>
  <c r="O23" i="6"/>
  <c r="N110" i="6"/>
  <c r="N24" i="6"/>
  <c r="N23" i="6"/>
  <c r="K83" i="15"/>
  <c r="N103" i="13"/>
  <c r="N84" i="13"/>
  <c r="N91" i="13"/>
  <c r="W49" i="15"/>
  <c r="Y5" i="15"/>
  <c r="Z5" i="15" s="1"/>
  <c r="AB5" i="15"/>
  <c r="L134" i="12"/>
  <c r="L136" i="12" s="1"/>
  <c r="L126" i="12"/>
  <c r="AB14" i="12"/>
  <c r="W73" i="12"/>
  <c r="U108" i="11"/>
  <c r="U105" i="11"/>
  <c r="W131" i="10"/>
  <c r="W45" i="11"/>
  <c r="X45" i="11" s="1"/>
  <c r="Y45" i="11"/>
  <c r="V112" i="10"/>
  <c r="V114" i="10" s="1"/>
  <c r="N132" i="11"/>
  <c r="W132" i="11" s="1"/>
  <c r="W96" i="11"/>
  <c r="T19" i="11"/>
  <c r="T78" i="11"/>
  <c r="W49" i="10"/>
  <c r="X49" i="10" s="1"/>
  <c r="W31" i="10"/>
  <c r="O2" i="10" s="1"/>
  <c r="O3" i="10" s="1"/>
  <c r="O18" i="10" s="1"/>
  <c r="W56" i="9"/>
  <c r="X56" i="9" s="1"/>
  <c r="W82" i="9"/>
  <c r="AB11" i="9"/>
  <c r="H11" i="9"/>
  <c r="T144" i="9"/>
  <c r="W99" i="9"/>
  <c r="R59" i="9"/>
  <c r="U152" i="9"/>
  <c r="U154" i="9" s="1"/>
  <c r="P124" i="8"/>
  <c r="X157" i="8"/>
  <c r="N124" i="8"/>
  <c r="P144" i="8"/>
  <c r="P137" i="8"/>
  <c r="P159" i="8"/>
  <c r="Y116" i="8"/>
  <c r="K142" i="8"/>
  <c r="W142" i="8" s="1"/>
  <c r="O108" i="8"/>
  <c r="O24" i="8"/>
  <c r="X154" i="8"/>
  <c r="K24" i="8"/>
  <c r="K108" i="8"/>
  <c r="AH5" i="8"/>
  <c r="V166" i="8"/>
  <c r="V168" i="8" s="1"/>
  <c r="V169" i="8" s="1"/>
  <c r="P145" i="7"/>
  <c r="P138" i="7"/>
  <c r="P160" i="7"/>
  <c r="W120" i="8"/>
  <c r="N125" i="7"/>
  <c r="W136" i="8"/>
  <c r="Y117" i="8" s="1"/>
  <c r="W22" i="8"/>
  <c r="Y112" i="8"/>
  <c r="N24" i="8"/>
  <c r="N19" i="8"/>
  <c r="N108" i="8"/>
  <c r="AB24" i="8"/>
  <c r="AB35" i="8" s="1"/>
  <c r="N58" i="7"/>
  <c r="L124" i="8"/>
  <c r="W108" i="7"/>
  <c r="W78" i="7"/>
  <c r="X78" i="7" s="1"/>
  <c r="AB17" i="7"/>
  <c r="N62" i="7"/>
  <c r="W103" i="7"/>
  <c r="N57" i="7"/>
  <c r="AB12" i="7"/>
  <c r="W73" i="7"/>
  <c r="X73" i="7" s="1"/>
  <c r="R79" i="7"/>
  <c r="K162" i="6"/>
  <c r="K139" i="6"/>
  <c r="V109" i="7"/>
  <c r="X18" i="7"/>
  <c r="V23" i="7"/>
  <c r="W25" i="7"/>
  <c r="V24" i="7"/>
  <c r="D4" i="7"/>
  <c r="L126" i="6"/>
  <c r="R166" i="6"/>
  <c r="R174" i="6"/>
  <c r="P35" i="24"/>
  <c r="P19" i="24"/>
  <c r="P33" i="24" s="1"/>
  <c r="W124" i="11"/>
  <c r="X117" i="11" s="1"/>
  <c r="AB7" i="13"/>
  <c r="Y7" i="13"/>
  <c r="Z7" i="13" s="1"/>
  <c r="W57" i="13"/>
  <c r="Y49" i="11"/>
  <c r="W49" i="11"/>
  <c r="X49" i="11" s="1"/>
  <c r="U19" i="10"/>
  <c r="U79" i="10"/>
  <c r="N106" i="11"/>
  <c r="N113" i="11"/>
  <c r="N125" i="11"/>
  <c r="L128" i="10"/>
  <c r="L114" i="10"/>
  <c r="X102" i="10"/>
  <c r="L107" i="10"/>
  <c r="L140" i="10"/>
  <c r="L142" i="10" s="1"/>
  <c r="L132" i="10"/>
  <c r="AB8" i="11"/>
  <c r="W69" i="11"/>
  <c r="P140" i="9"/>
  <c r="P125" i="9"/>
  <c r="P118" i="9"/>
  <c r="Z87" i="10"/>
  <c r="X87" i="10"/>
  <c r="R105" i="9"/>
  <c r="U108" i="8"/>
  <c r="U24" i="8"/>
  <c r="F9" i="21"/>
  <c r="I81" i="17"/>
  <c r="U78" i="17"/>
  <c r="W78" i="17" s="1"/>
  <c r="X72" i="17" s="1"/>
  <c r="G215" i="21"/>
  <c r="P55" i="15"/>
  <c r="P18" i="15"/>
  <c r="P12" i="15"/>
  <c r="W36" i="13"/>
  <c r="X36" i="13" s="1"/>
  <c r="Y36" i="13"/>
  <c r="T107" i="13"/>
  <c r="T115" i="13"/>
  <c r="T117" i="13" s="1"/>
  <c r="W48" i="15"/>
  <c r="AB4" i="15"/>
  <c r="W11" i="15"/>
  <c r="Y4" i="15"/>
  <c r="Z4" i="15" s="1"/>
  <c r="V47" i="12"/>
  <c r="Y100" i="12"/>
  <c r="AB11" i="13"/>
  <c r="Y11" i="13"/>
  <c r="Z11" i="13" s="1"/>
  <c r="N122" i="12"/>
  <c r="N103" i="12"/>
  <c r="V52" i="17"/>
  <c r="V53" i="17"/>
  <c r="O19" i="24"/>
  <c r="O33" i="24" s="1"/>
  <c r="O35" i="24" s="1"/>
  <c r="G279" i="21"/>
  <c r="T19" i="15"/>
  <c r="X14" i="15"/>
  <c r="Y14" i="15" s="1"/>
  <c r="M103" i="13"/>
  <c r="M84" i="13"/>
  <c r="M91" i="13"/>
  <c r="K66" i="15"/>
  <c r="W59" i="15"/>
  <c r="O78" i="15"/>
  <c r="P122" i="12"/>
  <c r="P103" i="12"/>
  <c r="P110" i="12"/>
  <c r="AB9" i="13"/>
  <c r="W59" i="13"/>
  <c r="Y9" i="13"/>
  <c r="Z9" i="13" s="1"/>
  <c r="N108" i="12"/>
  <c r="N110" i="12" s="1"/>
  <c r="W105" i="12"/>
  <c r="Q47" i="12"/>
  <c r="W112" i="13"/>
  <c r="X110" i="13" s="1"/>
  <c r="L89" i="13"/>
  <c r="L91" i="13" s="1"/>
  <c r="Q97" i="15"/>
  <c r="X115" i="12"/>
  <c r="X99" i="11"/>
  <c r="M93" i="11"/>
  <c r="Y97" i="12"/>
  <c r="L132" i="12"/>
  <c r="L129" i="12"/>
  <c r="L131" i="12" s="1"/>
  <c r="O90" i="12"/>
  <c r="Q128" i="10"/>
  <c r="Q107" i="10"/>
  <c r="Q114" i="10"/>
  <c r="W64" i="11"/>
  <c r="M111" i="11"/>
  <c r="Y43" i="11"/>
  <c r="W43" i="11"/>
  <c r="X43" i="11" s="1"/>
  <c r="S51" i="10"/>
  <c r="U19" i="11"/>
  <c r="U78" i="11"/>
  <c r="N59" i="9"/>
  <c r="W37" i="12"/>
  <c r="X37" i="12" s="1"/>
  <c r="K144" i="9"/>
  <c r="W142" i="9"/>
  <c r="W122" i="9"/>
  <c r="T59" i="9"/>
  <c r="S152" i="9"/>
  <c r="S154" i="9" s="1"/>
  <c r="P59" i="9"/>
  <c r="R147" i="9"/>
  <c r="R149" i="9" s="1"/>
  <c r="R150" i="9" s="1"/>
  <c r="W117" i="9"/>
  <c r="W22" i="9"/>
  <c r="X32" i="9"/>
  <c r="Y32" i="9" s="1"/>
  <c r="X149" i="8"/>
  <c r="O137" i="8"/>
  <c r="O159" i="8"/>
  <c r="O144" i="8"/>
  <c r="U89" i="9"/>
  <c r="U24" i="9"/>
  <c r="K159" i="8"/>
  <c r="K137" i="8"/>
  <c r="K144" i="8"/>
  <c r="Y115" i="8"/>
  <c r="P166" i="8"/>
  <c r="U163" i="8"/>
  <c r="Q159" i="8"/>
  <c r="Q144" i="8"/>
  <c r="Q137" i="8"/>
  <c r="R138" i="7"/>
  <c r="R160" i="7"/>
  <c r="R145" i="7"/>
  <c r="W74" i="8"/>
  <c r="X74" i="8" s="1"/>
  <c r="W104" i="8"/>
  <c r="AB14" i="8"/>
  <c r="Q160" i="7"/>
  <c r="L145" i="7"/>
  <c r="L138" i="7"/>
  <c r="L160" i="7"/>
  <c r="X129" i="7"/>
  <c r="X128" i="7"/>
  <c r="X130" i="7"/>
  <c r="R167" i="7"/>
  <c r="O172" i="7"/>
  <c r="O174" i="7" s="1"/>
  <c r="O164" i="7"/>
  <c r="P167" i="7"/>
  <c r="X135" i="7"/>
  <c r="O23" i="7"/>
  <c r="O24" i="7"/>
  <c r="O19" i="7"/>
  <c r="O109" i="7"/>
  <c r="X132" i="7"/>
  <c r="S109" i="7"/>
  <c r="S24" i="7"/>
  <c r="S19" i="7"/>
  <c r="W114" i="7"/>
  <c r="P23" i="7"/>
  <c r="P24" i="7"/>
  <c r="P19" i="7"/>
  <c r="P109" i="7"/>
  <c r="H8" i="4"/>
  <c r="J8" i="4" s="1"/>
  <c r="K8" i="4" s="1"/>
  <c r="H5" i="4"/>
  <c r="H7" i="4"/>
  <c r="J7" i="4" s="1"/>
  <c r="K7" i="4" s="1"/>
  <c r="H6" i="4"/>
  <c r="H9" i="4"/>
  <c r="X7" i="7"/>
  <c r="X17" i="7"/>
  <c r="V3" i="7"/>
  <c r="V19" i="7" s="1"/>
  <c r="X14" i="7"/>
  <c r="X12" i="7"/>
  <c r="X16" i="7"/>
  <c r="W141" i="6"/>
  <c r="K144" i="6"/>
  <c r="Q126" i="6"/>
  <c r="P126" i="6"/>
  <c r="V125" i="7"/>
  <c r="X133" i="6"/>
  <c r="M23" i="6"/>
  <c r="M110" i="6"/>
  <c r="M24" i="6"/>
  <c r="O91" i="17"/>
  <c r="O93" i="17" s="1"/>
  <c r="O83" i="17"/>
  <c r="AH5" i="15"/>
  <c r="AE5" i="15"/>
  <c r="AB11" i="12"/>
  <c r="W70" i="12"/>
  <c r="K125" i="11"/>
  <c r="K106" i="11"/>
  <c r="K2" i="9"/>
  <c r="W38" i="9"/>
  <c r="M167" i="7"/>
  <c r="M169" i="7" s="1"/>
  <c r="M170" i="7" s="1"/>
  <c r="U79" i="7"/>
  <c r="R109" i="7"/>
  <c r="R24" i="7"/>
  <c r="R19" i="7"/>
  <c r="Q162" i="6"/>
  <c r="Q146" i="6"/>
  <c r="Q139" i="6"/>
  <c r="O162" i="6"/>
  <c r="O146" i="6"/>
  <c r="O139" i="6"/>
  <c r="T80" i="6"/>
  <c r="S80" i="6"/>
  <c r="J78" i="17"/>
  <c r="J81" i="17" s="1"/>
  <c r="F94" i="21"/>
  <c r="G151" i="21"/>
  <c r="G150" i="21"/>
  <c r="AC4" i="17"/>
  <c r="AF4" i="17"/>
  <c r="D95" i="20"/>
  <c r="L66" i="15"/>
  <c r="L68" i="21"/>
  <c r="M66" i="21"/>
  <c r="Y32" i="15"/>
  <c r="W32" i="15"/>
  <c r="L39" i="17"/>
  <c r="K107" i="13"/>
  <c r="W105" i="13"/>
  <c r="K115" i="13"/>
  <c r="S18" i="15"/>
  <c r="S12" i="15"/>
  <c r="S55" i="15"/>
  <c r="W53" i="15"/>
  <c r="AB9" i="15"/>
  <c r="Y9" i="15"/>
  <c r="Z9" i="15" s="1"/>
  <c r="T41" i="13"/>
  <c r="W80" i="12"/>
  <c r="N590" i="32"/>
  <c r="I594" i="32" s="1"/>
  <c r="H594" i="32" s="1"/>
  <c r="J173" i="22"/>
  <c r="J178" i="22" s="1"/>
  <c r="E33" i="24"/>
  <c r="E35" i="24" s="1"/>
  <c r="F246" i="21"/>
  <c r="P49" i="17"/>
  <c r="U62" i="17"/>
  <c r="W62" i="17" s="1"/>
  <c r="M14" i="17"/>
  <c r="M9" i="17"/>
  <c r="V54" i="17"/>
  <c r="S97" i="15"/>
  <c r="S85" i="15"/>
  <c r="S78" i="15"/>
  <c r="K14" i="17"/>
  <c r="K9" i="17"/>
  <c r="S109" i="15"/>
  <c r="S111" i="15" s="1"/>
  <c r="S101" i="15"/>
  <c r="W63" i="15"/>
  <c r="K35" i="15"/>
  <c r="Y28" i="15"/>
  <c r="W28" i="15"/>
  <c r="X15" i="15"/>
  <c r="Y15" i="15" s="1"/>
  <c r="O97" i="15"/>
  <c r="W124" i="12"/>
  <c r="K126" i="12"/>
  <c r="W76" i="15"/>
  <c r="W69" i="12"/>
  <c r="AB10" i="12"/>
  <c r="V72" i="13"/>
  <c r="T72" i="13"/>
  <c r="O50" i="11"/>
  <c r="S72" i="13"/>
  <c r="N129" i="12"/>
  <c r="M132" i="12"/>
  <c r="M129" i="12"/>
  <c r="M131" i="12" s="1"/>
  <c r="U50" i="11"/>
  <c r="W93" i="10"/>
  <c r="T140" i="10"/>
  <c r="T142" i="10" s="1"/>
  <c r="T132" i="10"/>
  <c r="W75" i="11"/>
  <c r="AB14" i="11"/>
  <c r="W71" i="10"/>
  <c r="AB9" i="10"/>
  <c r="R140" i="10"/>
  <c r="R142" i="10" s="1"/>
  <c r="R132" i="10"/>
  <c r="T19" i="10"/>
  <c r="T79" i="10"/>
  <c r="M125" i="11"/>
  <c r="M106" i="11"/>
  <c r="M113" i="11"/>
  <c r="W86" i="11"/>
  <c r="K111" i="11"/>
  <c r="K113" i="11" s="1"/>
  <c r="W91" i="10"/>
  <c r="P79" i="10"/>
  <c r="P19" i="10"/>
  <c r="W84" i="10"/>
  <c r="L79" i="10"/>
  <c r="L19" i="10"/>
  <c r="L23" i="9"/>
  <c r="R19" i="10"/>
  <c r="R79" i="10"/>
  <c r="W127" i="10"/>
  <c r="X118" i="10" s="1"/>
  <c r="T150" i="9"/>
  <c r="T147" i="9"/>
  <c r="T149" i="9" s="1"/>
  <c r="Y115" i="9"/>
  <c r="W30" i="11"/>
  <c r="U2" i="11" s="1"/>
  <c r="U3" i="11" s="1"/>
  <c r="U18" i="11" s="1"/>
  <c r="N140" i="9"/>
  <c r="N118" i="9"/>
  <c r="N125" i="9"/>
  <c r="AB17" i="9"/>
  <c r="H17" i="9"/>
  <c r="W88" i="9"/>
  <c r="X112" i="9"/>
  <c r="AG5" i="9"/>
  <c r="N24" i="9"/>
  <c r="N89" i="9"/>
  <c r="W97" i="9"/>
  <c r="N2" i="9"/>
  <c r="N3" i="9" s="1"/>
  <c r="N19" i="9" s="1"/>
  <c r="Q24" i="9"/>
  <c r="Q89" i="9"/>
  <c r="U140" i="9"/>
  <c r="U125" i="9"/>
  <c r="U118" i="9"/>
  <c r="AB24" i="9"/>
  <c r="AB31" i="9" s="1"/>
  <c r="S163" i="8"/>
  <c r="S171" i="8"/>
  <c r="S173" i="8" s="1"/>
  <c r="N159" i="8"/>
  <c r="N137" i="8"/>
  <c r="N144" i="8"/>
  <c r="X127" i="8"/>
  <c r="Y120" i="8"/>
  <c r="N166" i="8"/>
  <c r="K23" i="8"/>
  <c r="K140" i="9"/>
  <c r="T172" i="7"/>
  <c r="T174" i="7" s="1"/>
  <c r="M159" i="8"/>
  <c r="M137" i="8"/>
  <c r="M144" i="8"/>
  <c r="T144" i="8"/>
  <c r="T159" i="8"/>
  <c r="T137" i="8"/>
  <c r="L78" i="8"/>
  <c r="Q79" i="7"/>
  <c r="W119" i="7"/>
  <c r="S125" i="7"/>
  <c r="M24" i="8"/>
  <c r="M108" i="8"/>
  <c r="R146" i="6"/>
  <c r="R162" i="6"/>
  <c r="R139" i="6"/>
  <c r="W71" i="6"/>
  <c r="X71" i="6" s="1"/>
  <c r="M174" i="6"/>
  <c r="N52" i="6"/>
  <c r="O49" i="17"/>
  <c r="L77" i="15"/>
  <c r="L80" i="15"/>
  <c r="L83" i="15" s="1"/>
  <c r="W69" i="15"/>
  <c r="W72" i="13"/>
  <c r="Z65" i="13"/>
  <c r="X65" i="13"/>
  <c r="L103" i="12"/>
  <c r="L110" i="12"/>
  <c r="L122" i="12"/>
  <c r="X100" i="12"/>
  <c r="X93" i="12"/>
  <c r="X96" i="12"/>
  <c r="X94" i="12"/>
  <c r="X95" i="12"/>
  <c r="N93" i="11"/>
  <c r="W76" i="11"/>
  <c r="AB15" i="11"/>
  <c r="W48" i="9"/>
  <c r="X48" i="9" s="1"/>
  <c r="S144" i="8"/>
  <c r="S159" i="8"/>
  <c r="S137" i="8"/>
  <c r="S166" i="8"/>
  <c r="S168" i="8" s="1"/>
  <c r="S169" i="8"/>
  <c r="W77" i="7"/>
  <c r="X77" i="7" s="1"/>
  <c r="AB16" i="7"/>
  <c r="H16" i="7"/>
  <c r="W107" i="7"/>
  <c r="V79" i="7"/>
  <c r="W118" i="6"/>
  <c r="W123" i="6"/>
  <c r="W115" i="6"/>
  <c r="U80" i="6"/>
  <c r="N60" i="17"/>
  <c r="N67" i="17"/>
  <c r="N79" i="17"/>
  <c r="Y7" i="15"/>
  <c r="Z7" i="15" s="1"/>
  <c r="W51" i="15"/>
  <c r="AB7" i="15"/>
  <c r="M134" i="12"/>
  <c r="M136" i="12" s="1"/>
  <c r="M126" i="12"/>
  <c r="V90" i="12"/>
  <c r="AB18" i="12"/>
  <c r="P75" i="12"/>
  <c r="P26" i="12"/>
  <c r="R75" i="12"/>
  <c r="R26" i="12"/>
  <c r="AB11" i="11"/>
  <c r="W72" i="11"/>
  <c r="N78" i="11"/>
  <c r="AF4" i="11"/>
  <c r="AE4" i="11" s="1"/>
  <c r="N19" i="11"/>
  <c r="X21" i="12"/>
  <c r="Y21" i="12" s="1"/>
  <c r="P128" i="10"/>
  <c r="P107" i="10"/>
  <c r="P114" i="10"/>
  <c r="L19" i="11"/>
  <c r="L78" i="11"/>
  <c r="W70" i="10"/>
  <c r="AB8" i="10"/>
  <c r="W127" i="11"/>
  <c r="W82" i="12"/>
  <c r="O140" i="9"/>
  <c r="O118" i="9"/>
  <c r="O125" i="9"/>
  <c r="O51" i="10"/>
  <c r="Y104" i="10"/>
  <c r="W40" i="10"/>
  <c r="W104" i="9"/>
  <c r="W121" i="8"/>
  <c r="U166" i="8"/>
  <c r="U168" i="8" s="1"/>
  <c r="U169" i="8" s="1"/>
  <c r="N61" i="8"/>
  <c r="W114" i="8"/>
  <c r="X131" i="8"/>
  <c r="AB7" i="9"/>
  <c r="W78" i="9"/>
  <c r="H7" i="9"/>
  <c r="Y114" i="8"/>
  <c r="H7" i="8"/>
  <c r="W67" i="8"/>
  <c r="X67" i="8" s="1"/>
  <c r="AB7" i="8"/>
  <c r="W97" i="8"/>
  <c r="N52" i="8"/>
  <c r="N63" i="8" s="1"/>
  <c r="O79" i="7"/>
  <c r="V160" i="7"/>
  <c r="V145" i="7"/>
  <c r="V138" i="7"/>
  <c r="W122" i="7"/>
  <c r="S79" i="7"/>
  <c r="AG18" i="7"/>
  <c r="W108" i="6"/>
  <c r="AB16" i="6"/>
  <c r="W103" i="6"/>
  <c r="AB11" i="6"/>
  <c r="T23" i="6"/>
  <c r="T110" i="6"/>
  <c r="T24" i="6"/>
  <c r="W119" i="6"/>
  <c r="P24" i="6"/>
  <c r="P110" i="6"/>
  <c r="P23" i="6"/>
  <c r="N62" i="6"/>
  <c r="Z61" i="15"/>
  <c r="X61" i="15"/>
  <c r="K103" i="12"/>
  <c r="K110" i="12"/>
  <c r="K122" i="12"/>
  <c r="S15" i="13"/>
  <c r="S24" i="13"/>
  <c r="S61" i="13"/>
  <c r="Q50" i="11"/>
  <c r="AB14" i="10"/>
  <c r="W76" i="10"/>
  <c r="R144" i="9"/>
  <c r="L24" i="9"/>
  <c r="L89" i="9"/>
  <c r="V140" i="10"/>
  <c r="V142" i="10" s="1"/>
  <c r="V132" i="10"/>
  <c r="O128" i="10"/>
  <c r="O114" i="10"/>
  <c r="O107" i="10"/>
  <c r="Y113" i="8"/>
  <c r="W137" i="7"/>
  <c r="Y131" i="7" s="1"/>
  <c r="W22" i="7"/>
  <c r="K164" i="7"/>
  <c r="W162" i="7"/>
  <c r="M124" i="8"/>
  <c r="AI14" i="7"/>
  <c r="X111" i="13"/>
  <c r="P47" i="12"/>
  <c r="U15" i="13"/>
  <c r="X14" i="13"/>
  <c r="U24" i="13"/>
  <c r="U61" i="13"/>
  <c r="F120" i="21"/>
  <c r="F121" i="21" s="1"/>
  <c r="Y34" i="15"/>
  <c r="Q109" i="15"/>
  <c r="Q111" i="15" s="1"/>
  <c r="Q101" i="15"/>
  <c r="AE4" i="15"/>
  <c r="AH3" i="15"/>
  <c r="AH4" i="15"/>
  <c r="V91" i="13"/>
  <c r="V103" i="13"/>
  <c r="K39" i="17"/>
  <c r="AE3" i="17"/>
  <c r="AC3" i="17" s="1"/>
  <c r="I14" i="17"/>
  <c r="I9" i="17"/>
  <c r="N19" i="15"/>
  <c r="W19" i="15" s="1"/>
  <c r="K109" i="15"/>
  <c r="K101" i="15"/>
  <c r="W33" i="15"/>
  <c r="X101" i="12"/>
  <c r="R134" i="12"/>
  <c r="R136" i="12" s="1"/>
  <c r="R126" i="12"/>
  <c r="Q129" i="12"/>
  <c r="AH6" i="12"/>
  <c r="AE6" i="12"/>
  <c r="S41" i="13"/>
  <c r="Y43" i="12"/>
  <c r="X23" i="12"/>
  <c r="Y23" i="12" s="1"/>
  <c r="Y47" i="10"/>
  <c r="W47" i="10"/>
  <c r="X47" i="10" s="1"/>
  <c r="W139" i="9"/>
  <c r="X130" i="9" s="1"/>
  <c r="Y50" i="10"/>
  <c r="W50" i="10"/>
  <c r="X50" i="10" s="1"/>
  <c r="K129" i="11"/>
  <c r="P152" i="9"/>
  <c r="P154" i="9" s="1"/>
  <c r="P144" i="9"/>
  <c r="T128" i="10"/>
  <c r="T114" i="10"/>
  <c r="O79" i="10"/>
  <c r="O19" i="10"/>
  <c r="N79" i="10"/>
  <c r="AF4" i="10"/>
  <c r="AE4" i="10" s="1"/>
  <c r="AH4" i="10" s="1"/>
  <c r="N19" i="10"/>
  <c r="Y100" i="10"/>
  <c r="V105" i="9"/>
  <c r="Y40" i="10"/>
  <c r="Y101" i="10"/>
  <c r="K123" i="9"/>
  <c r="W95" i="9"/>
  <c r="M105" i="9"/>
  <c r="N147" i="9"/>
  <c r="O147" i="9"/>
  <c r="O149" i="9" s="1"/>
  <c r="O150" i="9" s="1"/>
  <c r="X111" i="9"/>
  <c r="W118" i="8"/>
  <c r="O124" i="8"/>
  <c r="W93" i="8"/>
  <c r="S160" i="7"/>
  <c r="W104" i="7"/>
  <c r="Y13" i="7"/>
  <c r="Z13" i="7" s="1"/>
  <c r="W74" i="7"/>
  <c r="X74" i="7" s="1"/>
  <c r="AB13" i="7"/>
  <c r="H13" i="7"/>
  <c r="U159" i="8"/>
  <c r="W72" i="8"/>
  <c r="X72" i="8" s="1"/>
  <c r="T109" i="7"/>
  <c r="T138" i="7"/>
  <c r="T24" i="7"/>
  <c r="T19" i="7"/>
  <c r="T23" i="7"/>
  <c r="O23" i="8"/>
  <c r="M78" i="8"/>
  <c r="O174" i="6"/>
  <c r="O166" i="6"/>
  <c r="W104" i="6"/>
  <c r="AB12" i="6"/>
  <c r="T166" i="6"/>
  <c r="Q110" i="6"/>
  <c r="Q24" i="6"/>
  <c r="X129" i="6"/>
  <c r="H61" i="6"/>
  <c r="N53" i="6"/>
  <c r="P96" i="15"/>
  <c r="P99" i="15" s="1"/>
  <c r="P100" i="15"/>
  <c r="P110" i="15" s="1"/>
  <c r="AB10" i="10"/>
  <c r="W72" i="10"/>
  <c r="K51" i="10"/>
  <c r="Y51" i="10" s="1"/>
  <c r="W58" i="9"/>
  <c r="X58" i="9" s="1"/>
  <c r="W103" i="8"/>
  <c r="AB13" i="8"/>
  <c r="H13" i="8"/>
  <c r="W73" i="8"/>
  <c r="X73" i="8" s="1"/>
  <c r="N2" i="8"/>
  <c r="N3" i="8" s="1"/>
  <c r="Q167" i="7"/>
  <c r="Q169" i="7" s="1"/>
  <c r="Q170" i="7" s="1"/>
  <c r="M164" i="7"/>
  <c r="Z7" i="17"/>
  <c r="W7" i="17"/>
  <c r="X7" i="17" s="1"/>
  <c r="R15" i="13"/>
  <c r="R24" i="13"/>
  <c r="R61" i="13"/>
  <c r="M55" i="15"/>
  <c r="M18" i="15"/>
  <c r="M12" i="15"/>
  <c r="W89" i="15"/>
  <c r="W54" i="15"/>
  <c r="AB10" i="15"/>
  <c r="Y10" i="15"/>
  <c r="Z10" i="15" s="1"/>
  <c r="U137" i="11"/>
  <c r="U139" i="11" s="1"/>
  <c r="U129" i="11"/>
  <c r="V110" i="12"/>
  <c r="V122" i="12"/>
  <c r="M50" i="11"/>
  <c r="F184" i="21"/>
  <c r="G19" i="24"/>
  <c r="G33" i="24" s="1"/>
  <c r="G35" i="24"/>
  <c r="J84" i="20"/>
  <c r="J88" i="20" s="1"/>
  <c r="J97" i="20" s="1"/>
  <c r="K86" i="20"/>
  <c r="K88" i="20" s="1"/>
  <c r="E123" i="21"/>
  <c r="U30" i="17"/>
  <c r="Q9" i="17"/>
  <c r="Q14" i="17"/>
  <c r="P9" i="17"/>
  <c r="P14" i="17"/>
  <c r="M49" i="17"/>
  <c r="O79" i="17"/>
  <c r="O60" i="17"/>
  <c r="O67" i="17"/>
  <c r="U46" i="17"/>
  <c r="O14" i="17"/>
  <c r="O9" i="17"/>
  <c r="W62" i="15"/>
  <c r="L30" i="15"/>
  <c r="L35" i="15" s="1"/>
  <c r="W106" i="15"/>
  <c r="X105" i="15" s="1"/>
  <c r="I49" i="17"/>
  <c r="U43" i="17"/>
  <c r="Q18" i="15"/>
  <c r="Q55" i="15"/>
  <c r="Q12" i="15"/>
  <c r="T83" i="17"/>
  <c r="T91" i="17"/>
  <c r="T93" i="17" s="1"/>
  <c r="V81" i="17"/>
  <c r="W45" i="15"/>
  <c r="Y39" i="13"/>
  <c r="W51" i="13"/>
  <c r="Y8" i="13"/>
  <c r="Z8" i="13" s="1"/>
  <c r="W58" i="13"/>
  <c r="AB8" i="13"/>
  <c r="U47" i="12"/>
  <c r="U90" i="12"/>
  <c r="X120" i="12"/>
  <c r="V126" i="12"/>
  <c r="V134" i="12"/>
  <c r="V136" i="12" s="1"/>
  <c r="K47" i="12"/>
  <c r="Y47" i="12" s="1"/>
  <c r="T134" i="12"/>
  <c r="T136" i="12" s="1"/>
  <c r="L125" i="11"/>
  <c r="L106" i="11"/>
  <c r="X96" i="11"/>
  <c r="X97" i="11"/>
  <c r="L113" i="11"/>
  <c r="W42" i="12"/>
  <c r="X42" i="12" s="1"/>
  <c r="W71" i="12"/>
  <c r="W43" i="12"/>
  <c r="X43" i="12" s="1"/>
  <c r="AB12" i="12"/>
  <c r="X123" i="11"/>
  <c r="X24" i="11"/>
  <c r="Y24" i="11" s="1"/>
  <c r="X25" i="11"/>
  <c r="Y25" i="11" s="1"/>
  <c r="X76" i="13"/>
  <c r="N47" i="12"/>
  <c r="S140" i="10"/>
  <c r="S142" i="10" s="1"/>
  <c r="S132" i="10"/>
  <c r="M19" i="11"/>
  <c r="M78" i="11"/>
  <c r="M47" i="12"/>
  <c r="N128" i="10"/>
  <c r="N114" i="10"/>
  <c r="N107" i="10"/>
  <c r="W65" i="12"/>
  <c r="AB6" i="12"/>
  <c r="K94" i="10"/>
  <c r="W83" i="10"/>
  <c r="V132" i="11"/>
  <c r="W46" i="10"/>
  <c r="X46" i="10" s="1"/>
  <c r="K137" i="11"/>
  <c r="W67" i="12"/>
  <c r="AB8" i="12"/>
  <c r="S19" i="11"/>
  <c r="S78" i="11"/>
  <c r="M135" i="10"/>
  <c r="M137" i="10" s="1"/>
  <c r="M138" i="10" s="1"/>
  <c r="Q144" i="9"/>
  <c r="O94" i="10"/>
  <c r="N94" i="10"/>
  <c r="X101" i="10"/>
  <c r="Q132" i="10"/>
  <c r="M118" i="9"/>
  <c r="W120" i="9"/>
  <c r="W49" i="9"/>
  <c r="X49" i="9" s="1"/>
  <c r="W101" i="9"/>
  <c r="W47" i="9"/>
  <c r="K59" i="9"/>
  <c r="W74" i="9"/>
  <c r="O78" i="8"/>
  <c r="K166" i="8"/>
  <c r="K171" i="8" s="1"/>
  <c r="Q164" i="7"/>
  <c r="N54" i="7"/>
  <c r="U137" i="8"/>
  <c r="R23" i="8"/>
  <c r="L172" i="7"/>
  <c r="L174" i="7" s="1"/>
  <c r="AB10" i="7"/>
  <c r="H10" i="7"/>
  <c r="W101" i="7"/>
  <c r="W71" i="7"/>
  <c r="X71" i="7" s="1"/>
  <c r="N55" i="7"/>
  <c r="T79" i="7"/>
  <c r="M160" i="7"/>
  <c r="W123" i="7"/>
  <c r="M63" i="7"/>
  <c r="N51" i="7"/>
  <c r="L109" i="7"/>
  <c r="L24" i="7"/>
  <c r="L19" i="7"/>
  <c r="K126" i="6"/>
  <c r="W114" i="6"/>
  <c r="N174" i="6"/>
  <c r="N166" i="6"/>
  <c r="M162" i="6"/>
  <c r="M146" i="6"/>
  <c r="M139" i="6"/>
  <c r="W22" i="6"/>
  <c r="O84" i="13"/>
  <c r="O103" i="13"/>
  <c r="O91" i="13"/>
  <c r="K12" i="15"/>
  <c r="K55" i="15"/>
  <c r="K18" i="15"/>
  <c r="AG3" i="15"/>
  <c r="AE3" i="15" s="1"/>
  <c r="V15" i="13"/>
  <c r="V24" i="13"/>
  <c r="V61" i="13"/>
  <c r="AB9" i="9"/>
  <c r="W80" i="9"/>
  <c r="H9" i="9"/>
  <c r="T140" i="9"/>
  <c r="T125" i="9"/>
  <c r="T118" i="9"/>
  <c r="H10" i="9"/>
  <c r="W81" i="9"/>
  <c r="AB10" i="9"/>
  <c r="V144" i="8"/>
  <c r="V137" i="8"/>
  <c r="V159" i="8"/>
  <c r="Y133" i="7"/>
  <c r="Z64" i="15"/>
  <c r="X64" i="15"/>
  <c r="S103" i="12"/>
  <c r="S110" i="12"/>
  <c r="S122" i="12"/>
  <c r="E63" i="37"/>
  <c r="D75" i="37"/>
  <c r="D77" i="37" s="1"/>
  <c r="D78" i="37" s="1"/>
  <c r="R37" i="24"/>
  <c r="R41" i="24"/>
  <c r="R42" i="24" s="1"/>
  <c r="S35" i="24"/>
  <c r="S19" i="24"/>
  <c r="S33" i="24" s="1"/>
  <c r="P83" i="17"/>
  <c r="P91" i="17"/>
  <c r="P93" i="17" s="1"/>
  <c r="U88" i="17"/>
  <c r="V87" i="17" s="1"/>
  <c r="S67" i="17"/>
  <c r="S79" i="17"/>
  <c r="H33" i="24"/>
  <c r="H35" i="24" s="1"/>
  <c r="U4" i="17"/>
  <c r="N14" i="17"/>
  <c r="N9" i="17"/>
  <c r="I38" i="23"/>
  <c r="I44" i="23" s="1"/>
  <c r="I45" i="23"/>
  <c r="K78" i="15"/>
  <c r="K85" i="15"/>
  <c r="K97" i="15"/>
  <c r="AD24" i="14"/>
  <c r="U12" i="15"/>
  <c r="U55" i="15"/>
  <c r="U18" i="15"/>
  <c r="U33" i="17"/>
  <c r="I39" i="17"/>
  <c r="M41" i="13"/>
  <c r="R79" i="17"/>
  <c r="R67" i="17"/>
  <c r="N39" i="17"/>
  <c r="O66" i="15"/>
  <c r="N15" i="13"/>
  <c r="N25" i="13"/>
  <c r="W25" i="13" s="1"/>
  <c r="N24" i="13"/>
  <c r="N61" i="13"/>
  <c r="AF2" i="13"/>
  <c r="W69" i="13"/>
  <c r="V19" i="15"/>
  <c r="U44" i="17"/>
  <c r="V75" i="12"/>
  <c r="V26" i="12"/>
  <c r="W32" i="12"/>
  <c r="Y96" i="12"/>
  <c r="K103" i="13"/>
  <c r="W36" i="12"/>
  <c r="AH4" i="13"/>
  <c r="AH5" i="13"/>
  <c r="AE5" i="13"/>
  <c r="Y42" i="11"/>
  <c r="W42" i="11"/>
  <c r="X42" i="11" s="1"/>
  <c r="R106" i="11"/>
  <c r="R113" i="11"/>
  <c r="R125" i="11"/>
  <c r="AB16" i="11"/>
  <c r="W77" i="11"/>
  <c r="Y44" i="11"/>
  <c r="W44" i="11"/>
  <c r="X44" i="11" s="1"/>
  <c r="U128" i="10"/>
  <c r="U114" i="10"/>
  <c r="M128" i="10"/>
  <c r="M114" i="10"/>
  <c r="M107" i="10"/>
  <c r="Q94" i="10"/>
  <c r="L47" i="12"/>
  <c r="W68" i="11"/>
  <c r="AB7" i="11"/>
  <c r="T51" i="10"/>
  <c r="M137" i="11"/>
  <c r="M139" i="11" s="1"/>
  <c r="M129" i="11"/>
  <c r="W86" i="10"/>
  <c r="Y39" i="12"/>
  <c r="W39" i="12"/>
  <c r="X39" i="12" s="1"/>
  <c r="S93" i="11"/>
  <c r="Q140" i="9"/>
  <c r="Q125" i="9"/>
  <c r="Q118" i="9"/>
  <c r="K153" i="9"/>
  <c r="W153" i="9" s="1"/>
  <c r="W143" i="9"/>
  <c r="W78" i="10"/>
  <c r="AB16" i="10"/>
  <c r="Q140" i="10"/>
  <c r="Q142" i="10" s="1"/>
  <c r="W79" i="9"/>
  <c r="AB8" i="9"/>
  <c r="H8" i="9"/>
  <c r="M59" i="9"/>
  <c r="K89" i="9"/>
  <c r="X26" i="9" a="1"/>
  <c r="X26" i="9" s="1"/>
  <c r="Y26" i="9" s="1"/>
  <c r="K24" i="9"/>
  <c r="AH6" i="9"/>
  <c r="AB30" i="9"/>
  <c r="K147" i="9"/>
  <c r="K152" i="9" s="1"/>
  <c r="W18" i="8"/>
  <c r="H11" i="8" s="1"/>
  <c r="W66" i="8"/>
  <c r="W96" i="8"/>
  <c r="AB6" i="8"/>
  <c r="H6" i="8"/>
  <c r="N78" i="8"/>
  <c r="W42" i="8"/>
  <c r="N145" i="7"/>
  <c r="N138" i="7"/>
  <c r="N160" i="7"/>
  <c r="K138" i="7"/>
  <c r="K160" i="7"/>
  <c r="O125" i="7"/>
  <c r="V23" i="8"/>
  <c r="W99" i="8"/>
  <c r="AB9" i="8"/>
  <c r="H9" i="8"/>
  <c r="W69" i="8"/>
  <c r="X69" i="8" s="1"/>
  <c r="K167" i="7"/>
  <c r="N58" i="8"/>
  <c r="W117" i="7"/>
  <c r="T125" i="7"/>
  <c r="K109" i="7"/>
  <c r="K24" i="7"/>
  <c r="AB24" i="7"/>
  <c r="AB36" i="7" s="1"/>
  <c r="AH5" i="7"/>
  <c r="W75" i="6"/>
  <c r="X75" i="6" s="1"/>
  <c r="T146" i="6"/>
  <c r="T162" i="6"/>
  <c r="T139" i="6"/>
  <c r="P174" i="6"/>
  <c r="W2" i="7" l="1"/>
  <c r="X154" i="7"/>
  <c r="X150" i="7"/>
  <c r="X159" i="7"/>
  <c r="X156" i="7"/>
  <c r="AA8" i="7"/>
  <c r="Y8" i="7" s="1"/>
  <c r="Z8" i="7" s="1"/>
  <c r="AA11" i="7"/>
  <c r="Y11" i="7" s="1"/>
  <c r="Z11" i="7" s="1"/>
  <c r="X153" i="7"/>
  <c r="X151" i="7"/>
  <c r="X155" i="7"/>
  <c r="AA15" i="7"/>
  <c r="Y15" i="7" s="1"/>
  <c r="Z15" i="7" s="1"/>
  <c r="X152" i="7"/>
  <c r="X149" i="7"/>
  <c r="Y132" i="7"/>
  <c r="Y136" i="7"/>
  <c r="Y128" i="7"/>
  <c r="AA18" i="7"/>
  <c r="Q172" i="7"/>
  <c r="Q174" i="7" s="1"/>
  <c r="X8" i="6"/>
  <c r="X15" i="6"/>
  <c r="Y130" i="6"/>
  <c r="Y137" i="6"/>
  <c r="Y133" i="6"/>
  <c r="Y132" i="6"/>
  <c r="X16" i="6"/>
  <c r="X17" i="6"/>
  <c r="X6" i="6"/>
  <c r="X7" i="6"/>
  <c r="X10" i="6"/>
  <c r="P3" i="6"/>
  <c r="P19" i="6" s="1"/>
  <c r="X12" i="6"/>
  <c r="X13" i="6"/>
  <c r="X11" i="6"/>
  <c r="X14" i="6"/>
  <c r="X18" i="6"/>
  <c r="AI14" i="6"/>
  <c r="AA7" i="6"/>
  <c r="Y7" i="6" s="1"/>
  <c r="Z7" i="6" s="1"/>
  <c r="AA14" i="6"/>
  <c r="Y14" i="6" s="1"/>
  <c r="Z14" i="6" s="1"/>
  <c r="AA17" i="6"/>
  <c r="Y17" i="6" s="1"/>
  <c r="Z17" i="6" s="1"/>
  <c r="AA8" i="6"/>
  <c r="Y8" i="6" s="1"/>
  <c r="Z8" i="6" s="1"/>
  <c r="M3" i="6"/>
  <c r="M19" i="6" s="1"/>
  <c r="AA16" i="6"/>
  <c r="Y16" i="6" s="1"/>
  <c r="Z16" i="6" s="1"/>
  <c r="AA10" i="6"/>
  <c r="Y10" i="6" s="1"/>
  <c r="Z10" i="6" s="1"/>
  <c r="AA18" i="6"/>
  <c r="AA11" i="6"/>
  <c r="Y11" i="6" s="1"/>
  <c r="Z11" i="6" s="1"/>
  <c r="AA12" i="6"/>
  <c r="Y12" i="6" s="1"/>
  <c r="Z12" i="6" s="1"/>
  <c r="W2" i="6"/>
  <c r="AA13" i="6"/>
  <c r="Y13" i="6" s="1"/>
  <c r="Z13" i="6" s="1"/>
  <c r="AA9" i="6"/>
  <c r="Y9" i="6" s="1"/>
  <c r="Z9" i="6" s="1"/>
  <c r="AA6" i="6"/>
  <c r="Y6" i="6" s="1"/>
  <c r="Z6" i="6" s="1"/>
  <c r="Y136" i="6"/>
  <c r="AA15" i="6"/>
  <c r="Y15" i="6" s="1"/>
  <c r="Z15" i="6" s="1"/>
  <c r="Y131" i="6"/>
  <c r="K171" i="6"/>
  <c r="K172" i="6" s="1"/>
  <c r="D6" i="6"/>
  <c r="D8" i="6" s="1"/>
  <c r="Y76" i="13"/>
  <c r="H7" i="6"/>
  <c r="W144" i="6"/>
  <c r="H11" i="6"/>
  <c r="N127" i="6"/>
  <c r="W169" i="6"/>
  <c r="W171" i="6" s="1"/>
  <c r="X169" i="6" s="1"/>
  <c r="AF5" i="6"/>
  <c r="M20" i="6"/>
  <c r="M21" i="6" s="1"/>
  <c r="Y129" i="6"/>
  <c r="U20" i="6"/>
  <c r="U21" i="6" s="1"/>
  <c r="T20" i="6"/>
  <c r="T21" i="6" s="1"/>
  <c r="O20" i="6"/>
  <c r="O21" i="6" s="1"/>
  <c r="N64" i="6"/>
  <c r="Q171" i="6"/>
  <c r="Q172" i="6" s="1"/>
  <c r="Q174" i="6"/>
  <c r="P78" i="15"/>
  <c r="V47" i="17"/>
  <c r="U85" i="15"/>
  <c r="Y35" i="15"/>
  <c r="V48" i="17"/>
  <c r="W80" i="15"/>
  <c r="Y75" i="13"/>
  <c r="U39" i="17"/>
  <c r="K154" i="9"/>
  <c r="F123" i="21"/>
  <c r="W134" i="11"/>
  <c r="X133" i="11" s="1"/>
  <c r="K173" i="8"/>
  <c r="K101" i="21"/>
  <c r="K111" i="21" s="1"/>
  <c r="K120" i="21"/>
  <c r="K113" i="21"/>
  <c r="K115" i="21" s="1"/>
  <c r="M99" i="21"/>
  <c r="K136" i="12"/>
  <c r="O41" i="24"/>
  <c r="O42" i="24" s="1"/>
  <c r="O37" i="24"/>
  <c r="K142" i="10"/>
  <c r="F153" i="21"/>
  <c r="W167" i="7"/>
  <c r="K169" i="7"/>
  <c r="K170" i="7" s="1"/>
  <c r="G153" i="21"/>
  <c r="W118" i="9"/>
  <c r="W140" i="9"/>
  <c r="Y110" i="9"/>
  <c r="Y112" i="9"/>
  <c r="Y113" i="9"/>
  <c r="Z4" i="17"/>
  <c r="W4" i="17"/>
  <c r="X4" i="17" s="1"/>
  <c r="T126" i="7"/>
  <c r="T20" i="7"/>
  <c r="V86" i="17"/>
  <c r="W123" i="9"/>
  <c r="K125" i="9"/>
  <c r="W125" i="9" s="1"/>
  <c r="M125" i="8"/>
  <c r="M20" i="8"/>
  <c r="Z84" i="10"/>
  <c r="X84" i="10"/>
  <c r="X159" i="6"/>
  <c r="H13" i="4"/>
  <c r="AB11" i="15"/>
  <c r="AB13" i="15" s="1"/>
  <c r="W12" i="15"/>
  <c r="Y11" i="15"/>
  <c r="Z11" i="15" s="1"/>
  <c r="W55" i="15"/>
  <c r="J23" i="15"/>
  <c r="W21" i="15"/>
  <c r="W22" i="15" s="1"/>
  <c r="Y18" i="15"/>
  <c r="Z18" i="15" s="1"/>
  <c r="W18" i="15"/>
  <c r="X12" i="15"/>
  <c r="Y12" i="15" s="1"/>
  <c r="P125" i="8"/>
  <c r="P20" i="8"/>
  <c r="X71" i="17"/>
  <c r="Z60" i="15"/>
  <c r="X60" i="15"/>
  <c r="X137" i="9"/>
  <c r="X45" i="17"/>
  <c r="V45" i="17"/>
  <c r="J79" i="17"/>
  <c r="H15" i="9"/>
  <c r="G287" i="21"/>
  <c r="E287" i="21"/>
  <c r="D287" i="21"/>
  <c r="D289" i="21" s="1"/>
  <c r="D291" i="21" s="1"/>
  <c r="F287" i="21"/>
  <c r="F289" i="21" s="1"/>
  <c r="F291" i="21" s="1"/>
  <c r="W93" i="11"/>
  <c r="Z82" i="11"/>
  <c r="X82" i="11"/>
  <c r="Y109" i="9"/>
  <c r="O126" i="7"/>
  <c r="O20" i="7"/>
  <c r="N131" i="12"/>
  <c r="N132" i="12" s="1"/>
  <c r="N134" i="12"/>
  <c r="N136" i="12" s="1"/>
  <c r="X138" i="9"/>
  <c r="K139" i="11"/>
  <c r="W137" i="11"/>
  <c r="W164" i="7"/>
  <c r="X163" i="7" s="1"/>
  <c r="R152" i="9"/>
  <c r="R154" i="9" s="1"/>
  <c r="P2" i="11"/>
  <c r="P3" i="11" s="1"/>
  <c r="P18" i="11" s="1"/>
  <c r="S2" i="11"/>
  <c r="S3" i="11" s="1"/>
  <c r="S18" i="11" s="1"/>
  <c r="T2" i="11"/>
  <c r="T3" i="11" s="1"/>
  <c r="T18" i="11" s="1"/>
  <c r="L2" i="11"/>
  <c r="L3" i="11" s="1"/>
  <c r="L18" i="11" s="1"/>
  <c r="N2" i="11"/>
  <c r="N3" i="11" s="1"/>
  <c r="N18" i="11" s="1"/>
  <c r="V2" i="11"/>
  <c r="R2" i="11"/>
  <c r="R3" i="11" s="1"/>
  <c r="R18" i="11" s="1"/>
  <c r="O2" i="11"/>
  <c r="O3" i="11" s="1"/>
  <c r="O18" i="11" s="1"/>
  <c r="K2" i="11"/>
  <c r="Q2" i="11"/>
  <c r="Q3" i="11" s="1"/>
  <c r="Q18" i="11" s="1"/>
  <c r="M2" i="11"/>
  <c r="M3" i="11" s="1"/>
  <c r="M18" i="11" s="1"/>
  <c r="Z80" i="12"/>
  <c r="X80" i="12"/>
  <c r="P169" i="7"/>
  <c r="P170" i="7" s="1"/>
  <c r="P172" i="7"/>
  <c r="P174" i="7" s="1"/>
  <c r="X124" i="11"/>
  <c r="X121" i="11"/>
  <c r="X122" i="11"/>
  <c r="K146" i="6"/>
  <c r="W146" i="6" s="1"/>
  <c r="L125" i="8"/>
  <c r="L20" i="8"/>
  <c r="AH18" i="8"/>
  <c r="AF5" i="8"/>
  <c r="Z87" i="11"/>
  <c r="X87" i="11"/>
  <c r="M78" i="15"/>
  <c r="M85" i="15"/>
  <c r="M97" i="15"/>
  <c r="X152" i="6"/>
  <c r="W50" i="11"/>
  <c r="X50" i="11" s="1"/>
  <c r="X39" i="11"/>
  <c r="H16" i="8"/>
  <c r="V149" i="9"/>
  <c r="V150" i="9" s="1"/>
  <c r="V152" i="9"/>
  <c r="V154" i="9" s="1"/>
  <c r="T2" i="8"/>
  <c r="T3" i="8" s="1"/>
  <c r="T19" i="8" s="1"/>
  <c r="O2" i="8"/>
  <c r="O3" i="8" s="1"/>
  <c r="O19" i="8" s="1"/>
  <c r="M2" i="8"/>
  <c r="M3" i="8" s="1"/>
  <c r="M19" i="8" s="1"/>
  <c r="K2" i="8"/>
  <c r="U2" i="8"/>
  <c r="U3" i="8" s="1"/>
  <c r="U19" i="8" s="1"/>
  <c r="V2" i="8"/>
  <c r="Q2" i="8"/>
  <c r="Q3" i="8" s="1"/>
  <c r="Q19" i="8" s="1"/>
  <c r="R2" i="8"/>
  <c r="R3" i="8" s="1"/>
  <c r="R19" i="8" s="1"/>
  <c r="P2" i="8"/>
  <c r="P3" i="8" s="1"/>
  <c r="P19" i="8" s="1"/>
  <c r="L2" i="8"/>
  <c r="L3" i="8" s="1"/>
  <c r="L19" i="8" s="1"/>
  <c r="V44" i="17"/>
  <c r="X44" i="17"/>
  <c r="AH4" i="11"/>
  <c r="X151" i="6"/>
  <c r="Y116" i="9"/>
  <c r="V20" i="7"/>
  <c r="V126" i="7"/>
  <c r="G289" i="21"/>
  <c r="G291" i="21" s="1"/>
  <c r="Z83" i="12"/>
  <c r="X83" i="12"/>
  <c r="V127" i="6"/>
  <c r="V20" i="6"/>
  <c r="X76" i="17"/>
  <c r="X153" i="6"/>
  <c r="W59" i="17"/>
  <c r="X52" i="17" s="1"/>
  <c r="L76" i="21"/>
  <c r="L78" i="21" s="1"/>
  <c r="K76" i="21"/>
  <c r="K78" i="21" s="1"/>
  <c r="G38" i="23"/>
  <c r="G44" i="23" s="1"/>
  <c r="G37" i="23"/>
  <c r="G59" i="23" s="1"/>
  <c r="G66" i="23" s="1"/>
  <c r="G45" i="23"/>
  <c r="N140" i="10"/>
  <c r="N142" i="10" s="1"/>
  <c r="AH2" i="12"/>
  <c r="AE2" i="12"/>
  <c r="X139" i="9"/>
  <c r="X135" i="9"/>
  <c r="X134" i="9"/>
  <c r="X131" i="9"/>
  <c r="D123" i="21"/>
  <c r="E45" i="23"/>
  <c r="E37" i="23"/>
  <c r="E59" i="23" s="1"/>
  <c r="E66" i="23" s="1"/>
  <c r="E38" i="23"/>
  <c r="E44" i="23" s="1"/>
  <c r="L19" i="21"/>
  <c r="Z69" i="13"/>
  <c r="X69" i="13"/>
  <c r="V134" i="11"/>
  <c r="V135" i="11" s="1"/>
  <c r="V137" i="11"/>
  <c r="V139" i="11" s="1"/>
  <c r="N26" i="6"/>
  <c r="N27" i="6"/>
  <c r="N21" i="6"/>
  <c r="X129" i="9"/>
  <c r="Q127" i="6"/>
  <c r="Q20" i="6"/>
  <c r="X142" i="9"/>
  <c r="W144" i="9"/>
  <c r="X143" i="9" s="1"/>
  <c r="Y111" i="9"/>
  <c r="W128" i="10"/>
  <c r="Y99" i="10"/>
  <c r="Y102" i="10"/>
  <c r="X102" i="13"/>
  <c r="X98" i="13"/>
  <c r="X99" i="13"/>
  <c r="X97" i="13"/>
  <c r="X123" i="10"/>
  <c r="X118" i="11"/>
  <c r="S127" i="6"/>
  <c r="S20" i="6"/>
  <c r="O152" i="9"/>
  <c r="O154" i="9" s="1"/>
  <c r="X150" i="8"/>
  <c r="X121" i="12"/>
  <c r="X116" i="12"/>
  <c r="X117" i="12"/>
  <c r="X67" i="7"/>
  <c r="W79" i="7"/>
  <c r="X79" i="7" s="1"/>
  <c r="F227" i="21"/>
  <c r="F229" i="21" s="1"/>
  <c r="R26" i="8"/>
  <c r="R27" i="8"/>
  <c r="R21" i="8"/>
  <c r="P127" i="6"/>
  <c r="P20" i="6"/>
  <c r="P109" i="15"/>
  <c r="P111" i="15" s="1"/>
  <c r="P101" i="15"/>
  <c r="W109" i="15"/>
  <c r="K111" i="15"/>
  <c r="W23" i="7"/>
  <c r="X22" i="7"/>
  <c r="W129" i="11"/>
  <c r="X127" i="11" s="1"/>
  <c r="R169" i="7"/>
  <c r="R170" i="7" s="1"/>
  <c r="R172" i="7"/>
  <c r="R174" i="7" s="1"/>
  <c r="R20" i="9"/>
  <c r="R21" i="9" s="1"/>
  <c r="R106" i="9"/>
  <c r="X158" i="6"/>
  <c r="L109" i="15"/>
  <c r="L111" i="15" s="1"/>
  <c r="L101" i="15"/>
  <c r="V20" i="8"/>
  <c r="V125" i="8"/>
  <c r="AB18" i="6"/>
  <c r="W24" i="6"/>
  <c r="J48" i="6"/>
  <c r="Y18" i="6"/>
  <c r="Z18" i="6" s="1"/>
  <c r="H18" i="6"/>
  <c r="W46" i="6"/>
  <c r="W110" i="6"/>
  <c r="W19" i="6"/>
  <c r="H17" i="6"/>
  <c r="H10" i="6"/>
  <c r="H14" i="6"/>
  <c r="H13" i="6"/>
  <c r="H8" i="6"/>
  <c r="H15" i="6"/>
  <c r="H9" i="6"/>
  <c r="W109" i="7"/>
  <c r="H18" i="7"/>
  <c r="Y18" i="7"/>
  <c r="Z18" i="7" s="1"/>
  <c r="W45" i="7"/>
  <c r="W24" i="7"/>
  <c r="W19" i="7"/>
  <c r="J47" i="7"/>
  <c r="AB18" i="7"/>
  <c r="W108" i="12"/>
  <c r="M172" i="7"/>
  <c r="M174" i="7" s="1"/>
  <c r="X160" i="6"/>
  <c r="W99" i="15"/>
  <c r="W160" i="7"/>
  <c r="Y129" i="7"/>
  <c r="W138" i="7"/>
  <c r="Y130" i="7"/>
  <c r="S20" i="7"/>
  <c r="S126" i="7"/>
  <c r="Z86" i="11"/>
  <c r="X86" i="11"/>
  <c r="W126" i="12"/>
  <c r="X125" i="12" s="1"/>
  <c r="X124" i="12"/>
  <c r="C103" i="20"/>
  <c r="C105" i="20" s="1"/>
  <c r="D103" i="20"/>
  <c r="T152" i="9"/>
  <c r="T154" i="9" s="1"/>
  <c r="X132" i="9"/>
  <c r="U20" i="9"/>
  <c r="U21" i="9" s="1"/>
  <c r="U106" i="9"/>
  <c r="W100" i="15"/>
  <c r="H14" i="7"/>
  <c r="Z83" i="11"/>
  <c r="X83" i="11"/>
  <c r="AF2" i="17"/>
  <c r="AC2" i="17"/>
  <c r="W3" i="7"/>
  <c r="H15" i="8"/>
  <c r="G17" i="21"/>
  <c r="G19" i="21" s="1"/>
  <c r="G21" i="21" s="1"/>
  <c r="D17" i="21"/>
  <c r="D19" i="21" s="1"/>
  <c r="D21" i="21" s="1"/>
  <c r="F17" i="21"/>
  <c r="F19" i="21" s="1"/>
  <c r="F21" i="21" s="1"/>
  <c r="E17" i="21"/>
  <c r="E19" i="21" s="1"/>
  <c r="E21" i="21" s="1"/>
  <c r="H6" i="6"/>
  <c r="S125" i="8"/>
  <c r="S20" i="8"/>
  <c r="AB23" i="11"/>
  <c r="U8" i="17"/>
  <c r="AB17" i="11"/>
  <c r="AB24" i="11" s="1"/>
  <c r="W19" i="11"/>
  <c r="J34" i="11"/>
  <c r="W78" i="11"/>
  <c r="W32" i="11"/>
  <c r="Y29" i="11"/>
  <c r="Z29" i="11" s="1"/>
  <c r="V20" i="9"/>
  <c r="V21" i="9" s="1"/>
  <c r="V106" i="9"/>
  <c r="K172" i="7"/>
  <c r="J31" i="12"/>
  <c r="W75" i="12"/>
  <c r="W29" i="12"/>
  <c r="W30" i="12" s="1"/>
  <c r="AB16" i="12"/>
  <c r="AB21" i="12" s="1"/>
  <c r="Y26" i="12"/>
  <c r="Z26" i="12" s="1"/>
  <c r="W26" i="12"/>
  <c r="T168" i="8"/>
  <c r="T169" i="8" s="1"/>
  <c r="T171" i="8"/>
  <c r="T173" i="8" s="1"/>
  <c r="G13" i="9"/>
  <c r="Y135" i="7"/>
  <c r="K106" i="9"/>
  <c r="W105" i="9"/>
  <c r="G10" i="9" s="1"/>
  <c r="K20" i="9"/>
  <c r="K21" i="9" s="1"/>
  <c r="AH2" i="13"/>
  <c r="AE2" i="13"/>
  <c r="U49" i="17"/>
  <c r="X43" i="17"/>
  <c r="V43" i="17"/>
  <c r="N134" i="11"/>
  <c r="N135" i="11" s="1"/>
  <c r="N137" i="11"/>
  <c r="N139" i="11" s="1"/>
  <c r="E289" i="21"/>
  <c r="E291" i="21" s="1"/>
  <c r="X75" i="17"/>
  <c r="Z72" i="13"/>
  <c r="X72" i="13"/>
  <c r="X127" i="10"/>
  <c r="X122" i="10"/>
  <c r="X126" i="10"/>
  <c r="X121" i="10"/>
  <c r="X120" i="10"/>
  <c r="H12" i="7"/>
  <c r="W19" i="10"/>
  <c r="J35" i="10"/>
  <c r="W33" i="10"/>
  <c r="Y30" i="10"/>
  <c r="Z30" i="10" s="1"/>
  <c r="W79" i="10"/>
  <c r="AB17" i="10"/>
  <c r="AB25" i="10" s="1"/>
  <c r="J9" i="4"/>
  <c r="K9" i="4" s="1"/>
  <c r="G9" i="4"/>
  <c r="W78" i="8"/>
  <c r="X78" i="8" s="1"/>
  <c r="X66" i="8"/>
  <c r="N63" i="7"/>
  <c r="Q152" i="9"/>
  <c r="Q154" i="9" s="1"/>
  <c r="X104" i="15"/>
  <c r="X74" i="17"/>
  <c r="W77" i="15"/>
  <c r="Y69" i="15" s="1"/>
  <c r="AF5" i="9"/>
  <c r="AG18" i="9"/>
  <c r="U171" i="8"/>
  <c r="U173" i="8" s="1"/>
  <c r="L127" i="6"/>
  <c r="L20" i="6"/>
  <c r="X22" i="8"/>
  <c r="W23" i="8"/>
  <c r="W83" i="15"/>
  <c r="Q168" i="8"/>
  <c r="Q169" i="8" s="1"/>
  <c r="Q171" i="8"/>
  <c r="Q173" i="8" s="1"/>
  <c r="U131" i="12"/>
  <c r="U132" i="12" s="1"/>
  <c r="U134" i="12"/>
  <c r="U136" i="12" s="1"/>
  <c r="X90" i="15"/>
  <c r="E13" i="4"/>
  <c r="F5" i="4"/>
  <c r="W103" i="13"/>
  <c r="Y82" i="13"/>
  <c r="Y81" i="13"/>
  <c r="Y77" i="13"/>
  <c r="Y79" i="13"/>
  <c r="Y80" i="13"/>
  <c r="J39" i="17"/>
  <c r="V171" i="8"/>
  <c r="V173" i="8" s="1"/>
  <c r="X118" i="12"/>
  <c r="U169" i="7"/>
  <c r="U170" i="7" s="1"/>
  <c r="U172" i="7"/>
  <c r="U174" i="7" s="1"/>
  <c r="N169" i="7"/>
  <c r="N170" i="7" s="1"/>
  <c r="N172" i="7"/>
  <c r="N174" i="7" s="1"/>
  <c r="W139" i="6"/>
  <c r="K19" i="21"/>
  <c r="U20" i="7"/>
  <c r="U126" i="7"/>
  <c r="W94" i="10"/>
  <c r="Z83" i="10"/>
  <c r="X83" i="10"/>
  <c r="O125" i="8"/>
  <c r="O20" i="8"/>
  <c r="Y41" i="8"/>
  <c r="Z41" i="8" s="1"/>
  <c r="W108" i="8"/>
  <c r="W44" i="8"/>
  <c r="J46" i="8"/>
  <c r="W24" i="8"/>
  <c r="AB18" i="8"/>
  <c r="D4" i="20" s="1"/>
  <c r="H10" i="8"/>
  <c r="H18" i="8"/>
  <c r="H12" i="8"/>
  <c r="H8" i="8"/>
  <c r="K168" i="8"/>
  <c r="K169" i="8" s="1"/>
  <c r="W166" i="8"/>
  <c r="K117" i="13"/>
  <c r="W115" i="13"/>
  <c r="Y108" i="9"/>
  <c r="D5" i="7"/>
  <c r="D6" i="7"/>
  <c r="D8" i="7" s="1"/>
  <c r="W137" i="8"/>
  <c r="W159" i="8"/>
  <c r="Y119" i="8"/>
  <c r="X131" i="10"/>
  <c r="W80" i="6"/>
  <c r="X80" i="6" s="1"/>
  <c r="S2" i="8"/>
  <c r="S3" i="8" s="1"/>
  <c r="S19" i="8" s="1"/>
  <c r="G6" i="4"/>
  <c r="J6" i="4"/>
  <c r="K6" i="4" s="1"/>
  <c r="W163" i="8"/>
  <c r="X162" i="8" s="1"/>
  <c r="L47" i="21"/>
  <c r="L49" i="21" s="1"/>
  <c r="K47" i="21"/>
  <c r="K49" i="21" s="1"/>
  <c r="L126" i="7"/>
  <c r="L20" i="7"/>
  <c r="W162" i="6"/>
  <c r="N168" i="8"/>
  <c r="N169" i="8" s="1"/>
  <c r="N171" i="8"/>
  <c r="N173" i="8" s="1"/>
  <c r="P41" i="24"/>
  <c r="P42" i="24" s="1"/>
  <c r="P37" i="24"/>
  <c r="Y96" i="11"/>
  <c r="W105" i="11"/>
  <c r="S41" i="24"/>
  <c r="S42" i="24" s="1"/>
  <c r="S37" i="24"/>
  <c r="X36" i="12"/>
  <c r="W47" i="12"/>
  <c r="X47" i="12" s="1"/>
  <c r="W96" i="15"/>
  <c r="X89" i="15" s="1"/>
  <c r="W110" i="12"/>
  <c r="L78" i="15"/>
  <c r="L85" i="15"/>
  <c r="L97" i="15"/>
  <c r="X105" i="13"/>
  <c r="W107" i="13"/>
  <c r="X106" i="13" s="1"/>
  <c r="P168" i="8"/>
  <c r="P169" i="8" s="1"/>
  <c r="P171" i="8"/>
  <c r="P173" i="8" s="1"/>
  <c r="X22" i="9"/>
  <c r="W23" i="9"/>
  <c r="Z59" i="15"/>
  <c r="X59" i="15"/>
  <c r="W66" i="15"/>
  <c r="N126" i="7"/>
  <c r="N20" i="7"/>
  <c r="U125" i="11"/>
  <c r="Q126" i="7"/>
  <c r="Q20" i="7"/>
  <c r="R127" i="6"/>
  <c r="R20" i="6"/>
  <c r="W41" i="13"/>
  <c r="X41" i="13" s="1"/>
  <c r="X34" i="13"/>
  <c r="K125" i="8"/>
  <c r="W124" i="8"/>
  <c r="G12" i="8" s="1"/>
  <c r="K20" i="8"/>
  <c r="X158" i="8"/>
  <c r="X155" i="8"/>
  <c r="X151" i="8"/>
  <c r="H11" i="7"/>
  <c r="AB18" i="9"/>
  <c r="AB32" i="9" s="1"/>
  <c r="W89" i="9"/>
  <c r="H18" i="9"/>
  <c r="J42" i="9"/>
  <c r="W40" i="9"/>
  <c r="Y37" i="9"/>
  <c r="Z37" i="9" s="1"/>
  <c r="W24" i="9"/>
  <c r="E20" i="9"/>
  <c r="M1" i="12"/>
  <c r="M2" i="12" s="1"/>
  <c r="M17" i="12" s="1"/>
  <c r="Q1" i="12"/>
  <c r="Q2" i="12" s="1"/>
  <c r="Q17" i="12" s="1"/>
  <c r="R1" i="12"/>
  <c r="R2" i="12" s="1"/>
  <c r="R17" i="12" s="1"/>
  <c r="S1" i="12"/>
  <c r="S2" i="12" s="1"/>
  <c r="S17" i="12" s="1"/>
  <c r="U1" i="12"/>
  <c r="U2" i="12" s="1"/>
  <c r="U17" i="12" s="1"/>
  <c r="L1" i="12"/>
  <c r="L2" i="12" s="1"/>
  <c r="L17" i="12" s="1"/>
  <c r="V1" i="12"/>
  <c r="P1" i="12"/>
  <c r="P2" i="12" s="1"/>
  <c r="P17" i="12" s="1"/>
  <c r="N1" i="12"/>
  <c r="N2" i="12" s="1"/>
  <c r="N17" i="12" s="1"/>
  <c r="O1" i="12"/>
  <c r="O2" i="12" s="1"/>
  <c r="O17" i="12" s="1"/>
  <c r="Z85" i="10"/>
  <c r="X85" i="10"/>
  <c r="D41" i="24"/>
  <c r="D42" i="24" s="1"/>
  <c r="D37" i="24"/>
  <c r="W30" i="15"/>
  <c r="W35" i="15" s="1"/>
  <c r="X35" i="15" s="1"/>
  <c r="W166" i="6"/>
  <c r="X165" i="6" s="1"/>
  <c r="Q20" i="8"/>
  <c r="Q125" i="8"/>
  <c r="Z79" i="12"/>
  <c r="X79" i="12"/>
  <c r="W90" i="12"/>
  <c r="D6" i="8"/>
  <c r="D8" i="8" s="1"/>
  <c r="D5" i="8"/>
  <c r="X100" i="13"/>
  <c r="X130" i="10"/>
  <c r="W132" i="10"/>
  <c r="M126" i="7"/>
  <c r="M20" i="7"/>
  <c r="K1" i="12"/>
  <c r="X136" i="9"/>
  <c r="D258" i="21"/>
  <c r="D260" i="21" s="1"/>
  <c r="L106" i="9"/>
  <c r="L20" i="9"/>
  <c r="L21" i="9" s="1"/>
  <c r="K17" i="21"/>
  <c r="L17" i="21"/>
  <c r="H8" i="7"/>
  <c r="T27" i="8"/>
  <c r="T21" i="8"/>
  <c r="T26" i="8"/>
  <c r="W122" i="12"/>
  <c r="K149" i="9"/>
  <c r="K150" i="9" s="1"/>
  <c r="W147" i="9"/>
  <c r="K89" i="20"/>
  <c r="L88" i="20"/>
  <c r="K102" i="20"/>
  <c r="K97" i="20"/>
  <c r="L97" i="20" s="1"/>
  <c r="M97" i="20" s="1"/>
  <c r="N97" i="20" s="1"/>
  <c r="O97" i="20" s="1"/>
  <c r="P97" i="20" s="1"/>
  <c r="Q97" i="20" s="1"/>
  <c r="R97" i="20" s="1"/>
  <c r="S97" i="20" s="1"/>
  <c r="T97" i="20" s="1"/>
  <c r="U97" i="20" s="1"/>
  <c r="V97" i="20" s="1"/>
  <c r="W97" i="20" s="1"/>
  <c r="X97" i="20" s="1"/>
  <c r="Y97" i="20" s="1"/>
  <c r="Z97" i="20" s="1"/>
  <c r="AA97" i="20" s="1"/>
  <c r="AB97" i="20" s="1"/>
  <c r="AC97" i="20" s="1"/>
  <c r="AD97" i="20" s="1"/>
  <c r="M168" i="8"/>
  <c r="M169" i="8" s="1"/>
  <c r="M171" i="8"/>
  <c r="M173" i="8" s="1"/>
  <c r="E153" i="21"/>
  <c r="AH18" i="7"/>
  <c r="AF5" i="7"/>
  <c r="U125" i="8"/>
  <c r="U20" i="8"/>
  <c r="X22" i="6"/>
  <c r="W23" i="6"/>
  <c r="Q131" i="12"/>
  <c r="Q132" i="12" s="1"/>
  <c r="Q134" i="12"/>
  <c r="Q136" i="12" s="1"/>
  <c r="X46" i="17"/>
  <c r="V46" i="17"/>
  <c r="G37" i="24"/>
  <c r="G41" i="24"/>
  <c r="G42" i="24" s="1"/>
  <c r="N149" i="9"/>
  <c r="N150" i="9" s="1"/>
  <c r="N152" i="9"/>
  <c r="N154" i="9" s="1"/>
  <c r="AB20" i="12"/>
  <c r="Z63" i="15"/>
  <c r="X63" i="15"/>
  <c r="E41" i="24"/>
  <c r="E42" i="24" s="1"/>
  <c r="E37" i="24"/>
  <c r="X73" i="17"/>
  <c r="X77" i="17"/>
  <c r="K137" i="10"/>
  <c r="K138" i="10" s="1"/>
  <c r="W135" i="10"/>
  <c r="W112" i="10"/>
  <c r="K114" i="10"/>
  <c r="W114" i="10" s="1"/>
  <c r="D153" i="21"/>
  <c r="D165" i="21" s="1"/>
  <c r="D167" i="21" s="1"/>
  <c r="K145" i="7"/>
  <c r="W145" i="7" s="1"/>
  <c r="AF6" i="9"/>
  <c r="AI6" i="9" s="1"/>
  <c r="AH18" i="9"/>
  <c r="W59" i="9"/>
  <c r="X59" i="9" s="1"/>
  <c r="X47" i="9"/>
  <c r="T174" i="6"/>
  <c r="M106" i="9"/>
  <c r="M20" i="9"/>
  <c r="M21" i="9" s="1"/>
  <c r="X120" i="11"/>
  <c r="X40" i="10"/>
  <c r="W51" i="10"/>
  <c r="X51" i="10" s="1"/>
  <c r="T1" i="12"/>
  <c r="T2" i="12" s="1"/>
  <c r="T17" i="12" s="1"/>
  <c r="J83" i="17"/>
  <c r="J91" i="17"/>
  <c r="J93" i="17" s="1"/>
  <c r="M2" i="9"/>
  <c r="M3" i="9" s="1"/>
  <c r="M19" i="9" s="1"/>
  <c r="Q2" i="9"/>
  <c r="Q3" i="9" s="1"/>
  <c r="Q19" i="9" s="1"/>
  <c r="P2" i="9"/>
  <c r="P3" i="9" s="1"/>
  <c r="P19" i="9" s="1"/>
  <c r="L2" i="9"/>
  <c r="L3" i="9" s="1"/>
  <c r="L19" i="9" s="1"/>
  <c r="O2" i="9"/>
  <c r="O3" i="9" s="1"/>
  <c r="O19" i="9" s="1"/>
  <c r="S2" i="9"/>
  <c r="S3" i="9" s="1"/>
  <c r="S19" i="9" s="1"/>
  <c r="V2" i="9"/>
  <c r="T2" i="9"/>
  <c r="T3" i="9" s="1"/>
  <c r="T19" i="9" s="1"/>
  <c r="R2" i="9"/>
  <c r="R3" i="9" s="1"/>
  <c r="R19" i="9" s="1"/>
  <c r="U2" i="9"/>
  <c r="U3" i="9" s="1"/>
  <c r="U19" i="9" s="1"/>
  <c r="I83" i="17"/>
  <c r="U81" i="17"/>
  <c r="I91" i="17"/>
  <c r="H17" i="7"/>
  <c r="N125" i="8"/>
  <c r="N20" i="8"/>
  <c r="H7" i="7"/>
  <c r="X133" i="9"/>
  <c r="P126" i="7"/>
  <c r="P20" i="7"/>
  <c r="X119" i="12"/>
  <c r="K126" i="7"/>
  <c r="W125" i="7"/>
  <c r="G10" i="7" s="1"/>
  <c r="K20" i="7"/>
  <c r="D104" i="21"/>
  <c r="D106" i="21" s="1"/>
  <c r="F46" i="21"/>
  <c r="F48" i="21" s="1"/>
  <c r="F50" i="21" s="1"/>
  <c r="D46" i="21"/>
  <c r="D48" i="21" s="1"/>
  <c r="D50" i="21" s="1"/>
  <c r="E46" i="21"/>
  <c r="G46" i="21" s="1"/>
  <c r="G48" i="21" s="1"/>
  <c r="G50" i="21" s="1"/>
  <c r="W89" i="13"/>
  <c r="K91" i="13"/>
  <c r="W91" i="13" s="1"/>
  <c r="H14" i="9"/>
  <c r="Y105" i="10"/>
  <c r="U67" i="17"/>
  <c r="W67" i="17" s="1"/>
  <c r="S106" i="9"/>
  <c r="S20" i="9"/>
  <c r="S21" i="9" s="1"/>
  <c r="K127" i="6"/>
  <c r="K20" i="6"/>
  <c r="W126" i="6"/>
  <c r="G7" i="6" s="1"/>
  <c r="G227" i="21"/>
  <c r="G229" i="21" s="1"/>
  <c r="U111" i="11"/>
  <c r="U113" i="11" s="1"/>
  <c r="W113" i="11" s="1"/>
  <c r="W108" i="11"/>
  <c r="L149" i="9"/>
  <c r="L150" i="9" s="1"/>
  <c r="L152" i="9"/>
  <c r="L154" i="9" s="1"/>
  <c r="X161" i="6"/>
  <c r="X157" i="6"/>
  <c r="X156" i="6"/>
  <c r="X155" i="6"/>
  <c r="X154" i="6"/>
  <c r="H41" i="24"/>
  <c r="H42" i="24" s="1"/>
  <c r="H37" i="24"/>
  <c r="G17" i="9"/>
  <c r="W144" i="8"/>
  <c r="L2" i="10"/>
  <c r="L3" i="10" s="1"/>
  <c r="L18" i="10" s="1"/>
  <c r="T2" i="10"/>
  <c r="T3" i="10" s="1"/>
  <c r="T18" i="10" s="1"/>
  <c r="N2" i="10"/>
  <c r="N3" i="10" s="1"/>
  <c r="N18" i="10" s="1"/>
  <c r="P2" i="10"/>
  <c r="P3" i="10" s="1"/>
  <c r="P18" i="10" s="1"/>
  <c r="S2" i="10"/>
  <c r="S3" i="10" s="1"/>
  <c r="S18" i="10" s="1"/>
  <c r="U2" i="10"/>
  <c r="U3" i="10" s="1"/>
  <c r="U18" i="10" s="1"/>
  <c r="K2" i="10"/>
  <c r="M2" i="10"/>
  <c r="M3" i="10" s="1"/>
  <c r="M18" i="10" s="1"/>
  <c r="Q2" i="10"/>
  <c r="Q3" i="10" s="1"/>
  <c r="Q18" i="10" s="1"/>
  <c r="R2" i="10"/>
  <c r="R3" i="10" s="1"/>
  <c r="R18" i="10" s="1"/>
  <c r="V2" i="10"/>
  <c r="K131" i="12"/>
  <c r="K132" i="12" s="1"/>
  <c r="W129" i="12"/>
  <c r="G14" i="9"/>
  <c r="F196" i="21"/>
  <c r="F198" i="21" s="1"/>
  <c r="G8" i="9"/>
  <c r="H16" i="6"/>
  <c r="X124" i="10"/>
  <c r="AA15" i="9"/>
  <c r="Y15" i="9" s="1"/>
  <c r="Z15" i="9" s="1"/>
  <c r="K3" i="9"/>
  <c r="H14" i="8"/>
  <c r="W135" i="11"/>
  <c r="M140" i="10"/>
  <c r="M142" i="10" s="1"/>
  <c r="R126" i="7"/>
  <c r="R20" i="7"/>
  <c r="P97" i="15"/>
  <c r="D184" i="21"/>
  <c r="F131" i="21"/>
  <c r="F74" i="21"/>
  <c r="F76" i="21" s="1"/>
  <c r="F78" i="21" s="1"/>
  <c r="E194" i="21"/>
  <c r="E196" i="21" s="1"/>
  <c r="E198" i="21" s="1"/>
  <c r="D131" i="21"/>
  <c r="D194" i="21"/>
  <c r="G225" i="21"/>
  <c r="E225" i="21"/>
  <c r="E227" i="21" s="1"/>
  <c r="E229" i="21" s="1"/>
  <c r="D74" i="21"/>
  <c r="D76" i="21" s="1"/>
  <c r="D78" i="21" s="1"/>
  <c r="D225" i="21"/>
  <c r="D227" i="21" s="1"/>
  <c r="D229" i="21" s="1"/>
  <c r="G194" i="21"/>
  <c r="G196" i="21" s="1"/>
  <c r="G198" i="21" s="1"/>
  <c r="F163" i="21"/>
  <c r="E163" i="21"/>
  <c r="D163" i="21"/>
  <c r="G131" i="21"/>
  <c r="G133" i="21" s="1"/>
  <c r="G135" i="21" s="1"/>
  <c r="E256" i="21"/>
  <c r="E258" i="21" s="1"/>
  <c r="E260" i="21" s="1"/>
  <c r="E102" i="21"/>
  <c r="E104" i="21" s="1"/>
  <c r="E106" i="21" s="1"/>
  <c r="D256" i="21"/>
  <c r="D102" i="21"/>
  <c r="F225" i="21"/>
  <c r="G74" i="21"/>
  <c r="G76" i="21" s="1"/>
  <c r="G78" i="21" s="1"/>
  <c r="G256" i="21"/>
  <c r="G258" i="21" s="1"/>
  <c r="G260" i="21" s="1"/>
  <c r="F256" i="21"/>
  <c r="F258" i="21" s="1"/>
  <c r="F260" i="21" s="1"/>
  <c r="E131" i="21"/>
  <c r="E133" i="21" s="1"/>
  <c r="E135" i="21" s="1"/>
  <c r="E74" i="21"/>
  <c r="E76" i="21" s="1"/>
  <c r="E78" i="21" s="1"/>
  <c r="G102" i="21"/>
  <c r="G104" i="21" s="1"/>
  <c r="G106" i="21" s="1"/>
  <c r="F102" i="21"/>
  <c r="F104" i="21" s="1"/>
  <c r="F106" i="21" s="1"/>
  <c r="F194" i="21"/>
  <c r="G163" i="21"/>
  <c r="W61" i="13"/>
  <c r="W24" i="13"/>
  <c r="Y14" i="13"/>
  <c r="Z14" i="13" s="1"/>
  <c r="AB20" i="13"/>
  <c r="J29" i="13"/>
  <c r="Y24" i="13"/>
  <c r="Z24" i="13" s="1"/>
  <c r="X15" i="13"/>
  <c r="Y15" i="13" s="1"/>
  <c r="W15" i="13"/>
  <c r="AB14" i="13"/>
  <c r="AB19" i="13" s="1"/>
  <c r="W27" i="13"/>
  <c r="W28" i="13" s="1"/>
  <c r="U79" i="17"/>
  <c r="H9" i="7"/>
  <c r="T20" i="9"/>
  <c r="T21" i="9" s="1"/>
  <c r="T106" i="9"/>
  <c r="D10" i="6" l="1"/>
  <c r="W3" i="6"/>
  <c r="U27" i="6"/>
  <c r="T27" i="6"/>
  <c r="D9" i="6"/>
  <c r="O27" i="6"/>
  <c r="O26" i="6"/>
  <c r="U26" i="6"/>
  <c r="W174" i="6"/>
  <c r="X174" i="6" s="1"/>
  <c r="T26" i="6"/>
  <c r="M27" i="6"/>
  <c r="M26" i="6"/>
  <c r="G10" i="6"/>
  <c r="AI5" i="6"/>
  <c r="AF18" i="6"/>
  <c r="AE18" i="6" s="1"/>
  <c r="X164" i="6"/>
  <c r="W85" i="15"/>
  <c r="Y72" i="15"/>
  <c r="D174" i="21"/>
  <c r="D175" i="21" s="1"/>
  <c r="D169" i="21"/>
  <c r="E108" i="21"/>
  <c r="E113" i="21"/>
  <c r="E114" i="21" s="1"/>
  <c r="E262" i="21"/>
  <c r="E267" i="21"/>
  <c r="E268" i="21" s="1"/>
  <c r="E137" i="21"/>
  <c r="E142" i="21"/>
  <c r="E143" i="21" s="1"/>
  <c r="G52" i="21"/>
  <c r="G57" i="21"/>
  <c r="G58" i="21" s="1"/>
  <c r="F28" i="21"/>
  <c r="F29" i="21" s="1"/>
  <c r="F23" i="21"/>
  <c r="L87" i="21"/>
  <c r="L88" i="21" s="1"/>
  <c r="L80" i="21"/>
  <c r="F108" i="21"/>
  <c r="F113" i="21"/>
  <c r="F114" i="21" s="1"/>
  <c r="G113" i="21"/>
  <c r="G114" i="21" s="1"/>
  <c r="G108" i="21"/>
  <c r="D236" i="21"/>
  <c r="D237" i="21" s="1"/>
  <c r="D231" i="21"/>
  <c r="E80" i="21"/>
  <c r="E85" i="21"/>
  <c r="E86" i="21" s="1"/>
  <c r="F262" i="21"/>
  <c r="F267" i="21"/>
  <c r="F268" i="21" s="1"/>
  <c r="AB36" i="8"/>
  <c r="D5" i="20" s="1"/>
  <c r="D9" i="8"/>
  <c r="D14" i="8"/>
  <c r="D10" i="8"/>
  <c r="X162" i="7"/>
  <c r="G16" i="9"/>
  <c r="AA17" i="9"/>
  <c r="Y17" i="9" s="1"/>
  <c r="Z17" i="9" s="1"/>
  <c r="AA16" i="10"/>
  <c r="Y16" i="10" s="1"/>
  <c r="Z16" i="10" s="1"/>
  <c r="AA6" i="10"/>
  <c r="Y6" i="10" s="1"/>
  <c r="Z6" i="10" s="1"/>
  <c r="AA15" i="10"/>
  <c r="Y15" i="10" s="1"/>
  <c r="Z15" i="10" s="1"/>
  <c r="AA14" i="10"/>
  <c r="Y14" i="10" s="1"/>
  <c r="Z14" i="10" s="1"/>
  <c r="AA8" i="10"/>
  <c r="Y8" i="10" s="1"/>
  <c r="Z8" i="10" s="1"/>
  <c r="K3" i="10"/>
  <c r="AA13" i="10"/>
  <c r="Y13" i="10" s="1"/>
  <c r="Z13" i="10" s="1"/>
  <c r="W2" i="10"/>
  <c r="AA10" i="10"/>
  <c r="Y10" i="10" s="1"/>
  <c r="Z10" i="10" s="1"/>
  <c r="AA12" i="10"/>
  <c r="Y12" i="10" s="1"/>
  <c r="Z12" i="10" s="1"/>
  <c r="AA9" i="10"/>
  <c r="Y9" i="10" s="1"/>
  <c r="Z9" i="10" s="1"/>
  <c r="AA17" i="10"/>
  <c r="AA7" i="10"/>
  <c r="Y7" i="10" s="1"/>
  <c r="Z7" i="10" s="1"/>
  <c r="AA11" i="10"/>
  <c r="Y11" i="10" s="1"/>
  <c r="Z11" i="10" s="1"/>
  <c r="U91" i="17"/>
  <c r="I93" i="17"/>
  <c r="R26" i="6"/>
  <c r="R27" i="6"/>
  <c r="R21" i="6"/>
  <c r="E28" i="21"/>
  <c r="E29" i="21" s="1"/>
  <c r="E23" i="21"/>
  <c r="P26" i="6"/>
  <c r="P27" i="6"/>
  <c r="P21" i="6"/>
  <c r="M78" i="21"/>
  <c r="M87" i="21" s="1"/>
  <c r="K87" i="21"/>
  <c r="K88" i="21" s="1"/>
  <c r="K80" i="21"/>
  <c r="K82" i="21" s="1"/>
  <c r="G17" i="6"/>
  <c r="G9" i="6"/>
  <c r="AA11" i="9"/>
  <c r="Y11" i="9" s="1"/>
  <c r="Z11" i="9" s="1"/>
  <c r="U83" i="17"/>
  <c r="W81" i="17"/>
  <c r="X81" i="17" s="1"/>
  <c r="W134" i="12"/>
  <c r="G205" i="21"/>
  <c r="G206" i="21" s="1"/>
  <c r="G200" i="21"/>
  <c r="G23" i="21"/>
  <c r="G28" i="21"/>
  <c r="G29" i="21" s="1"/>
  <c r="X5" i="12"/>
  <c r="X7" i="12"/>
  <c r="X6" i="12"/>
  <c r="X14" i="12"/>
  <c r="X13" i="12"/>
  <c r="X15" i="12"/>
  <c r="X10" i="12"/>
  <c r="X11" i="12"/>
  <c r="X12" i="12"/>
  <c r="X9" i="12"/>
  <c r="X8" i="12"/>
  <c r="X16" i="12"/>
  <c r="V2" i="12"/>
  <c r="V17" i="12" s="1"/>
  <c r="U26" i="7"/>
  <c r="U27" i="7"/>
  <c r="U21" i="7"/>
  <c r="W139" i="11"/>
  <c r="X138" i="11" s="1"/>
  <c r="E200" i="21"/>
  <c r="E205" i="21"/>
  <c r="E206" i="21" s="1"/>
  <c r="AA16" i="9"/>
  <c r="Y16" i="9" s="1"/>
  <c r="Z16" i="9" s="1"/>
  <c r="J30" i="13"/>
  <c r="K29" i="13"/>
  <c r="AA14" i="9"/>
  <c r="Y14" i="9" s="1"/>
  <c r="Z14" i="9" s="1"/>
  <c r="R21" i="7"/>
  <c r="R26" i="7"/>
  <c r="R27" i="7"/>
  <c r="D52" i="21"/>
  <c r="D57" i="21"/>
  <c r="D58" i="21" s="1"/>
  <c r="E165" i="21"/>
  <c r="E167" i="21" s="1"/>
  <c r="J105" i="9"/>
  <c r="Y105" i="9" s="1"/>
  <c r="W20" i="9"/>
  <c r="Z105" i="9"/>
  <c r="X105" i="9"/>
  <c r="G18" i="9"/>
  <c r="W106" i="9"/>
  <c r="G7" i="9"/>
  <c r="G9" i="9"/>
  <c r="G15" i="9"/>
  <c r="G11" i="9"/>
  <c r="G7" i="7"/>
  <c r="G11" i="6"/>
  <c r="G13" i="6"/>
  <c r="AA13" i="9"/>
  <c r="Y13" i="9" s="1"/>
  <c r="Z13" i="9" s="1"/>
  <c r="F52" i="21"/>
  <c r="F57" i="21"/>
  <c r="F58" i="21" s="1"/>
  <c r="W137" i="10"/>
  <c r="K42" i="9"/>
  <c r="X128" i="11"/>
  <c r="D23" i="21"/>
  <c r="D28" i="21"/>
  <c r="D29" i="21" s="1"/>
  <c r="F74" i="20"/>
  <c r="F69" i="20"/>
  <c r="F54" i="20"/>
  <c r="F31" i="20"/>
  <c r="F16" i="20"/>
  <c r="F61" i="20"/>
  <c r="F35" i="20"/>
  <c r="F17" i="20"/>
  <c r="F39" i="20"/>
  <c r="F28" i="20"/>
  <c r="F21" i="20"/>
  <c r="F49" i="20"/>
  <c r="F22" i="20"/>
  <c r="D133" i="20"/>
  <c r="E133" i="20" s="1"/>
  <c r="F37" i="20"/>
  <c r="F72" i="20"/>
  <c r="F66" i="20"/>
  <c r="F59" i="20"/>
  <c r="F53" i="20"/>
  <c r="F38" i="20"/>
  <c r="F78" i="20"/>
  <c r="F65" i="20"/>
  <c r="F24" i="20"/>
  <c r="E131" i="20"/>
  <c r="F76" i="20"/>
  <c r="F32" i="20"/>
  <c r="F14" i="20"/>
  <c r="F70" i="20"/>
  <c r="F57" i="20"/>
  <c r="F51" i="20"/>
  <c r="F34" i="20"/>
  <c r="F13" i="20"/>
  <c r="F63" i="20"/>
  <c r="F23" i="20"/>
  <c r="F50" i="20"/>
  <c r="F30" i="20"/>
  <c r="F48" i="20"/>
  <c r="F67" i="20"/>
  <c r="F55" i="20"/>
  <c r="F33" i="20"/>
  <c r="F73" i="20"/>
  <c r="F62" i="20"/>
  <c r="F12" i="20"/>
  <c r="F36" i="20"/>
  <c r="F20" i="20"/>
  <c r="F80" i="20"/>
  <c r="F60" i="20"/>
  <c r="F29" i="20"/>
  <c r="F19" i="20"/>
  <c r="F79" i="20"/>
  <c r="F71" i="20"/>
  <c r="F52" i="20"/>
  <c r="F18" i="20"/>
  <c r="F27" i="20"/>
  <c r="F15" i="20"/>
  <c r="F64" i="20"/>
  <c r="F26" i="20"/>
  <c r="F77" i="20"/>
  <c r="F68" i="20"/>
  <c r="F41" i="20"/>
  <c r="F58" i="20"/>
  <c r="F40" i="20"/>
  <c r="F56" i="20"/>
  <c r="F75" i="20"/>
  <c r="F42" i="20"/>
  <c r="F81" i="20"/>
  <c r="D133" i="21"/>
  <c r="D135" i="21" s="1"/>
  <c r="G14" i="6"/>
  <c r="G6" i="6"/>
  <c r="G15" i="6"/>
  <c r="L26" i="7"/>
  <c r="L27" i="7"/>
  <c r="L21" i="7"/>
  <c r="M19" i="21"/>
  <c r="M28" i="21" s="1"/>
  <c r="K21" i="21"/>
  <c r="K23" i="21" s="1"/>
  <c r="K28" i="21"/>
  <c r="K29" i="21" s="1"/>
  <c r="K34" i="11"/>
  <c r="D298" i="21"/>
  <c r="D299" i="21" s="1"/>
  <c r="D293" i="21"/>
  <c r="D113" i="21"/>
  <c r="D114" i="21" s="1"/>
  <c r="D108" i="21"/>
  <c r="X57" i="17"/>
  <c r="X58" i="17"/>
  <c r="X56" i="17"/>
  <c r="X55" i="17"/>
  <c r="X53" i="17"/>
  <c r="X54" i="17"/>
  <c r="Z90" i="12"/>
  <c r="X90" i="12"/>
  <c r="AA5" i="12"/>
  <c r="Y5" i="12" s="1"/>
  <c r="Z5" i="12" s="1"/>
  <c r="AA11" i="12"/>
  <c r="Y11" i="12" s="1"/>
  <c r="Z11" i="12" s="1"/>
  <c r="AA10" i="12"/>
  <c r="Y10" i="12" s="1"/>
  <c r="Z10" i="12" s="1"/>
  <c r="AA7" i="12"/>
  <c r="Y7" i="12" s="1"/>
  <c r="Z7" i="12" s="1"/>
  <c r="AA15" i="12"/>
  <c r="Y15" i="12" s="1"/>
  <c r="Z15" i="12" s="1"/>
  <c r="AA9" i="12"/>
  <c r="Y9" i="12" s="1"/>
  <c r="Z9" i="12" s="1"/>
  <c r="W1" i="12"/>
  <c r="AA14" i="12"/>
  <c r="Y14" i="12" s="1"/>
  <c r="AA6" i="12"/>
  <c r="Y6" i="12" s="1"/>
  <c r="Z6" i="12" s="1"/>
  <c r="AA8" i="12"/>
  <c r="Y8" i="12" s="1"/>
  <c r="Z8" i="12" s="1"/>
  <c r="AA12" i="12"/>
  <c r="Y12" i="12" s="1"/>
  <c r="Z12" i="12" s="1"/>
  <c r="AA16" i="12"/>
  <c r="AA13" i="12"/>
  <c r="Y13" i="12" s="1"/>
  <c r="Z13" i="12" s="1"/>
  <c r="K2" i="12"/>
  <c r="N27" i="7"/>
  <c r="N26" i="7"/>
  <c r="N21" i="7"/>
  <c r="AB20" i="7"/>
  <c r="D9" i="7"/>
  <c r="D10" i="7"/>
  <c r="V21" i="6"/>
  <c r="V26" i="6"/>
  <c r="V27" i="6"/>
  <c r="G165" i="21"/>
  <c r="G167" i="21" s="1"/>
  <c r="Z94" i="10"/>
  <c r="X94" i="10"/>
  <c r="J125" i="7"/>
  <c r="Y125" i="7" s="1"/>
  <c r="Z110" i="7" s="1"/>
  <c r="X125" i="7"/>
  <c r="W126" i="7"/>
  <c r="W20" i="7"/>
  <c r="G18" i="7"/>
  <c r="G17" i="7"/>
  <c r="G11" i="7"/>
  <c r="M26" i="8"/>
  <c r="M21" i="8"/>
  <c r="M27" i="8"/>
  <c r="G262" i="21"/>
  <c r="G267" i="21"/>
  <c r="G268" i="21" s="1"/>
  <c r="AA12" i="9"/>
  <c r="Y12" i="9" s="1"/>
  <c r="Z12" i="9" s="1"/>
  <c r="F205" i="21"/>
  <c r="F206" i="21" s="1"/>
  <c r="F200" i="21"/>
  <c r="P26" i="7"/>
  <c r="P27" i="7"/>
  <c r="P21" i="7"/>
  <c r="X147" i="9"/>
  <c r="W149" i="9"/>
  <c r="M26" i="7"/>
  <c r="M21" i="7"/>
  <c r="M27" i="7"/>
  <c r="M49" i="21"/>
  <c r="M58" i="21" s="1"/>
  <c r="K51" i="21"/>
  <c r="K53" i="21" s="1"/>
  <c r="K58" i="21"/>
  <c r="K59" i="21" s="1"/>
  <c r="K46" i="8"/>
  <c r="J47" i="8"/>
  <c r="AF18" i="9"/>
  <c r="AE18" i="9" s="1"/>
  <c r="AI5" i="9"/>
  <c r="W111" i="11"/>
  <c r="K48" i="6"/>
  <c r="J49" i="6"/>
  <c r="G6" i="8"/>
  <c r="W171" i="8"/>
  <c r="Q26" i="7"/>
  <c r="Q27" i="7"/>
  <c r="Q21" i="7"/>
  <c r="AA7" i="9"/>
  <c r="Y7" i="9" s="1"/>
  <c r="Z7" i="9" s="1"/>
  <c r="K26" i="7"/>
  <c r="K27" i="7"/>
  <c r="K21" i="7"/>
  <c r="E298" i="21"/>
  <c r="E299" i="21" s="1"/>
  <c r="E293" i="21"/>
  <c r="X14" i="9"/>
  <c r="V3" i="9"/>
  <c r="V19" i="9" s="1"/>
  <c r="X13" i="9"/>
  <c r="X11" i="9"/>
  <c r="X8" i="9"/>
  <c r="X17" i="9"/>
  <c r="X10" i="9"/>
  <c r="X6" i="9"/>
  <c r="X16" i="9"/>
  <c r="X9" i="9"/>
  <c r="X7" i="9"/>
  <c r="X12" i="9"/>
  <c r="X15" i="9"/>
  <c r="X18" i="9"/>
  <c r="G80" i="21"/>
  <c r="G85" i="21"/>
  <c r="G86" i="21" s="1"/>
  <c r="AA6" i="9"/>
  <c r="Y6" i="9" s="1"/>
  <c r="Z6" i="9" s="1"/>
  <c r="U27" i="8"/>
  <c r="U21" i="8"/>
  <c r="U26" i="8"/>
  <c r="Q26" i="8"/>
  <c r="Q27" i="8"/>
  <c r="Q21" i="8"/>
  <c r="Z66" i="15"/>
  <c r="X66" i="15"/>
  <c r="X96" i="15"/>
  <c r="X93" i="15"/>
  <c r="X95" i="15"/>
  <c r="X92" i="15"/>
  <c r="X94" i="15"/>
  <c r="X91" i="15"/>
  <c r="L58" i="21"/>
  <c r="L59" i="21" s="1"/>
  <c r="L51" i="21"/>
  <c r="G15" i="7"/>
  <c r="S27" i="7"/>
  <c r="S26" i="7"/>
  <c r="S21" i="7"/>
  <c r="X13" i="8"/>
  <c r="V3" i="8"/>
  <c r="V19" i="8" s="1"/>
  <c r="X17" i="8"/>
  <c r="X10" i="8"/>
  <c r="X6" i="8"/>
  <c r="X9" i="8"/>
  <c r="X8" i="8"/>
  <c r="X15" i="8"/>
  <c r="X7" i="8"/>
  <c r="X12" i="8"/>
  <c r="X14" i="8"/>
  <c r="X11" i="8"/>
  <c r="X16" i="8"/>
  <c r="X18" i="8"/>
  <c r="AA12" i="11"/>
  <c r="Y12" i="11" s="1"/>
  <c r="Z12" i="11" s="1"/>
  <c r="AA9" i="11"/>
  <c r="Y9" i="11" s="1"/>
  <c r="Z9" i="11" s="1"/>
  <c r="AA16" i="11"/>
  <c r="Y16" i="11" s="1"/>
  <c r="Z16" i="11" s="1"/>
  <c r="AA15" i="11"/>
  <c r="Y15" i="11" s="1"/>
  <c r="Z15" i="11" s="1"/>
  <c r="AA11" i="11"/>
  <c r="Y11" i="11" s="1"/>
  <c r="Z11" i="11" s="1"/>
  <c r="AA14" i="11"/>
  <c r="Y14" i="11" s="1"/>
  <c r="Z14" i="11" s="1"/>
  <c r="AA8" i="11"/>
  <c r="Y8" i="11" s="1"/>
  <c r="Z8" i="11" s="1"/>
  <c r="K3" i="11"/>
  <c r="W2" i="11"/>
  <c r="AA13" i="11"/>
  <c r="Y13" i="11" s="1"/>
  <c r="Z13" i="11" s="1"/>
  <c r="AA7" i="11"/>
  <c r="Y7" i="11" s="1"/>
  <c r="Z7" i="11" s="1"/>
  <c r="AA10" i="11"/>
  <c r="Y10" i="11" s="1"/>
  <c r="Z10" i="11" s="1"/>
  <c r="AA6" i="11"/>
  <c r="X132" i="11"/>
  <c r="X115" i="13"/>
  <c r="W117" i="13"/>
  <c r="X116" i="13" s="1"/>
  <c r="W97" i="15"/>
  <c r="Y70" i="15"/>
  <c r="Y75" i="15"/>
  <c r="Y73" i="15"/>
  <c r="Y71" i="15"/>
  <c r="Y74" i="15"/>
  <c r="G13" i="7"/>
  <c r="T26" i="7"/>
  <c r="T27" i="7"/>
  <c r="T21" i="7"/>
  <c r="W169" i="7"/>
  <c r="X167" i="7" s="1"/>
  <c r="P27" i="8"/>
  <c r="P21" i="8"/>
  <c r="P26" i="8"/>
  <c r="F13" i="4"/>
  <c r="G5" i="4"/>
  <c r="J5" i="4"/>
  <c r="K35" i="10"/>
  <c r="F85" i="21"/>
  <c r="F86" i="21" s="1"/>
  <c r="F80" i="21"/>
  <c r="AA10" i="9"/>
  <c r="Y10" i="9" s="1"/>
  <c r="Z10" i="9" s="1"/>
  <c r="G14" i="8"/>
  <c r="K26" i="8"/>
  <c r="K21" i="8"/>
  <c r="K27" i="8"/>
  <c r="E48" i="21"/>
  <c r="E50" i="21" s="1"/>
  <c r="G6" i="9"/>
  <c r="W8" i="17"/>
  <c r="X8" i="17" s="1"/>
  <c r="W10" i="17"/>
  <c r="X10" i="17" s="1"/>
  <c r="I19" i="17"/>
  <c r="W11" i="17"/>
  <c r="X11" i="17" s="1"/>
  <c r="W12" i="17"/>
  <c r="X12" i="17" s="1"/>
  <c r="Z8" i="17"/>
  <c r="U14" i="17"/>
  <c r="L21" i="21"/>
  <c r="L28" i="21"/>
  <c r="L29" i="21" s="1"/>
  <c r="G293" i="21"/>
  <c r="G298" i="21"/>
  <c r="G299" i="21" s="1"/>
  <c r="AA15" i="8"/>
  <c r="Y15" i="8" s="1"/>
  <c r="Z15" i="8" s="1"/>
  <c r="AA13" i="8"/>
  <c r="Y13" i="8" s="1"/>
  <c r="Z13" i="8" s="1"/>
  <c r="AA11" i="8"/>
  <c r="Y11" i="8" s="1"/>
  <c r="Z11" i="8" s="1"/>
  <c r="AA17" i="8"/>
  <c r="Y17" i="8" s="1"/>
  <c r="Z17" i="8" s="1"/>
  <c r="AA9" i="8"/>
  <c r="Y9" i="8" s="1"/>
  <c r="Z9" i="8" s="1"/>
  <c r="AA8" i="8"/>
  <c r="Y8" i="8" s="1"/>
  <c r="Z8" i="8" s="1"/>
  <c r="AA12" i="8"/>
  <c r="Y12" i="8" s="1"/>
  <c r="Z12" i="8" s="1"/>
  <c r="AA14" i="8"/>
  <c r="Y14" i="8" s="1"/>
  <c r="Z14" i="8" s="1"/>
  <c r="AA6" i="8"/>
  <c r="Y6" i="8" s="1"/>
  <c r="Z6" i="8" s="1"/>
  <c r="W2" i="8"/>
  <c r="AA7" i="8"/>
  <c r="Y7" i="8" s="1"/>
  <c r="Z7" i="8" s="1"/>
  <c r="AA16" i="8"/>
  <c r="Y16" i="8" s="1"/>
  <c r="Z16" i="8" s="1"/>
  <c r="K3" i="8"/>
  <c r="AA10" i="8"/>
  <c r="Y10" i="8" s="1"/>
  <c r="Z10" i="8" s="1"/>
  <c r="AA18" i="8"/>
  <c r="AI5" i="8"/>
  <c r="AF18" i="8"/>
  <c r="AE18" i="8" s="1"/>
  <c r="J24" i="15"/>
  <c r="K23" i="15"/>
  <c r="F236" i="21"/>
  <c r="F237" i="21" s="1"/>
  <c r="F231" i="21"/>
  <c r="K27" i="6"/>
  <c r="K26" i="6"/>
  <c r="K21" i="6"/>
  <c r="X12" i="11"/>
  <c r="X9" i="11"/>
  <c r="X16" i="11"/>
  <c r="X6" i="11"/>
  <c r="V3" i="11"/>
  <c r="V18" i="11" s="1"/>
  <c r="X8" i="11"/>
  <c r="X13" i="11"/>
  <c r="X7" i="11"/>
  <c r="X17" i="11"/>
  <c r="X10" i="11"/>
  <c r="X14" i="11"/>
  <c r="X11" i="11"/>
  <c r="X15" i="11"/>
  <c r="O26" i="7"/>
  <c r="O27" i="7"/>
  <c r="O21" i="7"/>
  <c r="F165" i="21"/>
  <c r="F167" i="21" s="1"/>
  <c r="G231" i="21"/>
  <c r="G236" i="21"/>
  <c r="G237" i="21" s="1"/>
  <c r="J48" i="7"/>
  <c r="K47" i="7"/>
  <c r="W20" i="8"/>
  <c r="G18" i="8"/>
  <c r="J124" i="8"/>
  <c r="Y109" i="8" s="1"/>
  <c r="X124" i="8"/>
  <c r="W125" i="8"/>
  <c r="Z109" i="8"/>
  <c r="G11" i="8"/>
  <c r="G13" i="8"/>
  <c r="G10" i="8"/>
  <c r="G17" i="8"/>
  <c r="G9" i="8"/>
  <c r="G7" i="8"/>
  <c r="W111" i="15"/>
  <c r="X110" i="15" s="1"/>
  <c r="N26" i="8"/>
  <c r="N27" i="8"/>
  <c r="N21" i="8"/>
  <c r="J38" i="9"/>
  <c r="J39" i="9"/>
  <c r="X161" i="8"/>
  <c r="Q26" i="6"/>
  <c r="Q27" i="6"/>
  <c r="Q21" i="6"/>
  <c r="V26" i="7"/>
  <c r="V27" i="7"/>
  <c r="V21" i="7"/>
  <c r="L26" i="8"/>
  <c r="L27" i="8"/>
  <c r="L21" i="8"/>
  <c r="W140" i="10"/>
  <c r="F133" i="21"/>
  <c r="F135" i="21" s="1"/>
  <c r="D262" i="21"/>
  <c r="D267" i="21"/>
  <c r="D268" i="21" s="1"/>
  <c r="L26" i="6"/>
  <c r="L27" i="6"/>
  <c r="L21" i="6"/>
  <c r="Z93" i="11"/>
  <c r="X93" i="11"/>
  <c r="D80" i="21"/>
  <c r="D85" i="21"/>
  <c r="D86" i="21" s="1"/>
  <c r="F298" i="21"/>
  <c r="F299" i="21" s="1"/>
  <c r="F293" i="21"/>
  <c r="AA18" i="9"/>
  <c r="W20" i="6"/>
  <c r="W127" i="6"/>
  <c r="G18" i="6"/>
  <c r="J126" i="6"/>
  <c r="Y126" i="6" s="1"/>
  <c r="Z111" i="6" s="1"/>
  <c r="X126" i="6"/>
  <c r="G8" i="6"/>
  <c r="G16" i="6"/>
  <c r="X129" i="12"/>
  <c r="W131" i="12"/>
  <c r="G16" i="7"/>
  <c r="X15" i="10"/>
  <c r="X14" i="10"/>
  <c r="X8" i="10"/>
  <c r="V3" i="10"/>
  <c r="V18" i="10" s="1"/>
  <c r="X12" i="10"/>
  <c r="X6" i="10"/>
  <c r="X11" i="10"/>
  <c r="X13" i="10"/>
  <c r="X16" i="10"/>
  <c r="X7" i="10"/>
  <c r="X9" i="10"/>
  <c r="X17" i="10"/>
  <c r="X10" i="10"/>
  <c r="X49" i="17"/>
  <c r="V49" i="17"/>
  <c r="V21" i="8"/>
  <c r="V27" i="8"/>
  <c r="V26" i="8"/>
  <c r="G8" i="7"/>
  <c r="AA8" i="9"/>
  <c r="Y8" i="9" s="1"/>
  <c r="Z8" i="9" s="1"/>
  <c r="G15" i="8"/>
  <c r="G8" i="8"/>
  <c r="S21" i="8"/>
  <c r="S26" i="8"/>
  <c r="S27" i="8"/>
  <c r="D196" i="21"/>
  <c r="D198" i="21" s="1"/>
  <c r="G6" i="7"/>
  <c r="AF18" i="7"/>
  <c r="AE18" i="7" s="1"/>
  <c r="AI5" i="7"/>
  <c r="W168" i="8"/>
  <c r="X166" i="8"/>
  <c r="O26" i="8"/>
  <c r="O27" i="8"/>
  <c r="O21" i="8"/>
  <c r="K31" i="12"/>
  <c r="J32" i="12"/>
  <c r="W101" i="15"/>
  <c r="X99" i="15" s="1"/>
  <c r="W152" i="9"/>
  <c r="E231" i="21"/>
  <c r="E236" i="21"/>
  <c r="E237" i="21" s="1"/>
  <c r="L89" i="20"/>
  <c r="L102" i="20"/>
  <c r="M88" i="20"/>
  <c r="AA9" i="9"/>
  <c r="Y9" i="9" s="1"/>
  <c r="Z9" i="9" s="1"/>
  <c r="G14" i="7"/>
  <c r="G12" i="7"/>
  <c r="W3" i="9"/>
  <c r="K19" i="9"/>
  <c r="G142" i="21"/>
  <c r="G143" i="21" s="1"/>
  <c r="G137" i="21"/>
  <c r="W2" i="9"/>
  <c r="G9" i="7"/>
  <c r="W125" i="11"/>
  <c r="Y103" i="11"/>
  <c r="Y97" i="11"/>
  <c r="Y100" i="11"/>
  <c r="Y101" i="11"/>
  <c r="Y104" i="11"/>
  <c r="Y98" i="11"/>
  <c r="Y99" i="11"/>
  <c r="K174" i="7"/>
  <c r="W172" i="7"/>
  <c r="AB20" i="6"/>
  <c r="G12" i="9"/>
  <c r="S27" i="6"/>
  <c r="S21" i="6"/>
  <c r="S26" i="6"/>
  <c r="Y76" i="15"/>
  <c r="G16" i="8"/>
  <c r="G12" i="6"/>
  <c r="W172" i="6"/>
  <c r="X170" i="6"/>
  <c r="W26" i="6" l="1"/>
  <c r="J42" i="8"/>
  <c r="J44" i="8" s="1"/>
  <c r="J43" i="7"/>
  <c r="J45" i="7" s="1"/>
  <c r="J44" i="6"/>
  <c r="J46" i="6" s="1"/>
  <c r="W19" i="9"/>
  <c r="Y18" i="9"/>
  <c r="Z18" i="9" s="1"/>
  <c r="U93" i="17"/>
  <c r="V92" i="17" s="1"/>
  <c r="V91" i="17"/>
  <c r="M80" i="21"/>
  <c r="M82" i="21" s="1"/>
  <c r="L82" i="21"/>
  <c r="W27" i="6"/>
  <c r="M51" i="21"/>
  <c r="M53" i="21" s="1"/>
  <c r="L53" i="21"/>
  <c r="G174" i="21"/>
  <c r="G175" i="21" s="1"/>
  <c r="G169" i="21"/>
  <c r="D137" i="21"/>
  <c r="D142" i="21"/>
  <c r="D143" i="21" s="1"/>
  <c r="AA17" i="11"/>
  <c r="Y6" i="11"/>
  <c r="Z6" i="11" s="1"/>
  <c r="F174" i="21"/>
  <c r="F175" i="21" s="1"/>
  <c r="F169" i="21"/>
  <c r="E52" i="21"/>
  <c r="E57" i="21"/>
  <c r="E58" i="21" s="1"/>
  <c r="X100" i="15"/>
  <c r="W27" i="8"/>
  <c r="X168" i="7"/>
  <c r="W170" i="7"/>
  <c r="X167" i="8"/>
  <c r="W169" i="8"/>
  <c r="X130" i="12"/>
  <c r="W132" i="12"/>
  <c r="W27" i="7"/>
  <c r="M89" i="21"/>
  <c r="M88" i="21"/>
  <c r="X20" i="6"/>
  <c r="W21" i="6"/>
  <c r="W174" i="7"/>
  <c r="X173" i="7" s="1"/>
  <c r="W26" i="7"/>
  <c r="J40" i="9"/>
  <c r="Y18" i="8"/>
  <c r="Z18" i="8" s="1"/>
  <c r="W19" i="8"/>
  <c r="J43" i="9"/>
  <c r="X137" i="11"/>
  <c r="W3" i="10"/>
  <c r="K18" i="10"/>
  <c r="W18" i="10"/>
  <c r="Y17" i="10"/>
  <c r="Z17" i="10" s="1"/>
  <c r="M60" i="21"/>
  <c r="M59" i="21"/>
  <c r="W3" i="11"/>
  <c r="K18" i="11"/>
  <c r="D205" i="21"/>
  <c r="D206" i="21" s="1"/>
  <c r="D200" i="21"/>
  <c r="D6" i="20"/>
  <c r="W21" i="8"/>
  <c r="X20" i="8"/>
  <c r="M30" i="21"/>
  <c r="M29" i="21"/>
  <c r="X136" i="10"/>
  <c r="W138" i="10"/>
  <c r="X20" i="9"/>
  <c r="W21" i="9"/>
  <c r="W26" i="8"/>
  <c r="M102" i="20"/>
  <c r="M89" i="20"/>
  <c r="N88" i="20"/>
  <c r="W3" i="8"/>
  <c r="K19" i="8"/>
  <c r="M21" i="21"/>
  <c r="M23" i="21" s="1"/>
  <c r="L23" i="21"/>
  <c r="X148" i="9"/>
  <c r="W150" i="9"/>
  <c r="X20" i="7"/>
  <c r="W21" i="7"/>
  <c r="X135" i="10"/>
  <c r="W173" i="8"/>
  <c r="X172" i="8" s="1"/>
  <c r="W2" i="12"/>
  <c r="K17" i="12"/>
  <c r="E169" i="21"/>
  <c r="E174" i="21"/>
  <c r="E175" i="21" s="1"/>
  <c r="F142" i="21"/>
  <c r="F143" i="21" s="1"/>
  <c r="F137" i="21"/>
  <c r="X152" i="9"/>
  <c r="W154" i="9"/>
  <c r="X153" i="9" s="1"/>
  <c r="W142" i="10"/>
  <c r="X141" i="10" s="1"/>
  <c r="X109" i="15"/>
  <c r="J36" i="10"/>
  <c r="K5" i="4"/>
  <c r="K13" i="4" s="1"/>
  <c r="J13" i="4"/>
  <c r="W17" i="12"/>
  <c r="Y16" i="12"/>
  <c r="Z16" i="12" s="1"/>
  <c r="W136" i="12"/>
  <c r="X135" i="12" s="1"/>
  <c r="X134" i="12"/>
  <c r="W18" i="11" l="1"/>
  <c r="Y17" i="11"/>
  <c r="Z17" i="11" s="1"/>
  <c r="J35" i="11"/>
  <c r="N102" i="20"/>
  <c r="N89" i="20"/>
  <c r="O88" i="20"/>
  <c r="X171" i="8"/>
  <c r="D7" i="20"/>
  <c r="D9" i="20" s="1"/>
  <c r="E6" i="20"/>
  <c r="E9" i="20" s="1"/>
  <c r="D134" i="20"/>
  <c r="D44" i="20"/>
  <c r="X140" i="10"/>
  <c r="X172" i="7"/>
  <c r="E10" i="20" l="1"/>
  <c r="E44" i="20"/>
  <c r="D105" i="20"/>
  <c r="D10" i="20"/>
  <c r="O89" i="20"/>
  <c r="O102" i="20"/>
  <c r="P88" i="20"/>
  <c r="Q88" i="20" l="1"/>
  <c r="P102" i="20"/>
  <c r="P89" i="20"/>
  <c r="Q102" i="20" l="1"/>
  <c r="R88" i="20"/>
  <c r="Q89" i="20"/>
  <c r="R102" i="20" l="1"/>
  <c r="R89" i="20"/>
  <c r="S88" i="20"/>
  <c r="S89" i="20" l="1"/>
  <c r="T88" i="20"/>
  <c r="S102" i="20"/>
  <c r="T89" i="20" l="1"/>
  <c r="T102" i="20"/>
  <c r="U88" i="20"/>
  <c r="V88" i="20" l="1"/>
  <c r="U102" i="20"/>
  <c r="W88" i="20" l="1"/>
  <c r="V102" i="20"/>
  <c r="X88" i="20" l="1"/>
  <c r="W102" i="20"/>
  <c r="X102" i="20" l="1"/>
  <c r="Y88" i="20"/>
  <c r="Y102" i="20" l="1"/>
  <c r="Z88" i="20"/>
  <c r="Z102" i="20" l="1"/>
  <c r="AA88" i="20"/>
  <c r="AB88" i="20" l="1"/>
  <c r="AA102" i="20"/>
  <c r="AB102" i="20" l="1"/>
  <c r="AC88" i="20"/>
  <c r="AC102" i="20" l="1"/>
  <c r="AD88" i="20"/>
  <c r="AD102" i="2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I39" authorId="0" shapeId="0" xr:uid="{00000000-0006-0000-0100-000001000000}">
      <text>
        <r>
          <rPr>
            <sz val="10"/>
            <rFont val="Arial"/>
            <family val="2"/>
          </rPr>
          <t xml:space="preserve">RPS
</t>
        </r>
      </text>
    </comment>
    <comment ref="G40" authorId="0" shapeId="0" xr:uid="{00000000-0006-0000-0100-000002000000}">
      <text>
        <r>
          <rPr>
            <sz val="10"/>
            <rFont val="Arial"/>
            <family val="2"/>
          </rPr>
          <t xml:space="preserve">Photo Level 2 Course
</t>
        </r>
      </text>
    </comment>
    <comment ref="G41" authorId="0" shapeId="0" xr:uid="{00000000-0006-0000-0100-000003000000}">
      <text>
        <r>
          <rPr>
            <sz val="10"/>
            <rFont val="Arial"/>
            <family val="2"/>
          </rPr>
          <t xml:space="preserve">Photo Level 2 Course
</t>
        </r>
      </text>
    </comment>
    <comment ref="I41" authorId="0" shapeId="0" xr:uid="{00000000-0006-0000-0100-000004000000}">
      <text>
        <r>
          <rPr>
            <sz val="10"/>
            <rFont val="Arial"/>
            <family val="2"/>
          </rPr>
          <t xml:space="preserve">Intentions
</t>
        </r>
      </text>
    </comment>
    <comment ref="G42" authorId="0" shapeId="0" xr:uid="{00000000-0006-0000-0100-000005000000}">
      <text>
        <r>
          <rPr>
            <sz val="10"/>
            <rFont val="Arial"/>
            <family val="2"/>
          </rPr>
          <t xml:space="preserve">Photo Level 2 Course
</t>
        </r>
      </text>
    </comment>
    <comment ref="G43" authorId="0" shapeId="0" xr:uid="{00000000-0006-0000-0100-000006000000}">
      <text>
        <r>
          <rPr>
            <sz val="10"/>
            <rFont val="Arial"/>
            <family val="2"/>
          </rPr>
          <t xml:space="preserve">Photo Level 2 Course
</t>
        </r>
      </text>
    </comment>
    <comment ref="I43" authorId="0" shapeId="0" xr:uid="{00000000-0006-0000-0100-000007000000}">
      <text>
        <r>
          <rPr>
            <sz val="10"/>
            <rFont val="Arial"/>
            <family val="2"/>
          </rPr>
          <t xml:space="preserve">Intentions
</t>
        </r>
      </text>
    </comment>
    <comment ref="I46" authorId="0" shapeId="0" xr:uid="{00000000-0006-0000-0100-000008000000}">
      <text>
        <r>
          <rPr>
            <sz val="10"/>
            <rFont val="Arial"/>
            <family val="2"/>
          </rPr>
          <t xml:space="preserve">Intentions
</t>
        </r>
      </text>
    </comment>
    <comment ref="I50" authorId="0" shapeId="0" xr:uid="{00000000-0006-0000-0100-000009000000}">
      <text>
        <r>
          <rPr>
            <sz val="10"/>
            <rFont val="Arial"/>
            <family val="2"/>
          </rPr>
          <t xml:space="preserve">Intentions
</t>
        </r>
      </text>
    </comment>
    <comment ref="I54" authorId="0" shapeId="0" xr:uid="{00000000-0006-0000-0100-00000A000000}">
      <text>
        <r>
          <rPr>
            <sz val="10"/>
            <rFont val="Arial"/>
            <family val="2"/>
          </rPr>
          <t xml:space="preserve">Intentions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F3" authorId="0" shapeId="0" xr:uid="{00000000-0006-0000-0200-000001000000}">
      <text>
        <r>
          <rPr>
            <sz val="10"/>
            <rFont val="Arial"/>
            <family val="2"/>
          </rPr>
          <t xml:space="preserve">Get Off Auto Class
</t>
        </r>
      </text>
    </comment>
    <comment ref="G3" authorId="0" shapeId="0" xr:uid="{00000000-0006-0000-0200-000002000000}">
      <text>
        <r>
          <rPr>
            <sz val="10"/>
            <rFont val="Arial"/>
            <family val="2"/>
          </rPr>
          <t xml:space="preserve">RPS
</t>
        </r>
      </text>
    </comment>
    <comment ref="D4" authorId="0" shapeId="0" xr:uid="{00000000-0006-0000-0200-000003000000}">
      <text>
        <r>
          <rPr>
            <sz val="10"/>
            <rFont val="Arial"/>
            <family val="2"/>
          </rPr>
          <t xml:space="preserve">Get Off Auto Class
</t>
        </r>
      </text>
    </comment>
    <comment ref="E4" authorId="0" shapeId="0" xr:uid="{00000000-0006-0000-0200-000004000000}">
      <text>
        <r>
          <rPr>
            <sz val="10"/>
            <rFont val="Arial"/>
            <family val="2"/>
          </rPr>
          <t xml:space="preserve">RPS
</t>
        </r>
      </text>
    </comment>
    <comment ref="F4" authorId="0" shapeId="0" xr:uid="{00000000-0006-0000-0200-000005000000}">
      <text>
        <r>
          <rPr>
            <sz val="10"/>
            <rFont val="Arial"/>
            <family val="2"/>
          </rPr>
          <t xml:space="preserve">Get Off Auto Class
</t>
        </r>
      </text>
    </comment>
    <comment ref="D5" authorId="0" shapeId="0" xr:uid="{00000000-0006-0000-0200-000006000000}">
      <text>
        <r>
          <rPr>
            <sz val="10"/>
            <rFont val="Arial"/>
            <family val="2"/>
          </rPr>
          <t xml:space="preserve">Get Off Auto Class
</t>
        </r>
      </text>
    </comment>
    <comment ref="F5" authorId="0" shapeId="0" xr:uid="{00000000-0006-0000-0200-000007000000}">
      <text>
        <r>
          <rPr>
            <sz val="10"/>
            <rFont val="Arial"/>
            <family val="2"/>
          </rPr>
          <t xml:space="preserve">Beginners Lvl 1
</t>
        </r>
      </text>
    </comment>
    <comment ref="C6" authorId="0" shapeId="0" xr:uid="{00000000-0006-0000-0200-000008000000}">
      <text>
        <r>
          <rPr>
            <sz val="10"/>
            <rFont val="Arial"/>
            <family val="2"/>
          </rPr>
          <t xml:space="preserve">RPS
</t>
        </r>
      </text>
    </comment>
    <comment ref="D6" authorId="0" shapeId="0" xr:uid="{00000000-0006-0000-0200-000009000000}">
      <text>
        <r>
          <rPr>
            <sz val="10"/>
            <rFont val="Arial"/>
            <family val="2"/>
          </rPr>
          <t xml:space="preserve">LR Lvl2
</t>
        </r>
      </text>
    </comment>
    <comment ref="E6" authorId="0" shapeId="0" xr:uid="{00000000-0006-0000-0200-00000A000000}">
      <text>
        <r>
          <rPr>
            <sz val="10"/>
            <rFont val="Arial"/>
            <family val="2"/>
          </rPr>
          <t xml:space="preserve">Intentions
</t>
        </r>
      </text>
    </comment>
    <comment ref="F6" authorId="0" shapeId="0" xr:uid="{00000000-0006-0000-0200-00000B000000}">
      <text>
        <r>
          <rPr>
            <sz val="10"/>
            <rFont val="Arial"/>
            <family val="2"/>
          </rPr>
          <t xml:space="preserve">Beginners Lvl 1
</t>
        </r>
      </text>
    </comment>
    <comment ref="F7" authorId="0" shapeId="0" xr:uid="{00000000-0006-0000-0200-00000C000000}">
      <text>
        <r>
          <rPr>
            <sz val="10"/>
            <rFont val="Arial"/>
            <family val="2"/>
          </rPr>
          <t xml:space="preserve">Beginners Lvl 1
</t>
        </r>
      </text>
    </comment>
    <comment ref="E8" authorId="0" shapeId="0" xr:uid="{00000000-0006-0000-0200-00000D000000}">
      <text>
        <r>
          <rPr>
            <sz val="10"/>
            <rFont val="Arial"/>
            <family val="2"/>
          </rPr>
          <t xml:space="preserve">RPS
</t>
        </r>
      </text>
    </comment>
    <comment ref="F8" authorId="0" shapeId="0" xr:uid="{00000000-0006-0000-0200-00000E000000}">
      <text>
        <r>
          <rPr>
            <sz val="10"/>
            <rFont val="Arial"/>
            <family val="2"/>
          </rPr>
          <t xml:space="preserve">Beginners Lvl 1
</t>
        </r>
      </text>
    </comment>
    <comment ref="E9" authorId="0" shapeId="0" xr:uid="{00000000-0006-0000-0200-00000F000000}">
      <text>
        <r>
          <rPr>
            <sz val="10"/>
            <rFont val="Arial"/>
            <family val="2"/>
          </rPr>
          <t xml:space="preserve">Intentions
</t>
        </r>
      </text>
    </comment>
    <comment ref="F9" authorId="0" shapeId="0" xr:uid="{00000000-0006-0000-0200-000010000000}">
      <text>
        <r>
          <rPr>
            <sz val="10"/>
            <rFont val="Arial"/>
            <family val="2"/>
          </rPr>
          <t xml:space="preserve">Get Off Auto Class
</t>
        </r>
      </text>
    </comment>
    <comment ref="D10" authorId="0" shapeId="0" xr:uid="{00000000-0006-0000-0200-000011000000}">
      <text>
        <r>
          <rPr>
            <sz val="10"/>
            <rFont val="Arial"/>
            <family val="2"/>
          </rPr>
          <t xml:space="preserve">Beginners Lvl 1
</t>
        </r>
      </text>
    </comment>
    <comment ref="D11" authorId="0" shapeId="0" xr:uid="{00000000-0006-0000-0200-000012000000}">
      <text>
        <r>
          <rPr>
            <sz val="10"/>
            <rFont val="Arial"/>
            <family val="2"/>
          </rPr>
          <t xml:space="preserve">Beginners Lvl 1
</t>
        </r>
      </text>
    </comment>
    <comment ref="E11" authorId="0" shapeId="0" xr:uid="{00000000-0006-0000-0200-000013000000}">
      <text>
        <r>
          <rPr>
            <sz val="10"/>
            <rFont val="Arial"/>
            <family val="2"/>
          </rPr>
          <t xml:space="preserve">Intentions
</t>
        </r>
      </text>
    </comment>
    <comment ref="F11" authorId="0" shapeId="0" xr:uid="{00000000-0006-0000-0200-000014000000}">
      <text>
        <r>
          <rPr>
            <sz val="10"/>
            <rFont val="Arial"/>
            <family val="2"/>
          </rPr>
          <t xml:space="preserve">Get Off Auto Class
</t>
        </r>
      </text>
    </comment>
    <comment ref="C12" authorId="0" shapeId="0" xr:uid="{00000000-0006-0000-0200-000015000000}">
      <text>
        <r>
          <rPr>
            <sz val="10"/>
            <rFont val="Arial"/>
            <family val="2"/>
          </rPr>
          <t xml:space="preserve">RPS
</t>
        </r>
      </text>
    </comment>
    <comment ref="D12" authorId="0" shapeId="0" xr:uid="{00000000-0006-0000-0200-000016000000}">
      <text>
        <r>
          <rPr>
            <sz val="10"/>
            <rFont val="Arial"/>
            <family val="2"/>
          </rPr>
          <t xml:space="preserve">Beginners Lvl 1
</t>
        </r>
      </text>
    </comment>
    <comment ref="F12" authorId="0" shapeId="0" xr:uid="{00000000-0006-0000-0200-000017000000}">
      <text>
        <r>
          <rPr>
            <sz val="10"/>
            <rFont val="Arial"/>
            <family val="2"/>
          </rPr>
          <t xml:space="preserve">Get Off Auto Class
</t>
        </r>
      </text>
    </comment>
    <comment ref="D13" authorId="0" shapeId="0" xr:uid="{00000000-0006-0000-0200-000018000000}">
      <text>
        <r>
          <rPr>
            <sz val="10"/>
            <rFont val="Arial"/>
            <family val="2"/>
          </rPr>
          <t xml:space="preserve">Beginners Lvl 1
</t>
        </r>
      </text>
    </comment>
    <comment ref="E13" authorId="0" shapeId="0" xr:uid="{00000000-0006-0000-0200-000019000000}">
      <text>
        <r>
          <rPr>
            <sz val="10"/>
            <rFont val="Arial"/>
            <family val="2"/>
          </rPr>
          <t xml:space="preserve">Intentions
</t>
        </r>
      </text>
    </comment>
    <comment ref="F13" authorId="0" shapeId="0" xr:uid="{00000000-0006-0000-0200-00001A000000}">
      <text>
        <r>
          <rPr>
            <sz val="10"/>
            <rFont val="Arial"/>
            <family val="2"/>
          </rPr>
          <t xml:space="preserve">Get Off Auto Class
</t>
        </r>
      </text>
    </comment>
    <comment ref="D14" authorId="0" shapeId="0" xr:uid="{00000000-0006-0000-0200-00001B000000}">
      <text>
        <r>
          <rPr>
            <sz val="10"/>
            <rFont val="Arial"/>
            <family val="2"/>
          </rPr>
          <t xml:space="preserve">Get Off Auto Class
</t>
        </r>
      </text>
    </comment>
    <comment ref="E14" authorId="0" shapeId="0" xr:uid="{00000000-0006-0000-0200-00001C000000}">
      <text>
        <r>
          <rPr>
            <sz val="10"/>
            <rFont val="Arial"/>
            <family val="2"/>
          </rPr>
          <t xml:space="preserve">RPS
</t>
        </r>
      </text>
    </comment>
    <comment ref="F14" authorId="0" shapeId="0" xr:uid="{00000000-0006-0000-0200-00001D000000}">
      <text>
        <r>
          <rPr>
            <sz val="10"/>
            <rFont val="Arial"/>
            <family val="2"/>
          </rPr>
          <t xml:space="preserve">LR Lvl 1
</t>
        </r>
      </text>
    </comment>
    <comment ref="D15" authorId="0" shapeId="0" xr:uid="{00000000-0006-0000-0200-00001E000000}">
      <text>
        <r>
          <rPr>
            <sz val="10"/>
            <rFont val="Arial"/>
            <family val="2"/>
          </rPr>
          <t xml:space="preserve">Photo Level 2 Course
</t>
        </r>
      </text>
    </comment>
    <comment ref="F15" authorId="0" shapeId="0" xr:uid="{00000000-0006-0000-0200-00001F000000}">
      <text>
        <r>
          <rPr>
            <sz val="10"/>
            <rFont val="Arial"/>
            <family val="2"/>
          </rPr>
          <t xml:space="preserve">LR Lvl 1
</t>
        </r>
      </text>
    </comment>
    <comment ref="C16" authorId="0" shapeId="0" xr:uid="{00000000-0006-0000-0200-000020000000}">
      <text>
        <r>
          <rPr>
            <sz val="10"/>
            <rFont val="Arial"/>
            <family val="2"/>
          </rPr>
          <t xml:space="preserve">RPS
</t>
        </r>
      </text>
    </comment>
    <comment ref="D16" authorId="0" shapeId="0" xr:uid="{00000000-0006-0000-0200-000021000000}">
      <text>
        <r>
          <rPr>
            <sz val="10"/>
            <rFont val="Arial"/>
            <family val="2"/>
          </rPr>
          <t xml:space="preserve">Photo Level 2 Course
</t>
        </r>
      </text>
    </comment>
    <comment ref="F16" authorId="0" shapeId="0" xr:uid="{00000000-0006-0000-0200-000022000000}">
      <text>
        <r>
          <rPr>
            <sz val="10"/>
            <rFont val="Arial"/>
            <family val="2"/>
          </rPr>
          <t xml:space="preserve">LR Lvl 1
</t>
        </r>
      </text>
    </comment>
    <comment ref="D17" authorId="0" shapeId="0" xr:uid="{00000000-0006-0000-0200-000023000000}">
      <text>
        <r>
          <rPr>
            <sz val="10"/>
            <rFont val="Arial"/>
            <family val="2"/>
          </rPr>
          <t xml:space="preserve">Photo Level 2 Course
</t>
        </r>
      </text>
    </comment>
    <comment ref="F17" authorId="0" shapeId="0" xr:uid="{00000000-0006-0000-0200-000024000000}">
      <text>
        <r>
          <rPr>
            <sz val="10"/>
            <rFont val="Arial"/>
            <family val="2"/>
          </rPr>
          <t xml:space="preserve">LR Lvl 1
</t>
        </r>
      </text>
    </comment>
    <comment ref="C18" authorId="0" shapeId="0" xr:uid="{00000000-0006-0000-0200-000025000000}">
      <text>
        <r>
          <rPr>
            <sz val="10"/>
            <rFont val="Arial"/>
            <family val="2"/>
          </rPr>
          <t xml:space="preserve">Chesterton
</t>
        </r>
      </text>
    </comment>
    <comment ref="D18" authorId="0" shapeId="0" xr:uid="{00000000-0006-0000-0200-000026000000}">
      <text>
        <r>
          <rPr>
            <sz val="10"/>
            <rFont val="Arial"/>
            <family val="2"/>
          </rPr>
          <t xml:space="preserve">Photo Level 2 Course
</t>
        </r>
      </text>
    </comment>
    <comment ref="F18" authorId="0" shapeId="0" xr:uid="{00000000-0006-0000-0200-000027000000}">
      <text>
        <r>
          <rPr>
            <sz val="10"/>
            <rFont val="Arial"/>
            <family val="2"/>
          </rPr>
          <t xml:space="preserve">Get Off Auto Class
</t>
        </r>
      </text>
    </comment>
    <comment ref="D19" authorId="0" shapeId="0" xr:uid="{00000000-0006-0000-0200-000028000000}">
      <text>
        <r>
          <rPr>
            <sz val="10"/>
            <rFont val="Arial"/>
            <family val="2"/>
          </rPr>
          <t xml:space="preserve">Get Off Auto Class
</t>
        </r>
      </text>
    </comment>
    <comment ref="F19" authorId="0" shapeId="0" xr:uid="{00000000-0006-0000-0200-000029000000}">
      <text>
        <r>
          <rPr>
            <sz val="10"/>
            <rFont val="Arial"/>
            <family val="2"/>
          </rPr>
          <t xml:space="preserve">LR Lvl2
</t>
        </r>
      </text>
    </comment>
    <comment ref="H19" authorId="0" shapeId="0" xr:uid="{00000000-0006-0000-0200-00002A000000}">
      <text>
        <r>
          <rPr>
            <sz val="10"/>
            <rFont val="Arial"/>
            <family val="2"/>
          </rPr>
          <t xml:space="preserve">Bluebells
</t>
        </r>
      </text>
    </comment>
    <comment ref="C20" authorId="0" shapeId="0" xr:uid="{00000000-0006-0000-0200-00002B000000}">
      <text>
        <r>
          <rPr>
            <sz val="10"/>
            <rFont val="Arial"/>
            <family val="2"/>
          </rPr>
          <t xml:space="preserve">RPS
</t>
        </r>
      </text>
    </comment>
    <comment ref="F20" authorId="0" shapeId="0" xr:uid="{00000000-0006-0000-0200-00002C000000}">
      <text>
        <r>
          <rPr>
            <sz val="10"/>
            <rFont val="Arial"/>
            <family val="2"/>
          </rPr>
          <t xml:space="preserve">Beginners Lvl 1
</t>
        </r>
      </text>
    </comment>
    <comment ref="D21" authorId="0" shapeId="0" xr:uid="{00000000-0006-0000-0200-00002D000000}">
      <text>
        <r>
          <rPr>
            <sz val="10"/>
            <rFont val="Arial"/>
            <family val="2"/>
          </rPr>
          <t xml:space="preserve">LR Lvl 1
</t>
        </r>
      </text>
    </comment>
    <comment ref="F21" authorId="0" shapeId="0" xr:uid="{00000000-0006-0000-0200-00002E000000}">
      <text>
        <r>
          <rPr>
            <sz val="10"/>
            <rFont val="Arial"/>
            <family val="2"/>
          </rPr>
          <t xml:space="preserve">Beginners Lvl 1
</t>
        </r>
      </text>
    </comment>
    <comment ref="D22" authorId="0" shapeId="0" xr:uid="{00000000-0006-0000-0200-00002F000000}">
      <text>
        <r>
          <rPr>
            <sz val="10"/>
            <rFont val="Arial"/>
            <family val="2"/>
          </rPr>
          <t xml:space="preserve">LR Lvl 1
</t>
        </r>
      </text>
    </comment>
    <comment ref="E22" authorId="0" shapeId="0" xr:uid="{00000000-0006-0000-0200-000030000000}">
      <text>
        <r>
          <rPr>
            <sz val="10"/>
            <rFont val="Arial"/>
            <family val="2"/>
          </rPr>
          <t xml:space="preserve">RPS
</t>
        </r>
      </text>
    </comment>
    <comment ref="F22" authorId="0" shapeId="0" xr:uid="{00000000-0006-0000-0200-000031000000}">
      <text>
        <r>
          <rPr>
            <sz val="10"/>
            <rFont val="Arial"/>
            <family val="2"/>
          </rPr>
          <t xml:space="preserve">Beginners Lvl 1
</t>
        </r>
      </text>
    </comment>
    <comment ref="D23" authorId="0" shapeId="0" xr:uid="{00000000-0006-0000-0200-000032000000}">
      <text>
        <r>
          <rPr>
            <sz val="10"/>
            <rFont val="Arial"/>
            <family val="2"/>
          </rPr>
          <t xml:space="preserve">LR Lvl 1
</t>
        </r>
      </text>
    </comment>
    <comment ref="F23" authorId="0" shapeId="0" xr:uid="{00000000-0006-0000-0200-000033000000}">
      <text>
        <r>
          <rPr>
            <sz val="10"/>
            <rFont val="Arial"/>
            <family val="2"/>
          </rPr>
          <t xml:space="preserve">Beginners Lvl 1
</t>
        </r>
      </text>
    </comment>
    <comment ref="D24" authorId="0" shapeId="0" xr:uid="{00000000-0006-0000-0200-000034000000}">
      <text>
        <r>
          <rPr>
            <sz val="10"/>
            <rFont val="Arial"/>
            <family val="2"/>
          </rPr>
          <t xml:space="preserve">LR Lvl 1
</t>
        </r>
      </text>
    </comment>
    <comment ref="F24" authorId="0" shapeId="0" xr:uid="{00000000-0006-0000-0200-000035000000}">
      <text>
        <r>
          <rPr>
            <sz val="10"/>
            <rFont val="Arial"/>
            <family val="2"/>
          </rPr>
          <t xml:space="preserve">Get Off Auto Class
</t>
        </r>
      </text>
    </comment>
    <comment ref="C25" authorId="0" shapeId="0" xr:uid="{00000000-0006-0000-0200-000036000000}">
      <text>
        <r>
          <rPr>
            <sz val="10"/>
            <rFont val="Arial"/>
            <family val="2"/>
          </rPr>
          <t xml:space="preserve">RPS
</t>
        </r>
      </text>
    </comment>
    <comment ref="D25" authorId="0" shapeId="0" xr:uid="{00000000-0006-0000-0200-000037000000}">
      <text>
        <r>
          <rPr>
            <sz val="10"/>
            <rFont val="Arial"/>
            <family val="2"/>
          </rPr>
          <t xml:space="preserve">Beginners Lvl 1
</t>
        </r>
      </text>
    </comment>
    <comment ref="E25" authorId="0" shapeId="0" xr:uid="{00000000-0006-0000-0200-000038000000}">
      <text>
        <r>
          <rPr>
            <sz val="10"/>
            <rFont val="Arial"/>
            <family val="2"/>
          </rPr>
          <t xml:space="preserve">LR Lvl2
</t>
        </r>
      </text>
    </comment>
    <comment ref="F25" authorId="0" shapeId="0" xr:uid="{00000000-0006-0000-0200-000039000000}">
      <text>
        <r>
          <rPr>
            <sz val="10"/>
            <rFont val="Arial"/>
            <family val="2"/>
          </rPr>
          <t xml:space="preserve">Photo Level 2 Course
</t>
        </r>
      </text>
    </comment>
    <comment ref="H25" authorId="0" shapeId="0" xr:uid="{00000000-0006-0000-0200-00003A000000}">
      <text>
        <r>
          <rPr>
            <sz val="10"/>
            <rFont val="Arial"/>
            <family val="2"/>
          </rPr>
          <t xml:space="preserve">Lynmouth
</t>
        </r>
      </text>
    </comment>
    <comment ref="I25" authorId="0" shapeId="0" xr:uid="{00000000-0006-0000-0200-00003B000000}">
      <text>
        <r>
          <rPr>
            <sz val="10"/>
            <rFont val="Arial"/>
            <family val="2"/>
          </rPr>
          <t xml:space="preserve">Lynmouth
</t>
        </r>
      </text>
    </comment>
    <comment ref="D26" authorId="0" shapeId="0" xr:uid="{00000000-0006-0000-0200-00003C000000}">
      <text>
        <r>
          <rPr>
            <sz val="10"/>
            <rFont val="Arial"/>
            <family val="2"/>
          </rPr>
          <t xml:space="preserve">Beginners Lvl 1
</t>
        </r>
      </text>
    </comment>
    <comment ref="E26" authorId="0" shapeId="0" xr:uid="{00000000-0006-0000-0200-00003D000000}">
      <text>
        <r>
          <rPr>
            <sz val="10"/>
            <rFont val="Arial"/>
            <family val="2"/>
          </rPr>
          <t xml:space="preserve">LR Lvl2
</t>
        </r>
      </text>
    </comment>
    <comment ref="F26" authorId="0" shapeId="0" xr:uid="{00000000-0006-0000-0200-00003E000000}">
      <text>
        <r>
          <rPr>
            <sz val="10"/>
            <rFont val="Arial"/>
            <family val="2"/>
          </rPr>
          <t xml:space="preserve">Photo Level 2 Course
</t>
        </r>
      </text>
    </comment>
    <comment ref="D27" authorId="0" shapeId="0" xr:uid="{00000000-0006-0000-0200-00003F000000}">
      <text>
        <r>
          <rPr>
            <sz val="10"/>
            <rFont val="Arial"/>
            <family val="2"/>
          </rPr>
          <t xml:space="preserve">Beginners Lvl 1
</t>
        </r>
      </text>
    </comment>
    <comment ref="E27" authorId="0" shapeId="0" xr:uid="{00000000-0006-0000-0200-000040000000}">
      <text>
        <r>
          <rPr>
            <sz val="10"/>
            <rFont val="Arial"/>
            <family val="2"/>
          </rPr>
          <t xml:space="preserve">LR Lvl2
</t>
        </r>
      </text>
    </comment>
    <comment ref="F27" authorId="0" shapeId="0" xr:uid="{00000000-0006-0000-0200-000041000000}">
      <text>
        <r>
          <rPr>
            <sz val="10"/>
            <rFont val="Arial"/>
            <family val="2"/>
          </rPr>
          <t xml:space="preserve">Photo Level 2 Course
</t>
        </r>
      </text>
    </comment>
    <comment ref="G27" authorId="0" shapeId="0" xr:uid="{00000000-0006-0000-0200-000042000000}">
      <text>
        <r>
          <rPr>
            <sz val="10"/>
            <rFont val="Arial"/>
            <family val="2"/>
          </rPr>
          <t>Poppies</t>
        </r>
      </text>
    </comment>
    <comment ref="H27" authorId="0" shapeId="0" xr:uid="{00000000-0006-0000-0200-000043000000}">
      <text>
        <r>
          <rPr>
            <sz val="10"/>
            <rFont val="Arial"/>
            <family val="2"/>
          </rPr>
          <t>Poppies</t>
        </r>
      </text>
    </comment>
    <comment ref="C28" authorId="0" shapeId="0" xr:uid="{00000000-0006-0000-0200-000044000000}">
      <text>
        <r>
          <rPr>
            <sz val="10"/>
            <rFont val="Arial"/>
            <family val="2"/>
          </rPr>
          <t xml:space="preserve">RPS
</t>
        </r>
      </text>
    </comment>
    <comment ref="D28" authorId="0" shapeId="0" xr:uid="{00000000-0006-0000-0200-000045000000}">
      <text>
        <r>
          <rPr>
            <sz val="10"/>
            <rFont val="Arial"/>
            <family val="2"/>
          </rPr>
          <t xml:space="preserve">Beginners Lvl 1
</t>
        </r>
      </text>
    </comment>
    <comment ref="E28" authorId="0" shapeId="0" xr:uid="{00000000-0006-0000-0200-000046000000}">
      <text>
        <r>
          <rPr>
            <sz val="10"/>
            <rFont val="Arial"/>
            <family val="2"/>
          </rPr>
          <t xml:space="preserve">LR Lvl2
</t>
        </r>
      </text>
    </comment>
    <comment ref="F28" authorId="0" shapeId="0" xr:uid="{00000000-0006-0000-0200-000047000000}">
      <text>
        <r>
          <rPr>
            <sz val="10"/>
            <rFont val="Arial"/>
            <family val="2"/>
          </rPr>
          <t xml:space="preserve">Photo Level 2 Course
</t>
        </r>
      </text>
    </comment>
    <comment ref="D29" authorId="0" shapeId="0" xr:uid="{00000000-0006-0000-0200-000048000000}">
      <text>
        <r>
          <rPr>
            <sz val="10"/>
            <rFont val="Arial"/>
            <family val="2"/>
          </rPr>
          <t xml:space="preserve">Get Off Auto Class
</t>
        </r>
      </text>
    </comment>
    <comment ref="F29" authorId="0" shapeId="0" xr:uid="{00000000-0006-0000-0200-000049000000}">
      <text>
        <r>
          <rPr>
            <sz val="10"/>
            <rFont val="Arial"/>
            <family val="2"/>
          </rPr>
          <t xml:space="preserve">Get Off Auto Class
</t>
        </r>
      </text>
    </comment>
    <comment ref="D30" authorId="0" shapeId="0" xr:uid="{00000000-0006-0000-0200-00004A000000}">
      <text>
        <r>
          <rPr>
            <sz val="10"/>
            <rFont val="Arial"/>
            <family val="2"/>
          </rPr>
          <t xml:space="preserve">Get Off Auto Class
</t>
        </r>
      </text>
    </comment>
    <comment ref="E30" authorId="0" shapeId="0" xr:uid="{00000000-0006-0000-0200-00004B000000}">
      <text>
        <r>
          <rPr>
            <sz val="10"/>
            <rFont val="Arial"/>
            <family val="2"/>
          </rPr>
          <t xml:space="preserve">RPS
</t>
        </r>
      </text>
    </comment>
    <comment ref="F30" authorId="0" shapeId="0" xr:uid="{00000000-0006-0000-0200-00004C000000}">
      <text>
        <r>
          <rPr>
            <sz val="10"/>
            <rFont val="Arial"/>
            <family val="2"/>
          </rPr>
          <t xml:space="preserve">Get Off Auto Class
</t>
        </r>
      </text>
    </comment>
    <comment ref="C32" authorId="0" shapeId="0" xr:uid="{00000000-0006-0000-0200-00004D000000}">
      <text>
        <r>
          <rPr>
            <sz val="10"/>
            <rFont val="Arial"/>
            <family val="2"/>
          </rPr>
          <t xml:space="preserve">RPS
</t>
        </r>
      </text>
    </comment>
    <comment ref="D32" authorId="0" shapeId="0" xr:uid="{00000000-0006-0000-0200-00004E000000}">
      <text>
        <r>
          <rPr>
            <sz val="10"/>
            <rFont val="Arial"/>
            <family val="2"/>
          </rPr>
          <t xml:space="preserve">Get Off Auto Class
</t>
        </r>
      </text>
    </comment>
    <comment ref="F32" authorId="0" shapeId="0" xr:uid="{00000000-0006-0000-0200-00004F000000}">
      <text>
        <r>
          <rPr>
            <sz val="10"/>
            <rFont val="Arial"/>
            <family val="2"/>
          </rPr>
          <t xml:space="preserve">Get Off Auto Class
</t>
        </r>
      </text>
    </comment>
    <comment ref="H34" authorId="0" shapeId="0" xr:uid="{00000000-0006-0000-0200-000050000000}">
      <text>
        <r>
          <rPr>
            <sz val="10"/>
            <rFont val="Arial"/>
            <family val="2"/>
          </rPr>
          <t xml:space="preserve">Anglesey
</t>
        </r>
      </text>
    </comment>
    <comment ref="D35" authorId="0" shapeId="0" xr:uid="{00000000-0006-0000-0200-000051000000}">
      <text>
        <r>
          <rPr>
            <sz val="10"/>
            <rFont val="Arial"/>
            <family val="2"/>
          </rPr>
          <t xml:space="preserve">Photo Level 2 Course
</t>
        </r>
      </text>
    </comment>
    <comment ref="D36" authorId="0" shapeId="0" xr:uid="{00000000-0006-0000-0200-000052000000}">
      <text>
        <r>
          <rPr>
            <sz val="10"/>
            <rFont val="Arial"/>
            <family val="2"/>
          </rPr>
          <t xml:space="preserve">Photo Level 2 Course
</t>
        </r>
      </text>
    </comment>
    <comment ref="D37" authorId="0" shapeId="0" xr:uid="{00000000-0006-0000-0200-000053000000}">
      <text>
        <r>
          <rPr>
            <sz val="10"/>
            <rFont val="Arial"/>
            <family val="2"/>
          </rPr>
          <t xml:space="preserve">Photo Level 2 Course
</t>
        </r>
      </text>
    </comment>
    <comment ref="E37" authorId="0" shapeId="0" xr:uid="{00000000-0006-0000-0200-000054000000}">
      <text>
        <r>
          <rPr>
            <sz val="10"/>
            <rFont val="Arial"/>
            <family val="2"/>
          </rPr>
          <t xml:space="preserve">Peak District Roaches
</t>
        </r>
      </text>
    </comment>
    <comment ref="H37" authorId="0" shapeId="0" xr:uid="{00000000-0006-0000-0200-000055000000}">
      <text>
        <r>
          <rPr>
            <sz val="10"/>
            <rFont val="Arial"/>
            <family val="2"/>
          </rPr>
          <t>Hartland</t>
        </r>
      </text>
    </comment>
    <comment ref="I37" authorId="0" shapeId="0" xr:uid="{00000000-0006-0000-0200-000056000000}">
      <text>
        <r>
          <rPr>
            <sz val="10"/>
            <rFont val="Arial"/>
            <family val="2"/>
          </rPr>
          <t>Hartland</t>
        </r>
      </text>
    </comment>
    <comment ref="D38" authorId="0" shapeId="0" xr:uid="{00000000-0006-0000-0200-000057000000}">
      <text>
        <r>
          <rPr>
            <sz val="10"/>
            <rFont val="Arial"/>
            <family val="2"/>
          </rPr>
          <t xml:space="preserve">Photo Level 2 Course
</t>
        </r>
      </text>
    </comment>
    <comment ref="F39" authorId="0" shapeId="0" xr:uid="{00000000-0006-0000-0200-000058000000}">
      <text>
        <r>
          <rPr>
            <sz val="10"/>
            <rFont val="Arial"/>
            <family val="2"/>
          </rPr>
          <t xml:space="preserve">Beginners Photo
</t>
        </r>
      </text>
    </comment>
    <comment ref="F40" authorId="0" shapeId="0" xr:uid="{00000000-0006-0000-0200-000059000000}">
      <text>
        <r>
          <rPr>
            <sz val="10"/>
            <rFont val="Arial"/>
            <family val="2"/>
          </rPr>
          <t xml:space="preserve">Beginners Photo
</t>
        </r>
      </text>
    </comment>
    <comment ref="F41" authorId="0" shapeId="0" xr:uid="{00000000-0006-0000-0200-00005A000000}">
      <text>
        <r>
          <rPr>
            <sz val="10"/>
            <rFont val="Arial"/>
            <family val="2"/>
          </rPr>
          <t xml:space="preserve">Beginners Photo
</t>
        </r>
      </text>
    </comment>
    <comment ref="F42" authorId="0" shapeId="0" xr:uid="{00000000-0006-0000-0200-00005B000000}">
      <text>
        <r>
          <rPr>
            <sz val="10"/>
            <rFont val="Arial"/>
            <family val="2"/>
          </rPr>
          <t xml:space="preserve">Beginners Photo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33" authorId="0" shapeId="0" xr:uid="{00000000-0006-0000-0500-000001000000}">
      <text>
        <r>
          <rPr>
            <sz val="10"/>
            <rFont val="Arial"/>
            <family val="2"/>
          </rPr>
          <t>alan ranger:
karen</t>
        </r>
      </text>
    </comment>
    <comment ref="M34" authorId="0" shapeId="0" xr:uid="{00000000-0006-0000-0500-000002000000}">
      <text>
        <r>
          <rPr>
            <sz val="10"/>
            <rFont val="Arial"/>
            <family val="2"/>
          </rPr>
          <t>alan ranger:
Karen</t>
        </r>
      </text>
    </comment>
    <comment ref="R35" authorId="0" shapeId="0" xr:uid="{00000000-0006-0000-0500-000003000000}">
      <text>
        <r>
          <rPr>
            <sz val="10"/>
            <rFont val="Arial"/>
            <family val="2"/>
          </rPr>
          <t>alan ranger:
Karen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32" authorId="0" shapeId="0" xr:uid="{00000000-0006-0000-0600-000001000000}">
      <text>
        <r>
          <rPr>
            <sz val="10"/>
            <rFont val="Arial"/>
            <family val="2"/>
          </rPr>
          <t>alan ranger:
karen</t>
        </r>
      </text>
    </comment>
    <comment ref="M33" authorId="0" shapeId="0" xr:uid="{00000000-0006-0000-0600-000002000000}">
      <text>
        <r>
          <rPr>
            <sz val="10"/>
            <rFont val="Arial"/>
            <family val="2"/>
          </rPr>
          <t>alan ranger:
Karen</t>
        </r>
      </text>
    </comment>
    <comment ref="R34" authorId="0" shapeId="0" xr:uid="{00000000-0006-0000-0600-000003000000}">
      <text>
        <r>
          <rPr>
            <sz val="10"/>
            <rFont val="Arial"/>
            <family val="2"/>
          </rPr>
          <t>alan ranger:
Karen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31" authorId="0" shapeId="0" xr:uid="{00000000-0006-0000-0700-000001000000}">
      <text>
        <r>
          <rPr>
            <sz val="10"/>
            <rFont val="Arial"/>
            <family val="2"/>
          </rPr>
          <t>alan ranger:
karen</t>
        </r>
      </text>
    </comment>
    <comment ref="M32" authorId="0" shapeId="0" xr:uid="{00000000-0006-0000-0700-000002000000}">
      <text>
        <r>
          <rPr>
            <sz val="10"/>
            <rFont val="Arial"/>
            <family val="2"/>
          </rPr>
          <t>alan ranger:
Karen</t>
        </r>
      </text>
    </comment>
    <comment ref="R33" authorId="0" shapeId="0" xr:uid="{00000000-0006-0000-0700-000003000000}">
      <text>
        <r>
          <rPr>
            <sz val="10"/>
            <rFont val="Arial"/>
            <family val="2"/>
          </rPr>
          <t>alan ranger:
Karen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27" authorId="0" shapeId="0" xr:uid="{00000000-0006-0000-0800-000001000000}">
      <text>
        <r>
          <rPr>
            <sz val="10"/>
            <rFont val="Arial"/>
            <family val="2"/>
          </rPr>
          <t>alan ranger:
karen</t>
        </r>
      </text>
    </comment>
    <comment ref="M28" authorId="0" shapeId="0" xr:uid="{00000000-0006-0000-0800-000002000000}">
      <text>
        <r>
          <rPr>
            <sz val="10"/>
            <rFont val="Arial"/>
            <family val="2"/>
          </rPr>
          <t>alan ranger:
Karen</t>
        </r>
      </text>
    </comment>
    <comment ref="R29" authorId="0" shapeId="0" xr:uid="{00000000-0006-0000-0800-000003000000}">
      <text>
        <r>
          <rPr>
            <sz val="10"/>
            <rFont val="Arial"/>
            <family val="2"/>
          </rPr>
          <t>alan ranger:
Karen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Q8" authorId="0" shapeId="0" xr:uid="{00000000-0006-0000-1300-000001000000}">
      <text>
        <r>
          <rPr>
            <sz val="10"/>
            <rFont val="Arial"/>
            <family val="2"/>
          </rPr>
          <t>alan ranger:
lakes
Dbl - 164pn
Sl - 109pn
SI - 98pn</t>
        </r>
      </text>
    </comment>
    <comment ref="R8" authorId="0" shapeId="0" xr:uid="{00000000-0006-0000-1300-000002000000}">
      <text>
        <r>
          <rPr>
            <sz val="10"/>
            <rFont val="Arial"/>
            <family val="2"/>
          </rPr>
          <t>alan ranger:
hartland
3 x 130 x 2</t>
        </r>
      </text>
    </comment>
    <comment ref="A49" authorId="0" shapeId="0" xr:uid="{00000000-0006-0000-1300-000003000000}">
      <text>
        <r>
          <rPr>
            <sz val="10"/>
            <rFont val="Arial"/>
            <family val="2"/>
          </rPr>
          <t>alan ranger:
can I get teaching price?</t>
        </r>
      </text>
    </comment>
    <comment ref="T70" authorId="0" shapeId="0" xr:uid="{00000000-0006-0000-1300-000004000000}">
      <text>
        <r>
          <rPr>
            <sz val="10"/>
            <rFont val="Arial"/>
            <family val="2"/>
          </rPr>
          <t>alan ranger:
Jack</t>
        </r>
      </text>
    </comment>
    <comment ref="B176" authorId="0" shapeId="0" xr:uid="{00000000-0006-0000-1300-000005000000}">
      <text>
        <r>
          <rPr>
            <sz val="10"/>
            <rFont val="Arial"/>
            <family val="2"/>
          </rPr>
          <t>alan ranger:
early settlement amount</t>
        </r>
      </text>
    </comment>
    <comment ref="B183" authorId="0" shapeId="0" xr:uid="{00000000-0006-0000-1300-000006000000}">
      <text>
        <r>
          <rPr>
            <sz val="10"/>
            <rFont val="Arial"/>
            <family val="2"/>
          </rPr>
          <t>alan ranger:
early settlement amount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D47" authorId="0" shapeId="0" xr:uid="{00000000-0006-0000-1E00-000001000000}">
      <text>
        <r>
          <rPr>
            <sz val="10"/>
            <rFont val="Arial"/>
            <family val="2"/>
          </rPr>
          <t>alan ranger:
Didn’t show up</t>
        </r>
      </text>
    </comment>
    <comment ref="D62" authorId="0" shapeId="0" xr:uid="{00000000-0006-0000-1E00-000002000000}">
      <text>
        <r>
          <rPr>
            <sz val="10"/>
            <rFont val="Arial"/>
            <family val="2"/>
          </rPr>
          <t>alan ranger:
cancelled 29 Sep</t>
        </r>
      </text>
    </comment>
    <comment ref="D67" authorId="0" shapeId="0" xr:uid="{00000000-0006-0000-1E00-000003000000}">
      <text>
        <r>
          <rPr>
            <sz val="10"/>
            <rFont val="Arial"/>
            <family val="2"/>
          </rPr>
          <t xml:space="preserve">alan ranger:
Credit from heathers aug 2023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D7" authorId="0" shapeId="0" xr:uid="{00000000-0006-0000-1F00-000001000000}">
      <text>
        <r>
          <rPr>
            <sz val="10"/>
            <rFont val="Arial"/>
            <family val="2"/>
          </rPr>
          <t>alan ranger:
cancelled as sprained ankle</t>
        </r>
      </text>
    </comment>
    <comment ref="C8" authorId="0" shapeId="0" xr:uid="{00000000-0006-0000-1F00-000002000000}">
      <text>
        <r>
          <rPr>
            <sz val="10"/>
            <rFont val="Arial"/>
            <family val="2"/>
          </rPr>
          <t>alan ranger:
transferred from last years cancelled event</t>
        </r>
      </text>
    </comment>
    <comment ref="D71" authorId="0" shapeId="0" xr:uid="{00000000-0006-0000-1F00-000003000000}">
      <text>
        <r>
          <rPr>
            <sz val="10"/>
            <rFont val="Arial"/>
            <family val="2"/>
          </rPr>
          <t xml:space="preserve">alan ranger:
cancelled as her father is ill.  Will rebook the spring one instead
</t>
        </r>
      </text>
    </comment>
    <comment ref="D72" authorId="0" shapeId="0" xr:uid="{00000000-0006-0000-1F00-000004000000}">
      <text>
        <r>
          <rPr>
            <sz val="10"/>
            <rFont val="Arial"/>
            <family val="2"/>
          </rPr>
          <t xml:space="preserve">alan ranger:
cancelled as her father is ill.  Will rebook the spring one instead
</t>
        </r>
      </text>
    </comment>
    <comment ref="C83" authorId="0" shapeId="0" xr:uid="{00000000-0006-0000-1F00-000005000000}">
      <text>
        <r>
          <rPr>
            <sz val="10"/>
            <rFont val="Arial"/>
            <family val="2"/>
          </rPr>
          <t>alan ranger:
had booked 19th apr then changed it as going on holiday</t>
        </r>
      </text>
    </comment>
    <comment ref="C85" authorId="0" shapeId="0" xr:uid="{00000000-0006-0000-1F00-000006000000}">
      <text>
        <r>
          <rPr>
            <sz val="10"/>
            <rFont val="Arial"/>
            <family val="2"/>
          </rPr>
          <t xml:space="preserve">alan ranger:
emailed day before to cancel due to illness
</t>
        </r>
      </text>
    </comment>
    <comment ref="C90" authorId="0" shapeId="0" xr:uid="{00000000-0006-0000-1F00-000007000000}">
      <text>
        <r>
          <rPr>
            <sz val="10"/>
            <rFont val="Arial"/>
            <family val="2"/>
          </rPr>
          <t>alan ranger:
Caneclled on day to not well and weather</t>
        </r>
      </text>
    </comment>
    <comment ref="C94" authorId="0" shapeId="0" xr:uid="{00000000-0006-0000-1F00-000008000000}">
      <text>
        <r>
          <rPr>
            <sz val="10"/>
            <rFont val="Arial"/>
            <family val="2"/>
          </rPr>
          <t>alan ranger:
No show and no message</t>
        </r>
      </text>
    </comment>
    <comment ref="C108" authorId="0" shapeId="0" xr:uid="{00000000-0006-0000-1F00-000009000000}">
      <text>
        <r>
          <rPr>
            <sz val="10"/>
            <rFont val="Arial"/>
            <family val="2"/>
          </rPr>
          <t>alan ranger:
she split all day over 2 day half sessions
Wed 23 Apr moring had heavy rain fprecast so we agreed to defer her 2nd booking towards another event so £51 credit</t>
        </r>
      </text>
    </comment>
    <comment ref="C109" authorId="0" shapeId="0" xr:uid="{00000000-0006-0000-1F00-00000A000000}">
      <text>
        <r>
          <rPr>
            <sz val="10"/>
            <rFont val="Arial"/>
            <family val="2"/>
          </rPr>
          <t>alan ranger:
she cancelled as cant make it - received 15 apr</t>
        </r>
      </text>
    </comment>
    <comment ref="C112" authorId="0" shapeId="0" xr:uid="{00000000-0006-0000-1F00-00000B000000}">
      <text>
        <r>
          <rPr>
            <sz val="10"/>
            <rFont val="Arial"/>
            <family val="2"/>
          </rPr>
          <t>alan ranger:
Heavy rain forecast so Morning session cancelled and agreed a credit of £51 towards another event</t>
        </r>
      </text>
    </comment>
    <comment ref="B123" authorId="0" shapeId="0" xr:uid="{00000000-0006-0000-1F00-00000C000000}">
      <text>
        <r>
          <rPr>
            <sz val="10"/>
            <rFont val="Arial"/>
            <family val="2"/>
          </rPr>
          <t>alan ranger:
emailed on 19 apr to say she cant make as husband working away</t>
        </r>
      </text>
    </comment>
    <comment ref="F123" authorId="0" shapeId="0" xr:uid="{00000000-0006-0000-1F00-00000D000000}">
      <text>
        <r>
          <rPr>
            <sz val="10"/>
            <rFont val="Arial"/>
            <family val="2"/>
          </rPr>
          <t>alan ranger:
Gift Voucher
#02297</t>
        </r>
      </text>
    </comment>
    <comment ref="C127" authorId="0" shapeId="0" xr:uid="{00000000-0006-0000-1F00-00000E000000}">
      <text>
        <r>
          <rPr>
            <sz val="10"/>
            <rFont val="Arial"/>
            <family val="2"/>
          </rPr>
          <t>alan ranger:
Cancelled the night before</t>
        </r>
      </text>
    </comment>
    <comment ref="C142" authorId="0" shapeId="0" xr:uid="{00000000-0006-0000-1F00-00000F000000}">
      <text>
        <r>
          <rPr>
            <sz val="10"/>
            <rFont val="Arial"/>
            <family val="2"/>
          </rPr>
          <t xml:space="preserve">alan ranger:
cancelled night before due to biking accident and broken collar bone
</t>
        </r>
      </text>
    </comment>
    <comment ref="C143" authorId="0" shapeId="0" xr:uid="{00000000-0006-0000-1F00-000010000000}">
      <text>
        <r>
          <rPr>
            <sz val="10"/>
            <rFont val="Arial"/>
            <family val="2"/>
          </rPr>
          <t xml:space="preserve">alan ranger:
cancelled night before due to biking accident and broken collar bone
</t>
        </r>
      </text>
    </comment>
    <comment ref="F149" authorId="0" shapeId="0" xr:uid="{00000000-0006-0000-1F00-000011000000}">
      <text>
        <r>
          <rPr>
            <sz val="10"/>
            <rFont val="Arial"/>
            <family val="2"/>
          </rPr>
          <t>alan ranger:
Gift Voucher
#02297</t>
        </r>
      </text>
    </comment>
    <comment ref="C154" authorId="0" shapeId="0" xr:uid="{00000000-0006-0000-1F00-000012000000}">
      <text>
        <r>
          <rPr>
            <sz val="10"/>
            <rFont val="Arial"/>
            <family val="2"/>
          </rPr>
          <t>alan ranger:
she cancelled on fri 2 May</t>
        </r>
      </text>
    </comment>
    <comment ref="C166" authorId="0" shapeId="0" xr:uid="{00000000-0006-0000-1F00-000013000000}">
      <text>
        <r>
          <rPr>
            <sz val="10"/>
            <rFont val="Arial"/>
            <family val="2"/>
          </rPr>
          <t>alan ranger:
Cancelled on the day</t>
        </r>
      </text>
    </comment>
    <comment ref="C170" authorId="0" shapeId="0" xr:uid="{00000000-0006-0000-1F00-000014000000}">
      <text>
        <r>
          <rPr>
            <sz val="10"/>
            <rFont val="Arial"/>
            <family val="2"/>
          </rPr>
          <t>alan ranger:
Cancelled on 7th May</t>
        </r>
      </text>
    </comment>
    <comment ref="C174" authorId="0" shapeId="0" xr:uid="{00000000-0006-0000-1F00-000015000000}">
      <text>
        <r>
          <rPr>
            <sz val="10"/>
            <rFont val="Arial"/>
            <family val="2"/>
          </rPr>
          <t xml:space="preserve">alan ranger:
Didn’t show up
</t>
        </r>
      </text>
    </comment>
    <comment ref="C181" authorId="0" shapeId="0" xr:uid="{00000000-0006-0000-1F00-000016000000}">
      <text>
        <r>
          <rPr>
            <sz val="10"/>
            <rFont val="Arial"/>
            <family val="2"/>
          </rPr>
          <t xml:space="preserve">alan ranger:
Didn’t show up
</t>
        </r>
      </text>
    </comment>
    <comment ref="B194" authorId="0" shapeId="0" xr:uid="{00000000-0006-0000-1F00-000017000000}">
      <text>
        <r>
          <rPr>
            <sz val="10"/>
            <rFont val="Arial"/>
            <family val="2"/>
          </rPr>
          <t>alan ranger:
Cancelled on 13 May</t>
        </r>
      </text>
    </comment>
    <comment ref="C227" authorId="0" shapeId="0" xr:uid="{00000000-0006-0000-1F00-000018000000}">
      <text>
        <r>
          <rPr>
            <sz val="10"/>
            <rFont val="Arial"/>
            <family val="2"/>
          </rPr>
          <t>alan ranger:
cancelled on june 2nd as away</t>
        </r>
      </text>
    </comment>
    <comment ref="C230" authorId="0" shapeId="0" xr:uid="{00000000-0006-0000-1F00-000019000000}">
      <text>
        <r>
          <rPr>
            <sz val="10"/>
            <rFont val="Arial"/>
            <family val="2"/>
          </rPr>
          <t>alan ranger:
I cancelled as not enough bookings</t>
        </r>
      </text>
    </comment>
    <comment ref="C235" authorId="0" shapeId="0" xr:uid="{00000000-0006-0000-1F00-00001A000000}">
      <text>
        <r>
          <rPr>
            <sz val="10"/>
            <rFont val="Arial"/>
            <family val="2"/>
          </rPr>
          <t>alan ranger:
I cancelled as not enough bookings so he switched to Heathers and LE Kenilworth</t>
        </r>
      </text>
    </comment>
    <comment ref="C245" authorId="0" shapeId="0" xr:uid="{00000000-0006-0000-1F00-00001B000000}">
      <text>
        <r>
          <rPr>
            <sz val="10"/>
            <rFont val="Arial"/>
            <family val="2"/>
          </rPr>
          <t xml:space="preserve">alan ranger:
switched from lavender shoot
</t>
        </r>
      </text>
    </comment>
    <comment ref="C252" authorId="0" shapeId="0" xr:uid="{00000000-0006-0000-1F00-00001C000000}">
      <text>
        <r>
          <rPr>
            <sz val="10"/>
            <rFont val="Arial"/>
            <family val="2"/>
          </rPr>
          <t xml:space="preserve">alan ranger:
switched from Lavender shoot
</t>
        </r>
      </text>
    </comment>
    <comment ref="D256" authorId="0" shapeId="0" xr:uid="{00000000-0006-0000-1F00-00001D000000}">
      <text>
        <r>
          <rPr>
            <sz val="10"/>
            <rFont val="Arial"/>
            <family val="2"/>
          </rPr>
          <t xml:space="preserve">alan ranger:
cancelled as her father is ill.  Will rebook the spring one instead
</t>
        </r>
      </text>
    </comment>
    <comment ref="D257" authorId="0" shapeId="0" xr:uid="{00000000-0006-0000-1F00-00001E000000}">
      <text>
        <r>
          <rPr>
            <sz val="10"/>
            <rFont val="Arial"/>
            <family val="2"/>
          </rPr>
          <t>alan ranger:
Cancelled the week before on 24th Aug</t>
        </r>
      </text>
    </comment>
    <comment ref="F287" authorId="0" shapeId="0" xr:uid="{00000000-0006-0000-1F00-00001F000000}">
      <text>
        <r>
          <rPr>
            <sz val="10"/>
            <rFont val="Arial"/>
            <family val="2"/>
          </rPr>
          <t>alan ranger:
Gift Voucher
#02297</t>
        </r>
      </text>
    </comment>
    <comment ref="D289" authorId="0" shapeId="0" xr:uid="{00000000-0006-0000-1F00-000020000000}">
      <text>
        <r>
          <rPr>
            <sz val="10"/>
            <rFont val="Arial"/>
            <family val="2"/>
          </rPr>
          <t>alan ranger:
caneclled 15 Oct</t>
        </r>
      </text>
    </comment>
    <comment ref="D293" authorId="0" shapeId="0" xr:uid="{00000000-0006-0000-1F00-000021000000}">
      <text>
        <r>
          <rPr>
            <sz val="10"/>
            <rFont val="Arial"/>
            <family val="2"/>
          </rPr>
          <t>alan ranger:
cancelled on 7 Oct</t>
        </r>
      </text>
    </comment>
    <comment ref="A336" authorId="0" shapeId="0" xr:uid="{00000000-0006-0000-1F00-000022000000}">
      <text>
        <r>
          <rPr>
            <sz val="10"/>
            <rFont val="Arial"/>
            <family val="2"/>
          </rPr>
          <t>alan ranger:
couldn’t find a date to reschedule so credit for 2026 booking</t>
        </r>
      </text>
    </comment>
    <comment ref="C342" authorId="0" shapeId="0" xr:uid="{00000000-0006-0000-1F00-000023000000}">
      <text>
        <r>
          <rPr>
            <sz val="10"/>
            <rFont val="Arial"/>
            <family val="2"/>
          </rPr>
          <t>alan ranger:
book for
 batsford 2025 as I cancelled wed 30 Oct 2024</t>
        </r>
      </text>
    </comment>
    <comment ref="C403" authorId="0" shapeId="0" xr:uid="{00000000-0006-0000-1F00-000024000000}">
      <text>
        <r>
          <rPr>
            <sz val="10"/>
            <rFont val="Arial"/>
            <family val="2"/>
          </rPr>
          <t>alan ranger:
was booked for 4th may millisons but clashed with another event so moved to 8 dec</t>
        </r>
      </text>
    </comment>
    <comment ref="C404" authorId="0" shapeId="0" xr:uid="{00000000-0006-0000-1F00-000025000000}">
      <text>
        <r>
          <rPr>
            <sz val="10"/>
            <rFont val="Arial"/>
            <family val="2"/>
          </rPr>
          <t>alan ranger:
cancelled 19 nov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S1" authorId="0" shapeId="0" xr:uid="{00000000-0006-0000-2000-000001000000}">
      <text>
        <r>
          <rPr>
            <sz val="10"/>
            <rFont val="Arial"/>
            <family val="2"/>
          </rPr>
          <t xml:space="preserve">alan ranger:
Cancellation terms 
The service order is subject to the following cancellation terms in calendar days: 
- More than or equal to 12 calendar days before the training start date: No cancellation fee. 
- Between 11 and 06 calendar days prior to the training start date: Maximum 50% of the course fee 
- Less than 05 calendar days before the training start date: 100% of the course fee 
</t>
        </r>
      </text>
    </comment>
    <comment ref="H35" authorId="0" shapeId="0" xr:uid="{00000000-0006-0000-2000-000002000000}">
      <text>
        <r>
          <rPr>
            <sz val="10"/>
            <rFont val="Arial"/>
            <family val="2"/>
          </rPr>
          <t>alan ranger:
moved to 31 Aug as done back in</t>
        </r>
      </text>
    </comment>
    <comment ref="H36" authorId="0" shapeId="0" xr:uid="{00000000-0006-0000-2000-000003000000}">
      <text>
        <r>
          <rPr>
            <sz val="10"/>
            <rFont val="Arial"/>
            <family val="2"/>
          </rPr>
          <t>alan ranger:
rescheduled for May 2nd but left on system as original date</t>
        </r>
      </text>
    </comment>
    <comment ref="H52" authorId="0" shapeId="0" xr:uid="{00000000-0006-0000-2000-000004000000}">
      <text>
        <r>
          <rPr>
            <sz val="10"/>
            <rFont val="Arial"/>
            <family val="2"/>
          </rPr>
          <t xml:space="preserve">alan ranger:
attending 26th
</t>
        </r>
      </text>
    </comment>
    <comment ref="H53" authorId="0" shapeId="0" xr:uid="{00000000-0006-0000-2000-000005000000}">
      <text>
        <r>
          <rPr>
            <sz val="10"/>
            <rFont val="Arial"/>
            <family val="2"/>
          </rPr>
          <t>alan ranger:
is attending 27 apr</t>
        </r>
      </text>
    </comment>
    <comment ref="H56" authorId="0" shapeId="0" xr:uid="{00000000-0006-0000-2000-000006000000}">
      <text>
        <r>
          <rPr>
            <sz val="10"/>
            <rFont val="Arial"/>
            <family val="2"/>
          </rPr>
          <t xml:space="preserve">alan ranger:
attending 26th
</t>
        </r>
      </text>
    </comment>
    <comment ref="H67" authorId="0" shapeId="0" xr:uid="{00000000-0006-0000-2000-000007000000}">
      <text>
        <r>
          <rPr>
            <sz val="10"/>
            <rFont val="Arial"/>
            <family val="2"/>
          </rPr>
          <t>alan ranger:
was booked 19 Apr</t>
        </r>
      </text>
    </comment>
    <comment ref="G81" authorId="0" shapeId="0" xr:uid="{00000000-0006-0000-2000-000008000000}">
      <text>
        <r>
          <rPr>
            <sz val="10"/>
            <rFont val="Arial"/>
            <family val="2"/>
          </rPr>
          <t>alan ranger:
is attending 8 Dec instead</t>
        </r>
      </text>
    </comment>
    <comment ref="E99" authorId="0" shapeId="0" xr:uid="{00000000-0006-0000-2000-000009000000}">
      <text>
        <r>
          <rPr>
            <sz val="10"/>
            <rFont val="Arial"/>
            <family val="2"/>
          </rPr>
          <t>alan ranger:
made two bookings for same event,  then didn’t turn up on date</t>
        </r>
      </text>
    </comment>
    <comment ref="E105" authorId="0" shapeId="0" xr:uid="{00000000-0006-0000-2000-00000A000000}">
      <text>
        <r>
          <rPr>
            <sz val="10"/>
            <rFont val="Arial"/>
            <family val="2"/>
          </rPr>
          <t>alan ranger:
didn’t show up</t>
        </r>
      </text>
    </comment>
    <comment ref="E108" authorId="0" shapeId="0" xr:uid="{00000000-0006-0000-2000-00000B000000}">
      <text>
        <r>
          <rPr>
            <sz val="10"/>
            <rFont val="Arial"/>
            <family val="2"/>
          </rPr>
          <t>alan ranger:
Booked for 16 May but I am away so rescheduled for May 22 but request is still showing for may 16
Didn’t turn up</t>
        </r>
      </text>
    </comment>
    <comment ref="E114" authorId="0" shapeId="0" xr:uid="{00000000-0006-0000-2000-00000C000000}">
      <text>
        <r>
          <rPr>
            <sz val="10"/>
            <rFont val="Arial"/>
            <family val="2"/>
          </rPr>
          <t xml:space="preserve">alan ranger:
Cancelled on 13 May
</t>
        </r>
      </text>
    </comment>
    <comment ref="E171" authorId="0" shapeId="0" xr:uid="{00000000-0006-0000-2000-00000D000000}">
      <text>
        <r>
          <rPr>
            <sz val="10"/>
            <rFont val="Arial"/>
            <family val="2"/>
          </rPr>
          <t>alan ranger:
wants to change to 1st Oct to attend with a colleague so waiting for confirmation and additional booking for colleague</t>
        </r>
      </text>
    </comment>
    <comment ref="E179" authorId="0" shapeId="0" xr:uid="{00000000-0006-0000-2000-00000E000000}">
      <text>
        <r>
          <rPr>
            <sz val="10"/>
            <rFont val="Arial"/>
            <family val="2"/>
          </rPr>
          <t>alan ranger:
cancelled 15 Oct</t>
        </r>
      </text>
    </comment>
    <comment ref="E181" authorId="0" shapeId="0" xr:uid="{00000000-0006-0000-2000-00000F000000}">
      <text>
        <r>
          <rPr>
            <sz val="10"/>
            <rFont val="Arial"/>
            <family val="2"/>
          </rPr>
          <t>alan ranger:
cancelled 7 Oct</t>
        </r>
      </text>
    </comment>
    <comment ref="E198" authorId="0" shapeId="0" xr:uid="{00000000-0006-0000-2000-000010000000}">
      <text>
        <r>
          <rPr>
            <sz val="10"/>
            <rFont val="Arial"/>
            <family val="2"/>
          </rPr>
          <t>alan ranger:
cancelled</t>
        </r>
      </text>
    </comment>
    <comment ref="E200" authorId="0" shapeId="0" xr:uid="{00000000-0006-0000-2000-000011000000}">
      <text>
        <r>
          <rPr>
            <sz val="10"/>
            <rFont val="Arial"/>
            <family val="2"/>
          </rPr>
          <t>alan ranger:
asked nits to cancel it find out which date he wanted as its showing a date range not actual date</t>
        </r>
      </text>
    </comment>
    <comment ref="E241" authorId="0" shapeId="0" xr:uid="{00000000-0006-0000-2000-000012000000}">
      <text>
        <r>
          <rPr>
            <sz val="10"/>
            <rFont val="Arial"/>
            <family val="2"/>
          </rPr>
          <t>alan ranger:
cancelled on 19 Nov</t>
        </r>
      </text>
    </comment>
    <comment ref="E277" authorId="0" shapeId="0" xr:uid="{00000000-0006-0000-2000-000013000000}">
      <text>
        <r>
          <rPr>
            <sz val="10"/>
            <rFont val="Arial"/>
            <family val="2"/>
          </rPr>
          <t>alan ranger:
I didn’t approve this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M4" authorId="0" shapeId="0" xr:uid="{00000000-0006-0000-2200-000001000000}">
      <text>
        <r>
          <rPr>
            <sz val="10"/>
            <rFont val="Arial"/>
            <family val="2"/>
          </rPr>
          <t xml:space="preserve">alan ranger:
Sat 20th AM
</t>
        </r>
      </text>
    </comment>
    <comment ref="H8" authorId="0" shapeId="0" xr:uid="{00000000-0006-0000-2200-000002000000}">
      <text>
        <r>
          <rPr>
            <sz val="10"/>
            <rFont val="Arial"/>
            <family val="2"/>
          </rPr>
          <t xml:space="preserve">alan ranger:
credit given for lavender cancellation, had to cancel batsford due to work but credit carried forward for 12 months
</t>
        </r>
      </text>
    </comment>
    <comment ref="B11" authorId="0" shapeId="0" xr:uid="{00000000-0006-0000-2200-000003000000}">
      <text>
        <r>
          <rPr>
            <sz val="10"/>
            <rFont val="Arial"/>
            <family val="2"/>
          </rPr>
          <t>alan ranger:
transferred from cancelled heathers workshop</t>
        </r>
      </text>
    </comment>
    <comment ref="B12" authorId="0" shapeId="0" xr:uid="{00000000-0006-0000-2200-000004000000}">
      <text>
        <r>
          <rPr>
            <sz val="10"/>
            <rFont val="Arial"/>
            <family val="2"/>
          </rPr>
          <t>alan ranger:
transferred from cancelled heathers workshop</t>
        </r>
      </text>
    </comment>
    <comment ref="B20" authorId="0" shapeId="0" xr:uid="{00000000-0006-0000-2200-000005000000}">
      <text>
        <r>
          <rPr>
            <sz val="10"/>
            <rFont val="Arial"/>
            <family val="2"/>
          </rPr>
          <t>alan ranger:
credit transferred from woodland masterclass £125 - £99 to this and £26 to LE Kenilworth May 23</t>
        </r>
      </text>
    </comment>
    <comment ref="B22" authorId="0" shapeId="0" xr:uid="{00000000-0006-0000-2200-000006000000}">
      <text>
        <r>
          <rPr>
            <sz val="10"/>
            <rFont val="Arial"/>
            <family val="2"/>
          </rPr>
          <t>alan ranger:
transferred from macro workshop</t>
        </r>
      </text>
    </comment>
    <comment ref="B23" authorId="0" shapeId="0" xr:uid="{00000000-0006-0000-2200-000007000000}">
      <text>
        <r>
          <rPr>
            <sz val="10"/>
            <rFont val="Arial"/>
            <family val="2"/>
          </rPr>
          <t>alan ranger:
transferred from macro workshop</t>
        </r>
      </text>
    </comment>
    <comment ref="B68" authorId="0" shapeId="0" xr:uid="{00000000-0006-0000-2200-000008000000}">
      <text>
        <r>
          <rPr>
            <sz val="10"/>
            <rFont val="Arial"/>
            <family val="2"/>
          </rPr>
          <t>alan ranger:
transferred from cancelled heathers workshop</t>
        </r>
      </text>
    </comment>
    <comment ref="B70" authorId="0" shapeId="0" xr:uid="{00000000-0006-0000-2200-000009000000}">
      <text>
        <r>
          <rPr>
            <sz val="10"/>
            <rFont val="Arial"/>
            <family val="2"/>
          </rPr>
          <t>alan ranger:
credit transferred from woodland masterclass £125 - £99 to this and £26 to LE Kenilworth May 23</t>
        </r>
      </text>
    </comment>
    <comment ref="M74" authorId="0" shapeId="0" xr:uid="{00000000-0006-0000-2200-00000A000000}">
      <text>
        <r>
          <rPr>
            <sz val="10"/>
            <rFont val="Arial"/>
            <family val="2"/>
          </rPr>
          <t xml:space="preserve">alan ranger:
Sat 20th AM
</t>
        </r>
      </text>
    </comment>
    <comment ref="H81" authorId="0" shapeId="0" xr:uid="{00000000-0006-0000-2200-00000B000000}">
      <text>
        <r>
          <rPr>
            <sz val="10"/>
            <rFont val="Arial"/>
            <family val="2"/>
          </rPr>
          <t xml:space="preserve">alan ranger:
credit given for lavender cancellation, had to cancel batsford due to work but credit carried forward for 12 months
</t>
        </r>
      </text>
    </comment>
    <comment ref="B82" authorId="0" shapeId="0" xr:uid="{00000000-0006-0000-2200-00000C000000}">
      <text>
        <r>
          <rPr>
            <sz val="10"/>
            <rFont val="Arial"/>
            <family val="2"/>
          </rPr>
          <t>alan ranger:
transferred from macro workshop</t>
        </r>
      </text>
    </comment>
    <comment ref="B83" authorId="0" shapeId="0" xr:uid="{00000000-0006-0000-2200-00000D000000}">
      <text>
        <r>
          <rPr>
            <sz val="10"/>
            <rFont val="Arial"/>
            <family val="2"/>
          </rPr>
          <t>alan ranger:
transferred from macro workshop</t>
        </r>
      </text>
    </comment>
    <comment ref="B94" authorId="0" shapeId="0" xr:uid="{00000000-0006-0000-2200-00000E000000}">
      <text>
        <r>
          <rPr>
            <sz val="10"/>
            <rFont val="Arial"/>
            <family val="2"/>
          </rPr>
          <t>alan ranger:
transferred from cancelled heathers workshop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I19" authorId="0" shapeId="0" xr:uid="{00000000-0006-0000-2400-000001000000}">
      <text>
        <r>
          <rPr>
            <sz val="10"/>
            <rFont val="Arial"/>
            <family val="2"/>
          </rPr>
          <t xml:space="preserve">alan ranger:
 Extended for 12 monthsand another 6 classes
</t>
        </r>
      </text>
    </comment>
    <comment ref="AY38" authorId="0" shapeId="0" xr:uid="{00000000-0006-0000-2400-000002000000}">
      <text>
        <r>
          <rPr>
            <sz val="10"/>
            <rFont val="Arial"/>
            <family val="2"/>
          </rPr>
          <t>alan ranger:
online</t>
        </r>
      </text>
    </comment>
    <comment ref="AZ38" authorId="0" shapeId="0" xr:uid="{00000000-0006-0000-2400-000003000000}">
      <text>
        <r>
          <rPr>
            <sz val="10"/>
            <rFont val="Arial"/>
            <family val="2"/>
          </rPr>
          <t>alan ranger:
online</t>
        </r>
      </text>
    </comment>
    <comment ref="BA38" authorId="0" shapeId="0" xr:uid="{00000000-0006-0000-2400-000004000000}">
      <text>
        <r>
          <rPr>
            <sz val="10"/>
            <rFont val="Arial"/>
            <family val="2"/>
          </rPr>
          <t>alan ranger:
online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D17" authorId="0" shapeId="0" xr:uid="{00000000-0006-0000-2500-000001000000}">
      <text>
        <r>
          <rPr>
            <sz val="10"/>
            <rFont val="Arial"/>
            <family val="2"/>
          </rPr>
          <t>If doesn’t run I agreed a refund… 2/11/2016 email</t>
        </r>
      </text>
    </comment>
  </commentList>
</comments>
</file>

<file path=xl/sharedStrings.xml><?xml version="1.0" encoding="utf-8"?>
<sst xmlns="http://schemas.openxmlformats.org/spreadsheetml/2006/main" count="42847" uniqueCount="8543">
  <si>
    <t>2026 - Year 14</t>
  </si>
  <si>
    <t>Covid Factor</t>
  </si>
  <si>
    <t>Working Days Left</t>
  </si>
  <si>
    <t>Weighting</t>
  </si>
  <si>
    <t>FY</t>
  </si>
  <si>
    <t>Total</t>
  </si>
  <si>
    <t>Apr to Dec</t>
  </si>
  <si>
    <t>Jan to Mar</t>
  </si>
  <si>
    <t>% Inc</t>
  </si>
  <si>
    <t>Working Days gone</t>
  </si>
  <si>
    <t>Gross Margin Share</t>
  </si>
  <si>
    <t>Sales Share</t>
  </si>
  <si>
    <t>Monthly Target</t>
  </si>
  <si>
    <t>Month No'</t>
  </si>
  <si>
    <t>Average per day to date</t>
  </si>
  <si>
    <t>Working Days</t>
  </si>
  <si>
    <t>Per hour</t>
  </si>
  <si>
    <t>Sales Categories</t>
  </si>
  <si>
    <t>Target</t>
  </si>
  <si>
    <t>Year</t>
  </si>
  <si>
    <t>Current Var</t>
  </si>
  <si>
    <t>Var YTD</t>
  </si>
  <si>
    <t>% YTD</t>
  </si>
  <si>
    <t>YTD Targ</t>
  </si>
  <si>
    <t>Avg.PM</t>
  </si>
  <si>
    <t>23/24</t>
  </si>
  <si>
    <t>Year 11</t>
  </si>
  <si>
    <t>Remaining Additional</t>
  </si>
  <si>
    <t>1. Courses/masterclasses</t>
  </si>
  <si>
    <t>22/23</t>
  </si>
  <si>
    <t>Year 10</t>
  </si>
  <si>
    <t>2. Workshops Non Residential</t>
  </si>
  <si>
    <t>21/22</t>
  </si>
  <si>
    <t>Year 9 (Covid-19)</t>
  </si>
  <si>
    <t>Current Month Forecast</t>
  </si>
  <si>
    <t>3. Workshops Residential</t>
  </si>
  <si>
    <t>Shortfall/Surplus</t>
  </si>
  <si>
    <t>4. Pick n Mix Inc</t>
  </si>
  <si>
    <t>20/21</t>
  </si>
  <si>
    <t>Year 8 (Covid-19)</t>
  </si>
  <si>
    <t>Forecast to Target</t>
  </si>
  <si>
    <t>5. Pick n Mix Out</t>
  </si>
  <si>
    <t>19/20</t>
  </si>
  <si>
    <t>Year 7</t>
  </si>
  <si>
    <t>6. Mentoring</t>
  </si>
  <si>
    <t>18/19</t>
  </si>
  <si>
    <t>Year 6</t>
  </si>
  <si>
    <t>7. 1-2-1</t>
  </si>
  <si>
    <t>17/18</t>
  </si>
  <si>
    <t>Year 5</t>
  </si>
  <si>
    <t>8. Gift Vouchers Inc</t>
  </si>
  <si>
    <t>16/17</t>
  </si>
  <si>
    <t>Year 4 (surgery)</t>
  </si>
  <si>
    <t>9. Gift Vouchers Out</t>
  </si>
  <si>
    <t>15/16</t>
  </si>
  <si>
    <t>Year 3</t>
  </si>
  <si>
    <t>10. Prints &amp; Royalties</t>
  </si>
  <si>
    <t>14/15</t>
  </si>
  <si>
    <t>Year 2</t>
  </si>
  <si>
    <t>11 Commissions</t>
  </si>
  <si>
    <t>13/14</t>
  </si>
  <si>
    <t>Year 1</t>
  </si>
  <si>
    <t>12. Academy</t>
  </si>
  <si>
    <t>Totals</t>
  </si>
  <si>
    <t>Tony Teague</t>
  </si>
  <si>
    <t>Deals Won - Waiting £</t>
  </si>
  <si>
    <t>paid 250 deposit</t>
  </si>
  <si>
    <t>Dingle / Ireland</t>
  </si>
  <si>
    <t>GP</t>
  </si>
  <si>
    <t>YR Rev Forecast</t>
  </si>
  <si>
    <t>Invoice Date</t>
  </si>
  <si>
    <t>Employee</t>
  </si>
  <si>
    <t>Invoice Number</t>
  </si>
  <si>
    <t>ELS Voucher</t>
  </si>
  <si>
    <t>Amount</t>
  </si>
  <si>
    <t>Event</t>
  </si>
  <si>
    <t>GP %</t>
  </si>
  <si>
    <t>Cash After Capital Repayment</t>
  </si>
  <si>
    <t>Pixsy</t>
  </si>
  <si>
    <t>Cash %</t>
  </si>
  <si>
    <t>Kase Affiliation</t>
  </si>
  <si>
    <t>Kase Commission</t>
  </si>
  <si>
    <t>Year on year Improvement %</t>
  </si>
  <si>
    <t>2026 v 2025</t>
  </si>
  <si>
    <t>Last 6 months Avg</t>
  </si>
  <si>
    <t>Partnerize</t>
  </si>
  <si>
    <t>MPB Commission</t>
  </si>
  <si>
    <t>Pure Photo</t>
  </si>
  <si>
    <t>Hrly Rate (8hrs)</t>
  </si>
  <si>
    <t>Artfully Walls</t>
  </si>
  <si>
    <t>Daily Rate</t>
  </si>
  <si>
    <t>Staff Training</t>
  </si>
  <si>
    <t>The Heart of a Garden</t>
  </si>
  <si>
    <t>Greeting Cards</t>
  </si>
  <si>
    <t>2025</t>
  </si>
  <si>
    <t>Year 13</t>
  </si>
  <si>
    <t>YTD YOY</t>
  </si>
  <si>
    <t>Photocrowd</t>
  </si>
  <si>
    <t>Judging Fee</t>
  </si>
  <si>
    <t>2024</t>
  </si>
  <si>
    <t>Year 12</t>
  </si>
  <si>
    <t>Call of the Page</t>
  </si>
  <si>
    <t>Feedback time Sept</t>
  </si>
  <si>
    <t>2023</t>
  </si>
  <si>
    <t>Outdoor Photographer</t>
  </si>
  <si>
    <t>2022</t>
  </si>
  <si>
    <t>2021</t>
  </si>
  <si>
    <t>Photo shoot</t>
  </si>
  <si>
    <t>2020</t>
  </si>
  <si>
    <t>2019</t>
  </si>
  <si>
    <t>Previous 6 months Avg</t>
  </si>
  <si>
    <t>Into The Blue</t>
  </si>
  <si>
    <t>John MacDonald</t>
  </si>
  <si>
    <t>Peak District 1 Nov</t>
  </si>
  <si>
    <t>2605100908</t>
  </si>
  <si>
    <t>2018</t>
  </si>
  <si>
    <t>2017</t>
  </si>
  <si>
    <t>2016</t>
  </si>
  <si>
    <t>2015</t>
  </si>
  <si>
    <t>.</t>
  </si>
  <si>
    <t>2014</t>
  </si>
  <si>
    <t>2013</t>
  </si>
  <si>
    <t>YoY +/-</t>
  </si>
  <si>
    <t>Leads In Progress</t>
  </si>
  <si>
    <t>2YR Avg</t>
  </si>
  <si>
    <t>Invoice</t>
  </si>
  <si>
    <t>JLR</t>
  </si>
  <si>
    <t>Count Units Payment Month</t>
  </si>
  <si>
    <t>Pay  Due Amounts</t>
  </si>
  <si>
    <t>Paid</t>
  </si>
  <si>
    <t>Outstanding</t>
  </si>
  <si>
    <t xml:space="preserve">Total </t>
  </si>
  <si>
    <t>To Date - All Time</t>
  </si>
  <si>
    <t>Average Per Year</t>
  </si>
  <si>
    <t>YTD Actual</t>
  </si>
  <si>
    <t>YTD Var to target</t>
  </si>
  <si>
    <t>JLR Anlsyis 2026</t>
  </si>
  <si>
    <t>Non JLR</t>
  </si>
  <si>
    <t>TOTAL</t>
  </si>
  <si>
    <t>Diff</t>
  </si>
  <si>
    <t>Tuition Categories</t>
  </si>
  <si>
    <t>Variance to 2025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</si>
  <si>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</si>
  <si>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</si>
  <si>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</si>
  <si>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</si>
  <si>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</si>
  <si>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</si>
  <si>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</si>
  <si>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</si>
  <si>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</si>
  <si>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</si>
  <si>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</si>
  <si>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</si>
  <si>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Units</t>
  </si>
  <si>
    <t>Avg PPU</t>
  </si>
  <si>
    <t>GP Amount</t>
  </si>
  <si>
    <t>Banking Source</t>
  </si>
  <si>
    <t>Split</t>
  </si>
  <si>
    <t>Stripe</t>
  </si>
  <si>
    <t>PayPal</t>
  </si>
  <si>
    <t>Various</t>
  </si>
  <si>
    <t>Bank</t>
  </si>
  <si>
    <t>Groupon</t>
  </si>
  <si>
    <t>Cash</t>
  </si>
  <si>
    <t>Gift Voucher Out</t>
  </si>
  <si>
    <t>PicknMix</t>
  </si>
  <si>
    <t>W-Pay</t>
  </si>
  <si>
    <t>Payment Fees</t>
  </si>
  <si>
    <t>Stripe 1.5% +20p</t>
  </si>
  <si>
    <t>Paypal 2.90% + £0.30</t>
  </si>
  <si>
    <t>Total Fees</t>
  </si>
  <si>
    <t>Net Payment</t>
  </si>
  <si>
    <t>Booking source</t>
  </si>
  <si>
    <t>Google</t>
  </si>
  <si>
    <t>Existing</t>
  </si>
  <si>
    <t>Referral</t>
  </si>
  <si>
    <t>Batsford</t>
  </si>
  <si>
    <t>ChatGPT</t>
  </si>
  <si>
    <t>Facebook</t>
  </si>
  <si>
    <t>Into the Blue</t>
  </si>
  <si>
    <t>Other</t>
  </si>
  <si>
    <t>Booking source  £</t>
  </si>
  <si>
    <t>New Clients</t>
  </si>
  <si>
    <t>Existing Clients</t>
  </si>
  <si>
    <t>Booking source  Units</t>
  </si>
  <si>
    <t>Booking source  AVG PPU</t>
  </si>
  <si>
    <t>Date</t>
  </si>
  <si>
    <t>Client</t>
  </si>
  <si>
    <t>Category</t>
  </si>
  <si>
    <t>Funding</t>
  </si>
  <si>
    <t>Source</t>
  </si>
  <si>
    <t>Canonical Product</t>
  </si>
  <si>
    <t>Landing Page URL</t>
  </si>
  <si>
    <t>Sarah Kuner</t>
  </si>
  <si>
    <t>Camera Course</t>
  </si>
  <si>
    <t>Beginners Photography Course | 3 Weekly Evening Classes</t>
  </si>
  <si>
    <t>https://www.alanranger.com/beginners-photography-classes</t>
  </si>
  <si>
    <t>Harmit Kuner</t>
  </si>
  <si>
    <t>Esau Leon</t>
  </si>
  <si>
    <t>Academy</t>
  </si>
  <si>
    <t>Academy - Membership / eBook / Exams (historical bundle)</t>
  </si>
  <si>
    <t>https://www.alanranger.com/free-online-photography-course</t>
  </si>
  <si>
    <t xml:space="preserve">Anne Watkinson </t>
  </si>
  <si>
    <t>121</t>
  </si>
  <si>
    <t>1-2-1 Single Session - 1hr (Face-to-Face)</t>
  </si>
  <si>
    <t>https://www.alanranger.com/private-photography-lessons</t>
  </si>
  <si>
    <t>Ruth Martin</t>
  </si>
  <si>
    <t>Mahesh Valasa</t>
  </si>
  <si>
    <t>Gift Voucher</t>
  </si>
  <si>
    <t>Gift Voucher - Digital eCard</t>
  </si>
  <si>
    <t>https://www.alanranger.com/photography-gift-vouchers</t>
  </si>
  <si>
    <t>Peter Sands</t>
  </si>
  <si>
    <t>Archit Rastogi</t>
  </si>
  <si>
    <t>Lightoom</t>
  </si>
  <si>
    <t>Lightroom Courses for Beginners Photo Editing - Coventry</t>
  </si>
  <si>
    <t>https://www.alanranger.com/photo-editing-course-coventry</t>
  </si>
  <si>
    <t>Michael Donnelly</t>
  </si>
  <si>
    <t>Mike Elliott</t>
  </si>
  <si>
    <t>Hartland Quay</t>
  </si>
  <si>
    <t>Voucher/Plan Redemption - not a product sale</t>
  </si>
  <si>
    <t>Landscape Photography DEVON Workshops - Various Dates</t>
  </si>
  <si>
    <t>https://www.alanranger.com/photography-workshops</t>
  </si>
  <si>
    <t>Gail Johnson</t>
  </si>
  <si>
    <t>Fairy Glen</t>
  </si>
  <si>
    <t>FAIRY GLEN and Fairy Falls Long Exposure Photography</t>
  </si>
  <si>
    <t>https://www.alanranger.com/landscape-photography-workshops</t>
  </si>
  <si>
    <t>Maggie Shaw</t>
  </si>
  <si>
    <t>Digital Gidt Card</t>
  </si>
  <si>
    <t>Les Page</t>
  </si>
  <si>
    <t>Bluebells</t>
  </si>
  <si>
    <t>BLUEBELL WOODLANDS Photography - Warks - 20 Apr- 30 Apr</t>
  </si>
  <si>
    <t>https://www.alanranger.com/one-day-landscape-photography-workshops</t>
  </si>
  <si>
    <t>neil lewis</t>
  </si>
  <si>
    <t>Neil Sturgess</t>
  </si>
  <si>
    <t>Peak District</t>
  </si>
  <si>
    <t>PEAK DISTRICT Photography Workshops - May, Oct and Nov</t>
  </si>
  <si>
    <t>Sharon MacDonald</t>
  </si>
  <si>
    <t>Lisa Vincent</t>
  </si>
  <si>
    <t>Sophie Bringlow</t>
  </si>
  <si>
    <t>David Clarke</t>
  </si>
  <si>
    <t>Elizabeth Newall</t>
  </si>
  <si>
    <t>Sarah Glasgow</t>
  </si>
  <si>
    <t>Urban Architecture</t>
  </si>
  <si>
    <t>URBAN ARCHITECTURE Photography Workshops - Coventry 9 Sep</t>
  </si>
  <si>
    <t>Paul Widdowson</t>
  </si>
  <si>
    <t>Sharon Pilkington</t>
  </si>
  <si>
    <t>dave sharp</t>
  </si>
  <si>
    <t>Mahesh Patel</t>
  </si>
  <si>
    <t>Lake Vyrnwy</t>
  </si>
  <si>
    <t>WALES Photography Workshop | Lake Vyrnwy 10-11 Oct</t>
  </si>
  <si>
    <t>Andrea Morris</t>
  </si>
  <si>
    <t>Malver CC</t>
  </si>
  <si>
    <t>Camera Club Talk</t>
  </si>
  <si>
    <t>Commission - Editorial / Guest Blog / Judging</t>
  </si>
  <si>
    <t>https://www.alanranger.com/corporate-photography-training</t>
  </si>
  <si>
    <t>Esther Anyanwu</t>
  </si>
  <si>
    <t>1-2-1 Balance</t>
  </si>
  <si>
    <t>Martin Morris</t>
  </si>
  <si>
    <t>Stacey Bailey</t>
  </si>
  <si>
    <t>Katherine Clay</t>
  </si>
  <si>
    <t>George Caus</t>
  </si>
  <si>
    <t>BRAIN SMITH DSOUZA</t>
  </si>
  <si>
    <t>Jo Galloway</t>
  </si>
  <si>
    <t>F2F 1-2-1</t>
  </si>
  <si>
    <t>1-2-1 Single Session - 2hr (Face-to-Face)</t>
  </si>
  <si>
    <t>John Johnstone</t>
  </si>
  <si>
    <t>Zomm 1hr</t>
  </si>
  <si>
    <t>1-2-1 Single Session - 1hr Zoom</t>
  </si>
  <si>
    <t>https://www.alanranger.com/photography-lessons-online-121</t>
  </si>
  <si>
    <t>Peter Orton</t>
  </si>
  <si>
    <t>Devon</t>
  </si>
  <si>
    <t>Emmanuel Asimadi</t>
  </si>
  <si>
    <t>Woodland Masterclass</t>
  </si>
  <si>
    <t>The Secret of WOODLAND PHOTOGRAPHY- 1-Day Jan, Apr, Aug, Oct</t>
  </si>
  <si>
    <t>Kulvinder Bains</t>
  </si>
  <si>
    <t>Diana Richards</t>
  </si>
  <si>
    <t>Mike McMahon</t>
  </si>
  <si>
    <t>Geraint Williams</t>
  </si>
  <si>
    <t>Garden Workshop</t>
  </si>
  <si>
    <t>The Art of GARDEN PHOTOGRAPHY  - Coventry -  May and July</t>
  </si>
  <si>
    <t>Lavendar</t>
  </si>
  <si>
    <t>LAVENDER FIELD Photography Workshop - Gloucestershire July</t>
  </si>
  <si>
    <t>Artfully Walls Ltd</t>
  </si>
  <si>
    <t>Prints</t>
  </si>
  <si>
    <t>Print Sale - Generic (historical)</t>
  </si>
  <si>
    <t>https://www.alanranger.com/fine-art-prints</t>
  </si>
  <si>
    <t>Dale Creaser</t>
  </si>
  <si>
    <t>Snowdonia</t>
  </si>
  <si>
    <t>Landscape Photography SNOWDONIA - Sat 26 - Sun 27 Sep 2026</t>
  </si>
  <si>
    <t>Mahmood Esmail</t>
  </si>
  <si>
    <t>Lightroom Course</t>
  </si>
  <si>
    <t>Mentoring Subs</t>
  </si>
  <si>
    <t>Monthly Mentoring</t>
  </si>
  <si>
    <t>Mentoring - Monthly Subscription</t>
  </si>
  <si>
    <t>https://www.alanranger.com/photography-mentoring-online-assignments</t>
  </si>
  <si>
    <t>ROBERT TAYLOR</t>
  </si>
  <si>
    <t>Annual Member</t>
  </si>
  <si>
    <t>Brooklyn Brow</t>
  </si>
  <si>
    <t>Commission - Corporate / Staff Training</t>
  </si>
  <si>
    <t>Diane McHardy</t>
  </si>
  <si>
    <t>2hr f2f 1-2-1</t>
  </si>
  <si>
    <t xml:space="preserve">HOMD Consulting </t>
  </si>
  <si>
    <t>Blog Post</t>
  </si>
  <si>
    <t>https://www.alanranger.com/professional-commercial-photographer-coventry</t>
  </si>
  <si>
    <t xml:space="preserve">dpk1959@sky.com </t>
  </si>
  <si>
    <t>Mr N A. Barford</t>
  </si>
  <si>
    <t xml:space="preserve">mahmood@esmail.io </t>
  </si>
  <si>
    <t>Academy Membership</t>
  </si>
  <si>
    <t>Myra Little</t>
  </si>
  <si>
    <t>Julietta Juras</t>
  </si>
  <si>
    <t>Alan Ranger</t>
  </si>
  <si>
    <t>Richard Johnson</t>
  </si>
  <si>
    <t>4 x 1hr Zoom</t>
  </si>
  <si>
    <t>1-2-1 Package - 4 x 1hr Zoom</t>
  </si>
  <si>
    <t>Mrs P Pearl</t>
  </si>
  <si>
    <t>Kenilworth</t>
  </si>
  <si>
    <t>Long Exposure Photography Workshop KENILWORTH Sunset</t>
  </si>
  <si>
    <t>James W Rosnack</t>
  </si>
  <si>
    <t>Biggin Hall Enquiry</t>
  </si>
  <si>
    <t>Commission - Commercial / Product Shoot</t>
  </si>
  <si>
    <t>Sarah Joyce</t>
  </si>
  <si>
    <t>Carolynn Trimble</t>
  </si>
  <si>
    <t>Balbir Dubb</t>
  </si>
  <si>
    <t>Woodland Walk</t>
  </si>
  <si>
    <t>Woodland Photography Walk - Warwickshire (half-day low-cost)</t>
  </si>
  <si>
    <t>Tugba Sahin Tore</t>
  </si>
  <si>
    <t>Sandra Dawkes</t>
  </si>
  <si>
    <t>4 x1hr Zooms</t>
  </si>
  <si>
    <t>James Rosnack</t>
  </si>
  <si>
    <t>Helen Skilton</t>
  </si>
  <si>
    <t>Heart of England</t>
  </si>
  <si>
    <t>Card royalies</t>
  </si>
  <si>
    <t>Royalties &amp; Affiliate Income</t>
  </si>
  <si>
    <t>Liz Lewis</t>
  </si>
  <si>
    <t>Allison Poole</t>
  </si>
  <si>
    <t>Francisca Solis Puello</t>
  </si>
  <si>
    <t>Author Photos</t>
  </si>
  <si>
    <t>PROMOVA LEARNING PLATFORM</t>
  </si>
  <si>
    <t>Guest Blog</t>
  </si>
  <si>
    <t>mark reynolds</t>
  </si>
  <si>
    <t>6 Zoom Lessons</t>
  </si>
  <si>
    <t>1-2-1 Package - Zoom Multi-Session</t>
  </si>
  <si>
    <t>Miss M G Walker</t>
  </si>
  <si>
    <t>Digital Voucher</t>
  </si>
  <si>
    <t>Caroline Key</t>
  </si>
  <si>
    <t>Johanna Stansfield</t>
  </si>
  <si>
    <t>Christopher Bernatek</t>
  </si>
  <si>
    <t>Ben Lucy</t>
  </si>
  <si>
    <t>Photo shoot sculpture</t>
  </si>
  <si>
    <t>Paul Jackson</t>
  </si>
  <si>
    <t>Joanne Galloway</t>
  </si>
  <si>
    <t>PnM Balance</t>
  </si>
  <si>
    <t>Pick N Mix Payment Plan</t>
  </si>
  <si>
    <t>https://www.alanranger.com/photography-payment-plan</t>
  </si>
  <si>
    <t>Robert Taylor</t>
  </si>
  <si>
    <t>Sofia Garza</t>
  </si>
  <si>
    <t>Yorkshire Dales</t>
  </si>
  <si>
    <t>Landscape YORKSHIRE DALES Photography Workshop - 16 - 18 Apr</t>
  </si>
  <si>
    <t>Mark Reynolds</t>
  </si>
  <si>
    <t>1hr Zoom</t>
  </si>
  <si>
    <t>Deion Coe</t>
  </si>
  <si>
    <t>Woodland Photography Walk</t>
  </si>
  <si>
    <t>Ye Tao</t>
  </si>
  <si>
    <t>Indianna Long</t>
  </si>
  <si>
    <t>John Sharp</t>
  </si>
  <si>
    <t>Kat Philpott</t>
  </si>
  <si>
    <t xml:space="preserve">KENILWORTH Sunset </t>
  </si>
  <si>
    <t>Michael J White</t>
  </si>
  <si>
    <t>Nickiii Kohhantsuk</t>
  </si>
  <si>
    <t>Makala Walker</t>
  </si>
  <si>
    <t>Michael White</t>
  </si>
  <si>
    <t>Anglesey 2 places</t>
  </si>
  <si>
    <t>ANGLESEY Landscape Photography Workshop -  May 2027</t>
  </si>
  <si>
    <t xml:space="preserve">LAVENDER FIELD Photography </t>
  </si>
  <si>
    <t xml:space="preserve">BLUEBELL WOODLANDS </t>
  </si>
  <si>
    <t xml:space="preserve">WALES Photography Workshop </t>
  </si>
  <si>
    <t xml:space="preserve">BURNHAM ON SEA </t>
  </si>
  <si>
    <t>BURNHAM ON SEA Long Exposure Photography Workshop 1 Aug</t>
  </si>
  <si>
    <t xml:space="preserve">CHESTERTON WINDMILL </t>
  </si>
  <si>
    <t>Photography Workshops CHESTERTON WINDMILL - Warwickshire</t>
  </si>
  <si>
    <t>Heidi Gibbs</t>
  </si>
  <si>
    <t>Photo Editing</t>
  </si>
  <si>
    <t>Caitriona Hanly</t>
  </si>
  <si>
    <t>John Ellis</t>
  </si>
  <si>
    <t>Chris Stamp</t>
  </si>
  <si>
    <t>Sara Roberts</t>
  </si>
  <si>
    <t>Sunil Raaj</t>
  </si>
  <si>
    <t>Stephanie Sanderson</t>
  </si>
  <si>
    <t>Theresa Halpin</t>
  </si>
  <si>
    <t>Naveen Prakash Karuppaiah</t>
  </si>
  <si>
    <t>Shreyashi Saha</t>
  </si>
  <si>
    <t>Vedaraj Thakare</t>
  </si>
  <si>
    <t>Dadasaheb Jadhav</t>
  </si>
  <si>
    <t>Toby Mendes</t>
  </si>
  <si>
    <t>Kalindi Vyas</t>
  </si>
  <si>
    <t>Rebecca Saunders</t>
  </si>
  <si>
    <t>Stephanie Roberts</t>
  </si>
  <si>
    <t xml:space="preserve">HOMD Consulting Limited </t>
  </si>
  <si>
    <t>Paul Wright</t>
  </si>
  <si>
    <t>sue green</t>
  </si>
  <si>
    <t>David Pitt</t>
  </si>
  <si>
    <t>Nick Barber</t>
  </si>
  <si>
    <t>Zoom Package</t>
  </si>
  <si>
    <t>Michael Harrott</t>
  </si>
  <si>
    <t>Alvin Roussel</t>
  </si>
  <si>
    <t>Sue Heady</t>
  </si>
  <si>
    <t>Helen Burnett</t>
  </si>
  <si>
    <t>Grace Brown</t>
  </si>
  <si>
    <t>PWA Training</t>
  </si>
  <si>
    <t>Penelope Ulander</t>
  </si>
  <si>
    <t>Simon Durk</t>
  </si>
  <si>
    <t>Emma Brown</t>
  </si>
  <si>
    <t>Exams Module</t>
  </si>
  <si>
    <t>Print Sale</t>
  </si>
  <si>
    <t>Mon</t>
  </si>
  <si>
    <t>Tue</t>
  </si>
  <si>
    <t>Wed</t>
  </si>
  <si>
    <t>Thu</t>
  </si>
  <si>
    <t>Fri</t>
  </si>
  <si>
    <t>Sat</t>
  </si>
  <si>
    <t>Sun</t>
  </si>
  <si>
    <t>Jan/Feb</t>
  </si>
  <si>
    <t>Half Term</t>
  </si>
  <si>
    <t>Feb/Mar</t>
  </si>
  <si>
    <t>Mothers Day</t>
  </si>
  <si>
    <t>Ruby breaks up</t>
  </si>
  <si>
    <t>Mar/Apr</t>
  </si>
  <si>
    <t>Ruby breaks up Easter</t>
  </si>
  <si>
    <t>Easter Break</t>
  </si>
  <si>
    <t>Ruby's Birthday</t>
  </si>
  <si>
    <t>Apr/May</t>
  </si>
  <si>
    <t>Bank Holiday</t>
  </si>
  <si>
    <t>May/Jun</t>
  </si>
  <si>
    <t>Fathers Day</t>
  </si>
  <si>
    <t>Jun/Jul</t>
  </si>
  <si>
    <t>Ruby Breaks Up</t>
  </si>
  <si>
    <t>Jul/Aug</t>
  </si>
  <si>
    <t>Aug/Sep</t>
  </si>
  <si>
    <t>Ruby school 29th Aug</t>
  </si>
  <si>
    <t>Ruby school 28th Aug</t>
  </si>
  <si>
    <t>Sep/Oct</t>
  </si>
  <si>
    <t>Oct/Nov</t>
  </si>
  <si>
    <t>Nov/Dec</t>
  </si>
  <si>
    <t>Dec/Jan</t>
  </si>
  <si>
    <t>Evenings</t>
  </si>
  <si>
    <t>Daytime</t>
  </si>
  <si>
    <t>Mon Day</t>
  </si>
  <si>
    <t>Mon Eve</t>
  </si>
  <si>
    <t>Tue Day</t>
  </si>
  <si>
    <t>Tue Eve</t>
  </si>
  <si>
    <t>Wed Day</t>
  </si>
  <si>
    <t>Wed Eve</t>
  </si>
  <si>
    <t>Thu Day</t>
  </si>
  <si>
    <t>Thu Eve</t>
  </si>
  <si>
    <t>Fri Day</t>
  </si>
  <si>
    <t>Fri Eve</t>
  </si>
  <si>
    <t>Sat Day</t>
  </si>
  <si>
    <t>Sat Eve</t>
  </si>
  <si>
    <t>Sun Day</t>
  </si>
  <si>
    <t>Sun Eve</t>
  </si>
  <si>
    <t>Dorset/London</t>
  </si>
  <si>
    <t>Batsford/Hartland</t>
  </si>
  <si>
    <t>Lake District</t>
  </si>
  <si>
    <t>Half Term /Isle of Skye/Suffolk Coast</t>
  </si>
  <si>
    <t>Mothers Day/Padley Gorge</t>
  </si>
  <si>
    <t>Ruby breaks up  Night Shoot Kenilworth</t>
  </si>
  <si>
    <t>Anglesey</t>
  </si>
  <si>
    <t>Hartland</t>
  </si>
  <si>
    <t>Batsford 17th</t>
  </si>
  <si>
    <t>Bluebells  Batsford 25th</t>
  </si>
  <si>
    <t>Chesterton/ Bluebells</t>
  </si>
  <si>
    <t>Chesterton</t>
  </si>
  <si>
    <t>Bank Holiday / Northumbria</t>
  </si>
  <si>
    <t>Batsford 14th</t>
  </si>
  <si>
    <t>French Riviera</t>
  </si>
  <si>
    <t>Half Term  Batsford 29th 31st</t>
  </si>
  <si>
    <t>Snowdonia  Batsford 5th</t>
  </si>
  <si>
    <t>Poppies- Aberdovey??  Batsford 20th</t>
  </si>
  <si>
    <t xml:space="preserve"> Burnham or Anglesey</t>
  </si>
  <si>
    <t>Delphiniums / Burnham Long Exposure</t>
  </si>
  <si>
    <t>Ruby breaks up. Jo Cornish Workshop  Batsford 9th Jul</t>
  </si>
  <si>
    <t>Garden Party  Batsford 18th Jul</t>
  </si>
  <si>
    <t>Lavender Somerset</t>
  </si>
  <si>
    <t>Where to go?</t>
  </si>
  <si>
    <t>Batsford 7th  8th Peak District 9th</t>
  </si>
  <si>
    <t>Sunflowers/Charlecote Park/Peak District  Batsford 29th</t>
  </si>
  <si>
    <t>Batsford 3rd</t>
  </si>
  <si>
    <t>Norfolk or Suffolk Batsford 26th</t>
  </si>
  <si>
    <t>Norfolk  Batsford 26th</t>
  </si>
  <si>
    <t>Northumbria  Batsford 9th</t>
  </si>
  <si>
    <t>Scotland - Glen Coe</t>
  </si>
  <si>
    <t>Glen Coe</t>
  </si>
  <si>
    <t>Fairy Glen/Phystall Rhaeder</t>
  </si>
  <si>
    <t>Brandon Marsh</t>
  </si>
  <si>
    <t>Dorset</t>
  </si>
  <si>
    <t>Suffolk</t>
  </si>
  <si>
    <t>Ruby breaks up Easter . Northumbria</t>
  </si>
  <si>
    <t>Ruby's Birthday /Bluebells/Padley Gorge</t>
  </si>
  <si>
    <t>Bank Holiday / Hartland</t>
  </si>
  <si>
    <t>Lynmouth</t>
  </si>
  <si>
    <t>Poppies</t>
  </si>
  <si>
    <t>Ruby school 29th Aug/Hartland</t>
  </si>
  <si>
    <t>Lake district</t>
  </si>
  <si>
    <t>Norfolk</t>
  </si>
  <si>
    <t>Glencoe</t>
  </si>
  <si>
    <t>Inc</t>
  </si>
  <si>
    <t>Extra</t>
  </si>
  <si>
    <t>Client PD</t>
  </si>
  <si>
    <t>Cost</t>
  </si>
  <si>
    <t>Margin</t>
  </si>
  <si>
    <t>Per Day</t>
  </si>
  <si>
    <t>Joyce</t>
  </si>
  <si>
    <t>James</t>
  </si>
  <si>
    <t xml:space="preserve">ROBERT </t>
  </si>
  <si>
    <t xml:space="preserve">GRIFFITHS </t>
  </si>
  <si>
    <t>Anne</t>
  </si>
  <si>
    <t>Watkinson</t>
  </si>
  <si>
    <t>Ian</t>
  </si>
  <si>
    <t>Harrop</t>
  </si>
  <si>
    <t xml:space="preserve">Con </t>
  </si>
  <si>
    <t>McHugh</t>
  </si>
  <si>
    <t xml:space="preserve">Paul </t>
  </si>
  <si>
    <t>Garnett</t>
  </si>
  <si>
    <t>Costs</t>
  </si>
  <si>
    <t>Dingle Hotel</t>
  </si>
  <si>
    <t>5 Rooms</t>
  </si>
  <si>
    <t>Van Hire</t>
  </si>
  <si>
    <t>3 Days</t>
  </si>
  <si>
    <t>Fuel</t>
  </si>
  <si>
    <t>4Days</t>
  </si>
  <si>
    <t>Money to Come in</t>
  </si>
  <si>
    <t>Bob</t>
  </si>
  <si>
    <t>Food</t>
  </si>
  <si>
    <t>Alan</t>
  </si>
  <si>
    <t>Extra Day</t>
  </si>
  <si>
    <t>Killarney Hotel</t>
  </si>
  <si>
    <t>1 night</t>
  </si>
  <si>
    <t>food</t>
  </si>
  <si>
    <t>one extra day</t>
  </si>
  <si>
    <t>Tuition</t>
  </si>
  <si>
    <t>fuel extra day</t>
  </si>
  <si>
    <t>divide by 5</t>
  </si>
  <si>
    <t>Total Cost</t>
  </si>
  <si>
    <t>Cost per person</t>
  </si>
  <si>
    <t>Alan Food</t>
  </si>
  <si>
    <t>Bronze</t>
  </si>
  <si>
    <t>Silver</t>
  </si>
  <si>
    <t>Gold</t>
  </si>
  <si>
    <t>Boot Camp</t>
  </si>
  <si>
    <t>Monthly</t>
  </si>
  <si>
    <t>Annual</t>
  </si>
  <si>
    <t>Membership</t>
  </si>
  <si>
    <t>Services</t>
  </si>
  <si>
    <t>Initial Discussion and Planning</t>
  </si>
  <si>
    <t>Monthly Assignment x 6</t>
  </si>
  <si>
    <t>1hr Zoom 9am -5pm x 6</t>
  </si>
  <si>
    <t>1hr Zoom Evening/Weekend x 6</t>
  </si>
  <si>
    <t>Or</t>
  </si>
  <si>
    <t>1hr 1-2-1 F2F Coventry x 6</t>
  </si>
  <si>
    <t>4 x Group Zoom - Editing</t>
  </si>
  <si>
    <t>Workshop / Classes Discount</t>
  </si>
  <si>
    <t>End of Year Review</t>
  </si>
  <si>
    <t>2025 - Year 13</t>
  </si>
  <si>
    <t>2025 v 2024</t>
  </si>
  <si>
    <t>Peak District 16 May</t>
  </si>
  <si>
    <t>2512030559</t>
  </si>
  <si>
    <t>JLR Anlsyis 2025</t>
  </si>
  <si>
    <t>Variance to 2024</t>
  </si>
  <si>
    <t>12. Other</t>
  </si>
  <si>
    <t>Bianca Pitis</t>
  </si>
  <si>
    <t>Owen Webb</t>
  </si>
  <si>
    <t>Print sales</t>
  </si>
  <si>
    <t>John Bolton</t>
  </si>
  <si>
    <t>eBook Academy</t>
  </si>
  <si>
    <t>Ashleigh Hargrave</t>
  </si>
  <si>
    <t>Woodlands Masterclass</t>
  </si>
  <si>
    <t>Eleanor Shearwood</t>
  </si>
  <si>
    <t>Kenilworth Castle</t>
  </si>
  <si>
    <t>Siddharth Patil</t>
  </si>
  <si>
    <t>Camera Courses For Beginners</t>
  </si>
  <si>
    <t>Andrei Giubalca</t>
  </si>
  <si>
    <t>Simon Underwood</t>
  </si>
  <si>
    <t>Elkana Rop</t>
  </si>
  <si>
    <t>Isabella Montoya</t>
  </si>
  <si>
    <t>Lesly Aguilera Rodriguez</t>
  </si>
  <si>
    <t>Bhushan Rajendra Bedse</t>
  </si>
  <si>
    <t>Morgan Gore</t>
  </si>
  <si>
    <t>Ram Charan R D</t>
  </si>
  <si>
    <t>Linda Nannfeldt</t>
  </si>
  <si>
    <t>Burcu Ece Ilgu</t>
  </si>
  <si>
    <t>Blessent George</t>
  </si>
  <si>
    <t>Filippo Brasacchio</t>
  </si>
  <si>
    <t>Gouranga Neog</t>
  </si>
  <si>
    <t>Ahmed Alyazji</t>
  </si>
  <si>
    <t>Ali Al Badra</t>
  </si>
  <si>
    <t>Alireza Rajabi</t>
  </si>
  <si>
    <t>Artemiy Brukhno</t>
  </si>
  <si>
    <t>Peter Scarisbrick Miller</t>
  </si>
  <si>
    <t>Tracie Brannan</t>
  </si>
  <si>
    <t>Ajay Thomas</t>
  </si>
  <si>
    <t>Matthew Struthers</t>
  </si>
  <si>
    <t>Bogdan - Ionut Hardulea</t>
  </si>
  <si>
    <t>Daniel Dinu</t>
  </si>
  <si>
    <t>Abstract and Macro Photography Workshop Warwickshire</t>
  </si>
  <si>
    <t>MACRO Photography Workshops Warwickshire - Various</t>
  </si>
  <si>
    <t>Nicholas Guntrip Hook</t>
  </si>
  <si>
    <t>Marie Rushworth</t>
  </si>
  <si>
    <t>Chloe Newman</t>
  </si>
  <si>
    <t>Digital e-Card</t>
  </si>
  <si>
    <t>carol darmon</t>
  </si>
  <si>
    <t>Deborah Hughes</t>
  </si>
  <si>
    <t>Erik Johnsen</t>
  </si>
  <si>
    <t>Peak District Photography Workshops Padley Gorge</t>
  </si>
  <si>
    <t>Kelly Mckay</t>
  </si>
  <si>
    <t>Aaron Williams</t>
  </si>
  <si>
    <t>Batsford Arboretum Autumn Half-Day Photography Workshop</t>
  </si>
  <si>
    <t>BATSFORD Arboretum Autumn Photography Workshops 23 - 31 Oct</t>
  </si>
  <si>
    <t>Junaid Sipple</t>
  </si>
  <si>
    <t>Colin Whittaker</t>
  </si>
  <si>
    <t>Tony Yeaman</t>
  </si>
  <si>
    <t>1hr 1-2-1</t>
  </si>
  <si>
    <t>Rachel Huckle</t>
  </si>
  <si>
    <t>Pete Morris</t>
  </si>
  <si>
    <t>Academy eBook</t>
  </si>
  <si>
    <t>Debra Moffat</t>
  </si>
  <si>
    <t>Hannah Baker</t>
  </si>
  <si>
    <t>Arun Ramajayam</t>
  </si>
  <si>
    <t>Bridget Connolly</t>
  </si>
  <si>
    <t>Navin Soni</t>
  </si>
  <si>
    <t>Mahendran Divakaran</t>
  </si>
  <si>
    <t>Gopalachary Raghavachary</t>
  </si>
  <si>
    <t>Ilkan Akten</t>
  </si>
  <si>
    <t>Joseph Symonds</t>
  </si>
  <si>
    <t>Jonathan Swindell</t>
  </si>
  <si>
    <t>Yuvraj Kalbhor</t>
  </si>
  <si>
    <t>Batsford Arboretum 1-Day Autumn Photography Workshop</t>
  </si>
  <si>
    <t>Piotr Rachid Chehab</t>
  </si>
  <si>
    <t>Jez Jerome</t>
  </si>
  <si>
    <t>Stuart Webber</t>
  </si>
  <si>
    <t>Ross Harrison-Keefe</t>
  </si>
  <si>
    <t>Tom Eagles</t>
  </si>
  <si>
    <t>Peter Bell</t>
  </si>
  <si>
    <t>Douglas Demori</t>
  </si>
  <si>
    <t>Lee Bishop</t>
  </si>
  <si>
    <t>Ros Freeman</t>
  </si>
  <si>
    <t>Christopher Franklin</t>
  </si>
  <si>
    <t>Supriya Shailapura Madhusudhana</t>
  </si>
  <si>
    <t>Deepak Kanakandath</t>
  </si>
  <si>
    <t>Simon Worledge</t>
  </si>
  <si>
    <t>Or Shachar</t>
  </si>
  <si>
    <t>Billie Jo Whatley</t>
  </si>
  <si>
    <t>15 Exams</t>
  </si>
  <si>
    <t>Shannan Richards</t>
  </si>
  <si>
    <t>4hrs 1-2-1</t>
  </si>
  <si>
    <t>Susan Rollason</t>
  </si>
  <si>
    <t>Beginners Camera</t>
  </si>
  <si>
    <t>5 Week Beginners Photography Course (RETIRED format)</t>
  </si>
  <si>
    <t>Clare Millington</t>
  </si>
  <si>
    <t>woodland Masterclass</t>
  </si>
  <si>
    <t>Jimmy Waymire</t>
  </si>
  <si>
    <t>Helen Cherry</t>
  </si>
  <si>
    <t>6 x 1hr Zooms</t>
  </si>
  <si>
    <t>Anant Bhatia</t>
  </si>
  <si>
    <t>The Secrets of Woodland Photography - 1-Day Masterclass</t>
  </si>
  <si>
    <t>Paul Ebosele</t>
  </si>
  <si>
    <t>Photo Editing Classes - Lightroom Classic</t>
  </si>
  <si>
    <t>Joel Wymer</t>
  </si>
  <si>
    <t>Sriram Yarlagadda</t>
  </si>
  <si>
    <t>Christopher Murray</t>
  </si>
  <si>
    <t>Shishir Kutumbe</t>
  </si>
  <si>
    <t>Britt Van Zeeland</t>
  </si>
  <si>
    <t>KrishnaKumar Kuttan</t>
  </si>
  <si>
    <t>Naveen Lakshmanan</t>
  </si>
  <si>
    <t>Sunset Photographic Workshop - Chesterton Windmill</t>
  </si>
  <si>
    <t>Matthew Davies</t>
  </si>
  <si>
    <t>Scott Bremner</t>
  </si>
  <si>
    <t>Photography Mentoring for Qualification</t>
  </si>
  <si>
    <t>RPS Mentoring Course (historical)</t>
  </si>
  <si>
    <t>https://www.alanranger.com/rps-courses-mentoring-distinctions</t>
  </si>
  <si>
    <t>Gregory Moys</t>
  </si>
  <si>
    <t>Evening Urban Architecture Photography Workshop</t>
  </si>
  <si>
    <t>Charlie Gladden</t>
  </si>
  <si>
    <t>Ileana Sandoiu</t>
  </si>
  <si>
    <t>Ana Alexa</t>
  </si>
  <si>
    <t>Ergin Tasdelen</t>
  </si>
  <si>
    <t>Naushad Ali Solanki</t>
  </si>
  <si>
    <t>Murali Mohan Suryanarayana</t>
  </si>
  <si>
    <t>Craig Gedrim</t>
  </si>
  <si>
    <t>Billie Whyte</t>
  </si>
  <si>
    <t>Matthew Partridge</t>
  </si>
  <si>
    <t>Gregory Ford</t>
  </si>
  <si>
    <t>Kim Pratt</t>
  </si>
  <si>
    <t>Macro</t>
  </si>
  <si>
    <t>Simon Whitehouse</t>
  </si>
  <si>
    <t>Lavender</t>
  </si>
  <si>
    <t>Kenneth Burton</t>
  </si>
  <si>
    <t>Ebook</t>
  </si>
  <si>
    <t>Amy Strong</t>
  </si>
  <si>
    <t>35 PDF Bundle</t>
  </si>
  <si>
    <t>Bethan Davies</t>
  </si>
  <si>
    <t>Laura Anne Simpson</t>
  </si>
  <si>
    <t xml:space="preserve">Margot Deruyck </t>
  </si>
  <si>
    <t>Aloma Thurling</t>
  </si>
  <si>
    <t>Sara Mueller</t>
  </si>
  <si>
    <t>Lisa Davison</t>
  </si>
  <si>
    <t>Bradley Floden</t>
  </si>
  <si>
    <t>Andrea Moll</t>
  </si>
  <si>
    <t>Katrina Galbraith</t>
  </si>
  <si>
    <t>megan clay</t>
  </si>
  <si>
    <t>Nichola Wallis</t>
  </si>
  <si>
    <t>Woodland masterclass</t>
  </si>
  <si>
    <t>Lindsay Best</t>
  </si>
  <si>
    <t>Salome Snook</t>
  </si>
  <si>
    <t>Mark Denning</t>
  </si>
  <si>
    <t>Mrs Patricia Pearl</t>
  </si>
  <si>
    <t>Caroline Durk</t>
  </si>
  <si>
    <t>Batsford 29 oct</t>
  </si>
  <si>
    <t>Neil Worgan</t>
  </si>
  <si>
    <t>Batsford 24 Oct</t>
  </si>
  <si>
    <t>Tim Chance</t>
  </si>
  <si>
    <t>John Evans</t>
  </si>
  <si>
    <t>Camera Course Nov</t>
  </si>
  <si>
    <t>Graham Rousell</t>
  </si>
  <si>
    <t>sensore clean</t>
  </si>
  <si>
    <t>Sensor Clean Service (historical)</t>
  </si>
  <si>
    <t>https://www.alanranger.com/photography-shop-services</t>
  </si>
  <si>
    <t>Shelly Waddell</t>
  </si>
  <si>
    <t>Thomas Startin</t>
  </si>
  <si>
    <t>Long Exposure Photography Workshop - Sunset - Kenilworth</t>
  </si>
  <si>
    <t>Roxana Mutu</t>
  </si>
  <si>
    <t>Claire Brooks</t>
  </si>
  <si>
    <t>Anne Watkinson</t>
  </si>
  <si>
    <t>Ali Bond</t>
  </si>
  <si>
    <t>Digital Gift Card</t>
  </si>
  <si>
    <t>Norman Gabrielse</t>
  </si>
  <si>
    <t>Melanie Lindsay</t>
  </si>
  <si>
    <t>Neil Morley</t>
  </si>
  <si>
    <t>Peak District Photography Workshops - Heathers</t>
  </si>
  <si>
    <t>PEAK DISTRICT HEATHER Photography Workshops - 15-16 Aug</t>
  </si>
  <si>
    <t>Joanne Tapp</t>
  </si>
  <si>
    <t>sandra bulger</t>
  </si>
  <si>
    <t>Annual PnM</t>
  </si>
  <si>
    <t>David Gallagher</t>
  </si>
  <si>
    <t>Urban Workshop</t>
  </si>
  <si>
    <t>James Bevan</t>
  </si>
  <si>
    <t>Patricia Pearl</t>
  </si>
  <si>
    <t>RPS</t>
  </si>
  <si>
    <t>Clifford Yeomans</t>
  </si>
  <si>
    <t>Academy Exams</t>
  </si>
  <si>
    <t>Melissa Patsches</t>
  </si>
  <si>
    <t>David Silva</t>
  </si>
  <si>
    <t>Ross Schoolar</t>
  </si>
  <si>
    <t>Sensor Clean</t>
  </si>
  <si>
    <t>Jessica Irby</t>
  </si>
  <si>
    <t>Carolyn Tatman</t>
  </si>
  <si>
    <t>John Kitteringham</t>
  </si>
  <si>
    <t>Extra night B&amp;B</t>
  </si>
  <si>
    <t>Residential Workshop - Add-on (Extra Night/B&amp;B)</t>
  </si>
  <si>
    <t>Gillian Perry</t>
  </si>
  <si>
    <t>Amber Corbett</t>
  </si>
  <si>
    <t>Laura Wood</t>
  </si>
  <si>
    <t>Lavender Photography Workshop Gloucestershire at Sunset</t>
  </si>
  <si>
    <t>Emily Goodwin</t>
  </si>
  <si>
    <t>Miles Pixley</t>
  </si>
  <si>
    <t>Brian Edmonds</t>
  </si>
  <si>
    <t>Andrew Nelson</t>
  </si>
  <si>
    <t>Gregory Morgan</t>
  </si>
  <si>
    <t>Sophie Deeley</t>
  </si>
  <si>
    <t>Andrew Haslam</t>
  </si>
  <si>
    <t>Melanie Valentine</t>
  </si>
  <si>
    <t>Derek Butt</t>
  </si>
  <si>
    <t>Guillaume Lesoin</t>
  </si>
  <si>
    <t>4 x 2hrs</t>
  </si>
  <si>
    <t>1-2-1 Package - 4 x 2hr Face-to-Face (the GBP360 4-for-3)</t>
  </si>
  <si>
    <t>Nidhi Kumar</t>
  </si>
  <si>
    <t>Selwyn Selikowitz</t>
  </si>
  <si>
    <t>Academby Book</t>
  </si>
  <si>
    <t>Santha Stynes</t>
  </si>
  <si>
    <t>Academby Book +PDFs</t>
  </si>
  <si>
    <t>Connie Miller</t>
  </si>
  <si>
    <t>Hartland Double Occ</t>
  </si>
  <si>
    <t>George King</t>
  </si>
  <si>
    <t>LE Kenilworth</t>
  </si>
  <si>
    <t>Jeremy Troth</t>
  </si>
  <si>
    <t>Hay Woods</t>
  </si>
  <si>
    <t>Paul Carey</t>
  </si>
  <si>
    <t>Phil Page</t>
  </si>
  <si>
    <t>Long Exposure Photography Workshop - Burnham on Sea Sunset</t>
  </si>
  <si>
    <t>Claire McClaughry</t>
  </si>
  <si>
    <t>Lisa Shaw</t>
  </si>
  <si>
    <t>Artwork Photography</t>
  </si>
  <si>
    <t>Bernadette Hart</t>
  </si>
  <si>
    <t>Peak District Oct</t>
  </si>
  <si>
    <t>Rob Sample</t>
  </si>
  <si>
    <t>e-Book</t>
  </si>
  <si>
    <t>Sunil Prasad</t>
  </si>
  <si>
    <t>Shashank Herle</t>
  </si>
  <si>
    <t>Pradeep Gadag</t>
  </si>
  <si>
    <t>Anna Higginson</t>
  </si>
  <si>
    <t>Gwyn Jones</t>
  </si>
  <si>
    <t>Garden Photography Workshop - Private Garden - Coventry</t>
  </si>
  <si>
    <t>Edward Andrews</t>
  </si>
  <si>
    <t>Volkan Ayik</t>
  </si>
  <si>
    <t>William Mustoe</t>
  </si>
  <si>
    <t>Dianne Morgan</t>
  </si>
  <si>
    <t>Peter Wilson - Atmos</t>
  </si>
  <si>
    <t xml:space="preserve">John Simpson </t>
  </si>
  <si>
    <t>Fiona Carter</t>
  </si>
  <si>
    <t>Heathers</t>
  </si>
  <si>
    <t>C C Katsande</t>
  </si>
  <si>
    <t>Rob Smith</t>
  </si>
  <si>
    <t>John Simpson</t>
  </si>
  <si>
    <t>Simon Mills</t>
  </si>
  <si>
    <t>Olasanmi Olaniyan</t>
  </si>
  <si>
    <t>Nuha Alam</t>
  </si>
  <si>
    <t>Emily Coleman</t>
  </si>
  <si>
    <t>Photography Lessons - Private 1-2-1 (2hr)</t>
  </si>
  <si>
    <t>mike murphy</t>
  </si>
  <si>
    <t>Paul Johnson</t>
  </si>
  <si>
    <t>Photography Lessons - Private 1-2-1 (1HR)</t>
  </si>
  <si>
    <t>Vamsi MITTAKANDALA</t>
  </si>
  <si>
    <t>Michael Rowley</t>
  </si>
  <si>
    <t>Kimberley Sneyd</t>
  </si>
  <si>
    <t>William Peet</t>
  </si>
  <si>
    <t>Casey Clarke</t>
  </si>
  <si>
    <t>Aoife Doyle</t>
  </si>
  <si>
    <t>Aparna Balasubramanian</t>
  </si>
  <si>
    <t>Mark Schofield</t>
  </si>
  <si>
    <t>Rowan Floyd</t>
  </si>
  <si>
    <t>Pratik Vaishnao</t>
  </si>
  <si>
    <t>Roger Calvet</t>
  </si>
  <si>
    <t>Steven Martin</t>
  </si>
  <si>
    <t>Sezincote Garden Photography - Mughal palace in Cotswolds</t>
  </si>
  <si>
    <t>SEZINCOTE Garden Photography Workshop - Gloucs 29 May</t>
  </si>
  <si>
    <t>Ian Johnson</t>
  </si>
  <si>
    <t>Chang-Jing Kong</t>
  </si>
  <si>
    <t>Jason Holdsworth</t>
  </si>
  <si>
    <t>Satyam Narine</t>
  </si>
  <si>
    <t>Fatih Sagdic</t>
  </si>
  <si>
    <t>Erick Hernandez Baca</t>
  </si>
  <si>
    <t>Ioannis Zaproudis</t>
  </si>
  <si>
    <t>Ian Burns</t>
  </si>
  <si>
    <t>Ana Arce</t>
  </si>
  <si>
    <t>Goutham Lingannaiah</t>
  </si>
  <si>
    <t>Cheryl Laverick</t>
  </si>
  <si>
    <t>Tobias Rochester-Bremmer</t>
  </si>
  <si>
    <t>DineshKumar Nawal</t>
  </si>
  <si>
    <t>Mattia Tosi</t>
  </si>
  <si>
    <t>Lee Tasker</t>
  </si>
  <si>
    <t>Richard Hoar</t>
  </si>
  <si>
    <t>Jacinto Carrasco-Munoz Guerra</t>
  </si>
  <si>
    <t>Swapnil Khante</t>
  </si>
  <si>
    <t>Kevin O'Brien</t>
  </si>
  <si>
    <t>Yumna Iqbal</t>
  </si>
  <si>
    <t>3wk Camera Course</t>
  </si>
  <si>
    <t>Nicola Sawle</t>
  </si>
  <si>
    <t>1-2-1 s</t>
  </si>
  <si>
    <t>Nigel Proctor</t>
  </si>
  <si>
    <t>Zoom 1hr</t>
  </si>
  <si>
    <t>Bassam Aljazi</t>
  </si>
  <si>
    <t>natalya chacon</t>
  </si>
  <si>
    <t>Donation</t>
  </si>
  <si>
    <t>Samantha Arnold</t>
  </si>
  <si>
    <t>1-2-1 lesson</t>
  </si>
  <si>
    <t>Michael Simm</t>
  </si>
  <si>
    <t>E-book online course</t>
  </si>
  <si>
    <t>Trina Hribal</t>
  </si>
  <si>
    <t>Johnson Soundarapandian</t>
  </si>
  <si>
    <t>Charlotte Brooks</t>
  </si>
  <si>
    <t>Raamakrishnan Narayanan Sankaranarayanan</t>
  </si>
  <si>
    <t>Asia Begum</t>
  </si>
  <si>
    <t>Kerrie Porter</t>
  </si>
  <si>
    <t>Print royalties</t>
  </si>
  <si>
    <t>Peter Mangan</t>
  </si>
  <si>
    <t>Product Shoot</t>
  </si>
  <si>
    <t>Jennie Me Gavin</t>
  </si>
  <si>
    <t>Lode Heath School</t>
  </si>
  <si>
    <t>4hrs for 2 People</t>
  </si>
  <si>
    <t>LAKE DISTRICT Photography Workshops - Jan - Mar - Sep - Nov</t>
  </si>
  <si>
    <t>4 x 1 hr zooms</t>
  </si>
  <si>
    <t>Paul Lewis</t>
  </si>
  <si>
    <t>James Lawrence</t>
  </si>
  <si>
    <t>Anil Kumar Siddesh</t>
  </si>
  <si>
    <t>Shankar Ganesan</t>
  </si>
  <si>
    <t>Grace Black</t>
  </si>
  <si>
    <t>Fairy Glen Betws-y-Coed Photography Workshop -  Wales</t>
  </si>
  <si>
    <t>Jonathan Peggs</t>
  </si>
  <si>
    <t>Dianne Nicholls</t>
  </si>
  <si>
    <t>Anna Hutchcox</t>
  </si>
  <si>
    <t>Mohamad Chaaban</t>
  </si>
  <si>
    <t>Lee Kelly</t>
  </si>
  <si>
    <t>Aniko Kovacs</t>
  </si>
  <si>
    <t>Pravin Pawar</t>
  </si>
  <si>
    <t>Tuba Sonmez</t>
  </si>
  <si>
    <t>Rajiv Mohan</t>
  </si>
  <si>
    <t>Raluca-Georgiana Cristea</t>
  </si>
  <si>
    <t>Holly Pownall</t>
  </si>
  <si>
    <t>Paul Farrington</t>
  </si>
  <si>
    <t>Elena Kuznetsova</t>
  </si>
  <si>
    <t>constance Miller</t>
  </si>
  <si>
    <t>Kim Harvey</t>
  </si>
  <si>
    <t>Dinesh Kumar Selvarangan</t>
  </si>
  <si>
    <t>Suraiya Kaliravna</t>
  </si>
  <si>
    <t>Burak Oguz</t>
  </si>
  <si>
    <t>Murat Yavanirmak</t>
  </si>
  <si>
    <t>Shruti Nagpure</t>
  </si>
  <si>
    <t>Jevgenijs Kitajevs</t>
  </si>
  <si>
    <t>Soon Seng Leong</t>
  </si>
  <si>
    <t>Phil Houghton</t>
  </si>
  <si>
    <t>Stuart Hurcomb</t>
  </si>
  <si>
    <t>Jim Coleman</t>
  </si>
  <si>
    <t>Jo James</t>
  </si>
  <si>
    <t>Kriti Rastogi</t>
  </si>
  <si>
    <t>Mihaela Stroe</t>
  </si>
  <si>
    <t>Angela Lapworth</t>
  </si>
  <si>
    <t>Jane Mellor</t>
  </si>
  <si>
    <t>Jill Cockerton</t>
  </si>
  <si>
    <t>Callum Windle</t>
  </si>
  <si>
    <t>Andrew Morris</t>
  </si>
  <si>
    <t>Yogesh Rajanandam</t>
  </si>
  <si>
    <t>Ewan Atkinson</t>
  </si>
  <si>
    <t>John Shilladay</t>
  </si>
  <si>
    <t>Mentoring</t>
  </si>
  <si>
    <t>Chloe Taylor</t>
  </si>
  <si>
    <t>Chan Jandu</t>
  </si>
  <si>
    <t>Anthony Hartwell</t>
  </si>
  <si>
    <t>Gerry Daykin</t>
  </si>
  <si>
    <t>Paul Galbraith</t>
  </si>
  <si>
    <t>Andrew Wright</t>
  </si>
  <si>
    <t>Andrew Lockwood</t>
  </si>
  <si>
    <t>Rajkumar Nagappan Pillai</t>
  </si>
  <si>
    <t>Nandeep Bhambra</t>
  </si>
  <si>
    <t>Premananth Subramanian</t>
  </si>
  <si>
    <t>David Pyta</t>
  </si>
  <si>
    <t>2 x Chesterton</t>
  </si>
  <si>
    <t>Michael Auinger</t>
  </si>
  <si>
    <t>Portrait Shoot</t>
  </si>
  <si>
    <t>Amy Koh</t>
  </si>
  <si>
    <t>Air BnB Shoot</t>
  </si>
  <si>
    <t>Jarvis Simpson</t>
  </si>
  <si>
    <t>1-2-1</t>
  </si>
  <si>
    <t>Arun Ambrose</t>
  </si>
  <si>
    <t>Keith Phillips</t>
  </si>
  <si>
    <t>Catherine Harris</t>
  </si>
  <si>
    <t>Sean Langford</t>
  </si>
  <si>
    <t>Chi Faat Kong</t>
  </si>
  <si>
    <t>Emma Collins</t>
  </si>
  <si>
    <t>BALA POLINENI</t>
  </si>
  <si>
    <t>Victor Alagbe</t>
  </si>
  <si>
    <t>Francesco De Bellis</t>
  </si>
  <si>
    <t>Richard Parr</t>
  </si>
  <si>
    <t>Victoria Frankland</t>
  </si>
  <si>
    <t>James Spraggett</t>
  </si>
  <si>
    <t>Christopher Dunn</t>
  </si>
  <si>
    <t>Batsford &amp; Chesterton</t>
  </si>
  <si>
    <t>Nicoleta Dinu</t>
  </si>
  <si>
    <t>Mentoring RPS</t>
  </si>
  <si>
    <t>Mya Sharda</t>
  </si>
  <si>
    <t>Jayne Moye</t>
  </si>
  <si>
    <t>Andrew Brady</t>
  </si>
  <si>
    <t>Shilpa Dhanapal</t>
  </si>
  <si>
    <t>Bob Prew</t>
  </si>
  <si>
    <t>Urban Coventry</t>
  </si>
  <si>
    <t>Siddharth Manickavasagam</t>
  </si>
  <si>
    <t>Alec Finnemore</t>
  </si>
  <si>
    <t>Colin Stubbs</t>
  </si>
  <si>
    <t>Janet Boulter</t>
  </si>
  <si>
    <t>Jonathan Ellis</t>
  </si>
  <si>
    <t>E-Book</t>
  </si>
  <si>
    <t>Andrew Clarke</t>
  </si>
  <si>
    <t>Samuel Carter</t>
  </si>
  <si>
    <t>Pat Gowdie</t>
  </si>
  <si>
    <t>Chelsea Anderson</t>
  </si>
  <si>
    <t>Richard Hill</t>
  </si>
  <si>
    <t>David Rochester</t>
  </si>
  <si>
    <t>1hr</t>
  </si>
  <si>
    <t>sarah owen</t>
  </si>
  <si>
    <t>BARBARA BETT</t>
  </si>
  <si>
    <t>Warwickshire</t>
  </si>
  <si>
    <t>Gillian Taylor</t>
  </si>
  <si>
    <t>Padley</t>
  </si>
  <si>
    <t>Dawn Towers</t>
  </si>
  <si>
    <t>peter rubin</t>
  </si>
  <si>
    <t>Elizabeth Lewis</t>
  </si>
  <si>
    <t>Ruth Roach</t>
  </si>
  <si>
    <t>Neil Evans</t>
  </si>
  <si>
    <t>neil barford</t>
  </si>
  <si>
    <t>Iggy Losa</t>
  </si>
  <si>
    <t>Mark Pemberton</t>
  </si>
  <si>
    <t>Rebecca Bradley</t>
  </si>
  <si>
    <t>Jennifer Cole</t>
  </si>
  <si>
    <t>Tool Connection</t>
  </si>
  <si>
    <t>Consultancy</t>
  </si>
  <si>
    <t>Grace Oliver</t>
  </si>
  <si>
    <t>4 x 2hr 1-2-1 F2F</t>
  </si>
  <si>
    <t>John Madigan</t>
  </si>
  <si>
    <t>Urban Arch</t>
  </si>
  <si>
    <t>Judging</t>
  </si>
  <si>
    <t>Shelly Soo</t>
  </si>
  <si>
    <t>Northumbria</t>
  </si>
  <si>
    <t>NORTHUMBERLAND Photography Workshops - Mar 18 - 21</t>
  </si>
  <si>
    <t>6 x 1hr sessions</t>
  </si>
  <si>
    <t>Carol Barthorpe</t>
  </si>
  <si>
    <t>E-Book Foundation</t>
  </si>
  <si>
    <t>Lauren Grainger</t>
  </si>
  <si>
    <t>LeeAnn Higgins</t>
  </si>
  <si>
    <t>Gwynedd Jones</t>
  </si>
  <si>
    <t>Sezincote</t>
  </si>
  <si>
    <t>Kirsten Pearce</t>
  </si>
  <si>
    <t>Northumberland</t>
  </si>
  <si>
    <t>Peter Johnson</t>
  </si>
  <si>
    <t>RPS Ext Course</t>
  </si>
  <si>
    <t>lee crossan</t>
  </si>
  <si>
    <t>Martin Cooke</t>
  </si>
  <si>
    <t>Elizabeth Edwards</t>
  </si>
  <si>
    <t>Garden Photography</t>
  </si>
  <si>
    <t>Dana Berry</t>
  </si>
  <si>
    <t xml:space="preserve">Zoom Package 8 x 1hr </t>
  </si>
  <si>
    <t>Neil Barford</t>
  </si>
  <si>
    <t>Extra Night B&amp;B</t>
  </si>
  <si>
    <t>2hrs F-2-F</t>
  </si>
  <si>
    <t>Jay Pattni</t>
  </si>
  <si>
    <t>4 x 2hr sessions</t>
  </si>
  <si>
    <t>Richard OConnor</t>
  </si>
  <si>
    <t>5wk Beginners Course</t>
  </si>
  <si>
    <t>Print Sales</t>
  </si>
  <si>
    <t>Outdoor Photography</t>
  </si>
  <si>
    <t>On Location</t>
  </si>
  <si>
    <t>Ian Hunt</t>
  </si>
  <si>
    <t>Timothy Reeve</t>
  </si>
  <si>
    <t>Pick N Mix</t>
  </si>
  <si>
    <t>Kirsten</t>
  </si>
  <si>
    <t>2024 - Year 12</t>
  </si>
  <si>
    <t>Shortfall</t>
  </si>
  <si>
    <t>Forecast old</t>
  </si>
  <si>
    <t>2024 v 2023</t>
  </si>
  <si>
    <t xml:space="preserve"> </t>
  </si>
  <si>
    <t>Forecast</t>
  </si>
  <si>
    <t>Avg</t>
  </si>
  <si>
    <t>Birkdale/Screwfix</t>
  </si>
  <si>
    <t>JLR Anlsyis 2024</t>
  </si>
  <si>
    <t>Variance to 2023</t>
  </si>
  <si>
    <t>Quentin Melhuish</t>
  </si>
  <si>
    <t>Matthew Minton</t>
  </si>
  <si>
    <t>Marilyn Milestone</t>
  </si>
  <si>
    <t>Michael Jaye</t>
  </si>
  <si>
    <t>Andrew Shelton</t>
  </si>
  <si>
    <t>PhotoCrwod</t>
  </si>
  <si>
    <t>Caroline Jenner</t>
  </si>
  <si>
    <t>J S Smith</t>
  </si>
  <si>
    <t>Arpit Arora</t>
  </si>
  <si>
    <t>Corporate Training</t>
  </si>
  <si>
    <t>Anne Ovens</t>
  </si>
  <si>
    <t>3hr Location 1-2-1</t>
  </si>
  <si>
    <t>Asha Jutti</t>
  </si>
  <si>
    <t>Zoom 1-2-1s</t>
  </si>
  <si>
    <t>Chris Dunn</t>
  </si>
  <si>
    <t>RPS Course</t>
  </si>
  <si>
    <t>Julie MacDonald</t>
  </si>
  <si>
    <t>2hr Zoom 1-2-1</t>
  </si>
  <si>
    <t>Susan Dickman</t>
  </si>
  <si>
    <t>4 x 2hr 1-2-1s</t>
  </si>
  <si>
    <t>John Gilmour</t>
  </si>
  <si>
    <t>Alison Morris</t>
  </si>
  <si>
    <t>Autumn Creative</t>
  </si>
  <si>
    <t>Liz Martin</t>
  </si>
  <si>
    <t>1-2-1 F2F</t>
  </si>
  <si>
    <t xml:space="preserve">Arpit Arora </t>
  </si>
  <si>
    <t>Travel Costs</t>
  </si>
  <si>
    <t>Ewa Nowak</t>
  </si>
  <si>
    <t>5wk Beginners</t>
  </si>
  <si>
    <t>Robert Blan</t>
  </si>
  <si>
    <t>Daniel Huntley</t>
  </si>
  <si>
    <t xml:space="preserve">Artfully Walls </t>
  </si>
  <si>
    <t>Norfolk-Suffolk</t>
  </si>
  <si>
    <t>4 x 1hr 1-2-1s</t>
  </si>
  <si>
    <t>Pick n Mix Subs</t>
  </si>
  <si>
    <t>Pick N Mix Payments</t>
  </si>
  <si>
    <t>Sarah Davis</t>
  </si>
  <si>
    <t>Neil Drinkwater</t>
  </si>
  <si>
    <t>Stephen Cantlay</t>
  </si>
  <si>
    <t>Kase</t>
  </si>
  <si>
    <t>Kase Affiliates</t>
  </si>
  <si>
    <t>Lorna Saunders</t>
  </si>
  <si>
    <t>Woodland Walks</t>
  </si>
  <si>
    <t>Julie Halstead</t>
  </si>
  <si>
    <t>Blubells</t>
  </si>
  <si>
    <t>jonathan ellis</t>
  </si>
  <si>
    <t>Mark Hesford</t>
  </si>
  <si>
    <t>JULIE PRICE</t>
  </si>
  <si>
    <t>Natalie Bacci-Evers</t>
  </si>
  <si>
    <t>2hrs 1-2-1</t>
  </si>
  <si>
    <t>Paul Fuller</t>
  </si>
  <si>
    <t>Martin King-Turner</t>
  </si>
  <si>
    <t>Birkdale</t>
  </si>
  <si>
    <t>Screfix Job</t>
  </si>
  <si>
    <t>Tom McClure</t>
  </si>
  <si>
    <t>Nikoleta Jorgo</t>
  </si>
  <si>
    <t>4 x2hr 1-2-1s</t>
  </si>
  <si>
    <t>Emily Hassan</t>
  </si>
  <si>
    <t>Abstract</t>
  </si>
  <si>
    <t>Jacqueline Walsh</t>
  </si>
  <si>
    <t>4 x 2hr 121s</t>
  </si>
  <si>
    <t>Laura Thomas</t>
  </si>
  <si>
    <t>Christine Booth</t>
  </si>
  <si>
    <t>Stratford</t>
  </si>
  <si>
    <t>Non-Residential Workshop - Generic (historical)</t>
  </si>
  <si>
    <t>Tim Bawn</t>
  </si>
  <si>
    <t>Keir Tyson</t>
  </si>
  <si>
    <t>Jin Zhang</t>
  </si>
  <si>
    <t>Extra Night</t>
  </si>
  <si>
    <t>Karen Rumsey</t>
  </si>
  <si>
    <t>4 1hr Zooms</t>
  </si>
  <si>
    <t>Macro Workshop</t>
  </si>
  <si>
    <t>Sabina Badiani</t>
  </si>
  <si>
    <t>Peak District May 2025</t>
  </si>
  <si>
    <t>Alison Gilbert</t>
  </si>
  <si>
    <t>Cameron Holden</t>
  </si>
  <si>
    <t>Ashleigh Bull</t>
  </si>
  <si>
    <t>Kirsty Lilley</t>
  </si>
  <si>
    <t>Tripod</t>
  </si>
  <si>
    <t>Louise Rickitt</t>
  </si>
  <si>
    <t>1-2-1 Zoom</t>
  </si>
  <si>
    <t>Harish Patel</t>
  </si>
  <si>
    <t>Secrets of Woodlands</t>
  </si>
  <si>
    <t>Graham Ibbetson</t>
  </si>
  <si>
    <t>Norfolk extra night</t>
  </si>
  <si>
    <t>Catherine Carlisle</t>
  </si>
  <si>
    <t>Sarah Meharg</t>
  </si>
  <si>
    <t>Alison Woolley</t>
  </si>
  <si>
    <t xml:space="preserve">Chris    </t>
  </si>
  <si>
    <t>Judging Fees</t>
  </si>
  <si>
    <t>4x2hr 121s</t>
  </si>
  <si>
    <t>Annual Mentoring</t>
  </si>
  <si>
    <t>chris oliver</t>
  </si>
  <si>
    <t>Ian Douglas</t>
  </si>
  <si>
    <t>Jason Fletcher</t>
  </si>
  <si>
    <t>adrian thomas</t>
  </si>
  <si>
    <t>Paul Schoenfeld</t>
  </si>
  <si>
    <t>Peter Neil Mangan</t>
  </si>
  <si>
    <t>TBA</t>
  </si>
  <si>
    <t>John Whitehouse</t>
  </si>
  <si>
    <t>Andrew Duke</t>
  </si>
  <si>
    <t>Wesley Fraser</t>
  </si>
  <si>
    <t>Julia Brealey</t>
  </si>
  <si>
    <t>2hr F2F</t>
  </si>
  <si>
    <t>1hr F2F</t>
  </si>
  <si>
    <t>Ola Jovall</t>
  </si>
  <si>
    <t>Jack Rollins</t>
  </si>
  <si>
    <t>2hr F2F 121</t>
  </si>
  <si>
    <t>Royalty</t>
  </si>
  <si>
    <t>Mandy Watts</t>
  </si>
  <si>
    <t>Natalie Green</t>
  </si>
  <si>
    <t>Sam Cooke</t>
  </si>
  <si>
    <t>Emma Reynolds</t>
  </si>
  <si>
    <t>Alex Frost</t>
  </si>
  <si>
    <t>Sonal Patel</t>
  </si>
  <si>
    <t>Judy Knights</t>
  </si>
  <si>
    <t>Kate Irwin</t>
  </si>
  <si>
    <t>Mark Bennett</t>
  </si>
  <si>
    <t>4 x 2hr 1-2-1</t>
  </si>
  <si>
    <t>Adam Hudson</t>
  </si>
  <si>
    <t>fiaz bi</t>
  </si>
  <si>
    <t>Landscape Photography Workshop NORFOLK - Coastal 20 - 22 Nov</t>
  </si>
  <si>
    <t>Carolyn Haslam</t>
  </si>
  <si>
    <t>2 x Sezincote</t>
  </si>
  <si>
    <t>Claire Anderson</t>
  </si>
  <si>
    <t>4x2hr 1-2-1s</t>
  </si>
  <si>
    <t>4 x 1hr 1-2-1</t>
  </si>
  <si>
    <t>2hrs F2F 1-2-1</t>
  </si>
  <si>
    <t>Gower</t>
  </si>
  <si>
    <t>GOWER Landscape Photography Wales - 28 Aug - 30 Aug 2026</t>
  </si>
  <si>
    <t>Kiran Simplay</t>
  </si>
  <si>
    <t>Luke Spencer</t>
  </si>
  <si>
    <t>Elizabeth Baker</t>
  </si>
  <si>
    <t>Climbing Trees</t>
  </si>
  <si>
    <t>1hrs 1-2-1</t>
  </si>
  <si>
    <t>Steve Gibbons</t>
  </si>
  <si>
    <t>Ann Barker</t>
  </si>
  <si>
    <t>Beginners Course</t>
  </si>
  <si>
    <t>johanna stansfield</t>
  </si>
  <si>
    <t>oliver walker</t>
  </si>
  <si>
    <t>Abigail Haley</t>
  </si>
  <si>
    <t>2 Places Macro</t>
  </si>
  <si>
    <t>Narinder Sandhu</t>
  </si>
  <si>
    <t>John Duncombe</t>
  </si>
  <si>
    <t>Janice Jordan</t>
  </si>
  <si>
    <t>Lee Ann Higgins</t>
  </si>
  <si>
    <t>Phillipa King</t>
  </si>
  <si>
    <t>Dave Pyta</t>
  </si>
  <si>
    <t>Steve Paling</t>
  </si>
  <si>
    <t>Ian Hope</t>
  </si>
  <si>
    <t>Kurt Mueller</t>
  </si>
  <si>
    <t>Stephen Fitchett</t>
  </si>
  <si>
    <t>Cathy Kibble</t>
  </si>
  <si>
    <t xml:space="preserve">Annie Mitchell </t>
  </si>
  <si>
    <t>Adrian Hickinbottom</t>
  </si>
  <si>
    <t>Royalties</t>
  </si>
  <si>
    <t>Jimmy Concannon</t>
  </si>
  <si>
    <t>Linda Newbery</t>
  </si>
  <si>
    <t>Lake Distrct</t>
  </si>
  <si>
    <t>Christmas Walk</t>
  </si>
  <si>
    <t>Christmas Photography Seasonal Workshops | Warwickshire</t>
  </si>
  <si>
    <t>Stephen Frost</t>
  </si>
  <si>
    <t>1hr F2F 1-2-1</t>
  </si>
  <si>
    <t>Huw Jones</t>
  </si>
  <si>
    <t>Michael Charlton</t>
  </si>
  <si>
    <t>Bhupinder Bansal</t>
  </si>
  <si>
    <t>4 x 2hr 1-2-1 Lessons</t>
  </si>
  <si>
    <t>Danielle Warwick</t>
  </si>
  <si>
    <t>mark godfrey</t>
  </si>
  <si>
    <t>Kenilworth LE</t>
  </si>
  <si>
    <t>Jane Robb</t>
  </si>
  <si>
    <t>Karl Graves</t>
  </si>
  <si>
    <t>Sanjay Kumar</t>
  </si>
  <si>
    <t>Keith Newton</t>
  </si>
  <si>
    <t>Architecture</t>
  </si>
  <si>
    <t>Carolyne Roe</t>
  </si>
  <si>
    <t>Balance for Peak District</t>
  </si>
  <si>
    <t>Pyers Tucker</t>
  </si>
  <si>
    <t>Martyn Alberry</t>
  </si>
  <si>
    <t>Ian Slater</t>
  </si>
  <si>
    <t>Andrada Cirlan</t>
  </si>
  <si>
    <t>Louise Manning</t>
  </si>
  <si>
    <t xml:space="preserve">Damien McCloud </t>
  </si>
  <si>
    <t>DORSET Landscape Photography Workshop Purbeck 25 - 27 Sep</t>
  </si>
  <si>
    <t>Emoke Ispan</t>
  </si>
  <si>
    <t>Burnham</t>
  </si>
  <si>
    <t>Urban</t>
  </si>
  <si>
    <t>Alison Whitehead</t>
  </si>
  <si>
    <t>2hr 1-2-1</t>
  </si>
  <si>
    <t>Helen Brattan</t>
  </si>
  <si>
    <t>Angelika Schneider</t>
  </si>
  <si>
    <t>Cards</t>
  </si>
  <si>
    <t>Steven Butler</t>
  </si>
  <si>
    <t>Get Off Auto</t>
  </si>
  <si>
    <t>Get Off Auto Beginners Class (RETIRED)</t>
  </si>
  <si>
    <t>Edward Berrill</t>
  </si>
  <si>
    <t>James Evans</t>
  </si>
  <si>
    <t>Susan Wallis</t>
  </si>
  <si>
    <t>Jaquell Walker</t>
  </si>
  <si>
    <t>David Orchard</t>
  </si>
  <si>
    <t>Jane Harris</t>
  </si>
  <si>
    <t>caroline howell</t>
  </si>
  <si>
    <t xml:space="preserve">Sensor Clean </t>
  </si>
  <si>
    <t>Lois Falla</t>
  </si>
  <si>
    <t>Kelly Richardson</t>
  </si>
  <si>
    <t>Cold Caller</t>
  </si>
  <si>
    <t>Sensor Clean x 3</t>
  </si>
  <si>
    <t>Raisa Zulfiqar</t>
  </si>
  <si>
    <t>Elizabeth Louer</t>
  </si>
  <si>
    <t>Elizabeth Wiedenheft</t>
  </si>
  <si>
    <t>Ian Pocock</t>
  </si>
  <si>
    <t>Pocket Guides</t>
  </si>
  <si>
    <t>Penny Price</t>
  </si>
  <si>
    <t>Ken Thomas</t>
  </si>
  <si>
    <t>Helen Ellis</t>
  </si>
  <si>
    <t>Ray Phillpot</t>
  </si>
  <si>
    <t>Lisa Fitter</t>
  </si>
  <si>
    <t>Hay Wood</t>
  </si>
  <si>
    <t>Lynette Bowker</t>
  </si>
  <si>
    <t>Claire Morris</t>
  </si>
  <si>
    <t>1hr 1-2-1 F2F</t>
  </si>
  <si>
    <t>susan wallis</t>
  </si>
  <si>
    <t>Zoom 1 Hr</t>
  </si>
  <si>
    <t>Monika Wiszniewska</t>
  </si>
  <si>
    <t>LR Course</t>
  </si>
  <si>
    <t>Narelle Hunter</t>
  </si>
  <si>
    <t>Poppy Fields Photography Workshops | Worcestershire</t>
  </si>
  <si>
    <t>Cov Urban</t>
  </si>
  <si>
    <t>Clent Hills</t>
  </si>
  <si>
    <t>Kelly Westwood</t>
  </si>
  <si>
    <t>Martin Vincent</t>
  </si>
  <si>
    <t>2. Workshops</t>
  </si>
  <si>
    <t>-   Workshops Residential</t>
  </si>
  <si>
    <t>3. Pick n Mix Inc</t>
  </si>
  <si>
    <t>4. Pick n Mix Out</t>
  </si>
  <si>
    <t>5. Mentoring</t>
  </si>
  <si>
    <t>6. 1-2-1</t>
  </si>
  <si>
    <t>7. Gift Vouchers Inc</t>
  </si>
  <si>
    <t>8. Gift Vouchers Out</t>
  </si>
  <si>
    <t>9. Prints &amp; Royalties</t>
  </si>
  <si>
    <t>10 Commissions</t>
  </si>
  <si>
    <t>11. Other</t>
  </si>
  <si>
    <t>Curtis</t>
  </si>
  <si>
    <t>Lightroom</t>
  </si>
  <si>
    <t>2023 v 2022</t>
  </si>
  <si>
    <t>Lonnie Morris</t>
  </si>
  <si>
    <t>Pipeline</t>
  </si>
  <si>
    <t>Variance to 2022</t>
  </si>
  <si>
    <t>?</t>
  </si>
  <si>
    <t>Jan 2024</t>
  </si>
  <si>
    <t>Feb 2024</t>
  </si>
  <si>
    <t>Due Date</t>
  </si>
  <si>
    <t>Lindsey Mcqueen</t>
  </si>
  <si>
    <t>ELS - Photo Course</t>
  </si>
  <si>
    <t>20230313-02</t>
  </si>
  <si>
    <t>Dan Taylor</t>
  </si>
  <si>
    <t>Narasimha Patnala</t>
  </si>
  <si>
    <t>ELS - Lr Course</t>
  </si>
  <si>
    <t>20230313-01</t>
  </si>
  <si>
    <t>Phil Banks</t>
  </si>
  <si>
    <t>20230502-01</t>
  </si>
  <si>
    <t>Michael Smith</t>
  </si>
  <si>
    <t>ELS - Padley Gorge</t>
  </si>
  <si>
    <t>Due 13th Sep 2023</t>
  </si>
  <si>
    <t>20230613-01</t>
  </si>
  <si>
    <t>Due 14th Sep 2023</t>
  </si>
  <si>
    <t>20230614-01</t>
  </si>
  <si>
    <t>Stripe 1.8%</t>
  </si>
  <si>
    <t>ELS</t>
  </si>
  <si>
    <t>Philippa King</t>
  </si>
  <si>
    <t>Don Marsh</t>
  </si>
  <si>
    <t>1-2-1 Jan 2024</t>
  </si>
  <si>
    <t>David Ellis</t>
  </si>
  <si>
    <t>Batsford 1-2-1</t>
  </si>
  <si>
    <t>Christopher Round</t>
  </si>
  <si>
    <t>Laura Cooper-Smith</t>
  </si>
  <si>
    <t>Abstract Workshop</t>
  </si>
  <si>
    <t>Martin Lancaster</t>
  </si>
  <si>
    <t>Lake District Marcg</t>
  </si>
  <si>
    <t>Peter Humber</t>
  </si>
  <si>
    <t>Fine Art Framed Print</t>
  </si>
  <si>
    <t>sam hammond</t>
  </si>
  <si>
    <t>GLENDA DEVEY</t>
  </si>
  <si>
    <t>Kai Cott</t>
  </si>
  <si>
    <t>Robert Gibson</t>
  </si>
  <si>
    <t>Ditty Dokter</t>
  </si>
  <si>
    <t>Barbara Voules</t>
  </si>
  <si>
    <t>Resalve LTD</t>
  </si>
  <si>
    <t>Helen Richmond</t>
  </si>
  <si>
    <t>Dene Caple</t>
  </si>
  <si>
    <t>Sophie Talbot</t>
  </si>
  <si>
    <t>Elaine O'Connor</t>
  </si>
  <si>
    <t>Caravan and Camping Club</t>
  </si>
  <si>
    <t>Crawford Patterson</t>
  </si>
  <si>
    <t>Alan Coutts</t>
  </si>
  <si>
    <t>Emma Marsh</t>
  </si>
  <si>
    <t>Cheryl Phillpot</t>
  </si>
  <si>
    <t>T&amp;E</t>
  </si>
  <si>
    <t>Graeme Dykes</t>
  </si>
  <si>
    <t>Batsford Extension</t>
  </si>
  <si>
    <t>Alison Horsfall</t>
  </si>
  <si>
    <t>Rebooking Course</t>
  </si>
  <si>
    <t>Lucy gutteridge</t>
  </si>
  <si>
    <t>Ambra Minoli</t>
  </si>
  <si>
    <t>Pamela Digby</t>
  </si>
  <si>
    <t>Suffolk extra B&amp;B x 2</t>
  </si>
  <si>
    <t>Bindu Felix</t>
  </si>
  <si>
    <t xml:space="preserve">4 x 1hr Zoom </t>
  </si>
  <si>
    <t>Kate Roberts</t>
  </si>
  <si>
    <t>Artwork Commision</t>
  </si>
  <si>
    <t>Trevor Blagg</t>
  </si>
  <si>
    <t>5wk Beginers Course</t>
  </si>
  <si>
    <t>Kautext</t>
  </si>
  <si>
    <t>Head Shots</t>
  </si>
  <si>
    <t>Astrid Ewing</t>
  </si>
  <si>
    <t>John Roe</t>
  </si>
  <si>
    <t>Padley Gorge</t>
  </si>
  <si>
    <t>Dave Proctor</t>
  </si>
  <si>
    <t>Richard Hull</t>
  </si>
  <si>
    <t>Pablo Quintario</t>
  </si>
  <si>
    <t>Nancy Borngraeber</t>
  </si>
  <si>
    <t>Angela Reid</t>
  </si>
  <si>
    <t>Amble Print</t>
  </si>
  <si>
    <t>Chloe Stent</t>
  </si>
  <si>
    <t>Sara Taylor</t>
  </si>
  <si>
    <t>Dartmoor</t>
  </si>
  <si>
    <t>Rebecca Keating</t>
  </si>
  <si>
    <t>Trevor George</t>
  </si>
  <si>
    <t>Ian Bray</t>
  </si>
  <si>
    <t>Andrew Senior</t>
  </si>
  <si>
    <t>Martin Janes</t>
  </si>
  <si>
    <t>David Shepheard</t>
  </si>
  <si>
    <t>Workshop</t>
  </si>
  <si>
    <t>Clare Bennan</t>
  </si>
  <si>
    <t>Zoom 1-2-1</t>
  </si>
  <si>
    <t>Andrew Shaw</t>
  </si>
  <si>
    <t>Anne Stack</t>
  </si>
  <si>
    <t>shari wszalek</t>
  </si>
  <si>
    <t>Viewing Frames</t>
  </si>
  <si>
    <t>William Kenney-Herbert</t>
  </si>
  <si>
    <t>Victoria Rose</t>
  </si>
  <si>
    <t>Hanna Claydon</t>
  </si>
  <si>
    <t>Olive Group</t>
  </si>
  <si>
    <t>Stephen Taylor</t>
  </si>
  <si>
    <t>Caitlin Wilkie</t>
  </si>
  <si>
    <t>Keith</t>
  </si>
  <si>
    <t>Gareth Saunders</t>
  </si>
  <si>
    <t>Peter Western</t>
  </si>
  <si>
    <t xml:space="preserve">Scott Murley </t>
  </si>
  <si>
    <t>WWT</t>
  </si>
  <si>
    <t>Mike Charlton</t>
  </si>
  <si>
    <t>Peak District autumn</t>
  </si>
  <si>
    <t>Angela Archer</t>
  </si>
  <si>
    <t>simon vaughan</t>
  </si>
  <si>
    <t>Clare Brannan</t>
  </si>
  <si>
    <t>Zoom 2hr 1-2-1</t>
  </si>
  <si>
    <t>Scott Murley</t>
  </si>
  <si>
    <t>John Wilson</t>
  </si>
  <si>
    <t>Peak District Heather</t>
  </si>
  <si>
    <t>Hannah Lewis</t>
  </si>
  <si>
    <t>maryam yaghoubi</t>
  </si>
  <si>
    <t>Julie Green</t>
  </si>
  <si>
    <t>Lake District - Thu</t>
  </si>
  <si>
    <t>PnM Qtrly Payment</t>
  </si>
  <si>
    <t>Karen Williams</t>
  </si>
  <si>
    <t>Jane Holmes</t>
  </si>
  <si>
    <t>Digital Gift Voucher</t>
  </si>
  <si>
    <t>Carrie Wyatt</t>
  </si>
  <si>
    <t>Teresa Andrews</t>
  </si>
  <si>
    <t>Paul Norris</t>
  </si>
  <si>
    <t>Mark Constable</t>
  </si>
  <si>
    <t>Anne Rowling</t>
  </si>
  <si>
    <t>5wk Beginners Photo</t>
  </si>
  <si>
    <t xml:space="preserve">Kenneth Hawkins </t>
  </si>
  <si>
    <t>Philip Kadiri</t>
  </si>
  <si>
    <t>David Albone</t>
  </si>
  <si>
    <t>Pocket Guide</t>
  </si>
  <si>
    <t>Kase Referrals</t>
  </si>
  <si>
    <t>Zoom - 1-2-1</t>
  </si>
  <si>
    <t>Robert Mulley</t>
  </si>
  <si>
    <t>4hr 1-2-1</t>
  </si>
  <si>
    <t>Catherine Cott</t>
  </si>
  <si>
    <t>Lynn Rushall</t>
  </si>
  <si>
    <t>Secret Woodlands</t>
  </si>
  <si>
    <t>Susan Malik</t>
  </si>
  <si>
    <t>LE Workshop</t>
  </si>
  <si>
    <t>Jacki Rosin</t>
  </si>
  <si>
    <t>CARL EDMONDS</t>
  </si>
  <si>
    <t>Pocket Watch Training</t>
  </si>
  <si>
    <t>DAVID BARLOW</t>
  </si>
  <si>
    <t>David Smith</t>
  </si>
  <si>
    <t>Carl Edmonds</t>
  </si>
  <si>
    <t>Rebecca Lewis</t>
  </si>
  <si>
    <t>ELS - Zoom</t>
  </si>
  <si>
    <t>Ian Bolton</t>
  </si>
  <si>
    <t>Michael Mackay</t>
  </si>
  <si>
    <t>adrian harvey</t>
  </si>
  <si>
    <t>Susan Granton</t>
  </si>
  <si>
    <t>Radiotimes</t>
  </si>
  <si>
    <t>Adam Caga</t>
  </si>
  <si>
    <t>Lauren Grant</t>
  </si>
  <si>
    <t>jo guy</t>
  </si>
  <si>
    <t>4x2hr 1-2-1</t>
  </si>
  <si>
    <t>Peak District Heathers</t>
  </si>
  <si>
    <t>Kim Repton</t>
  </si>
  <si>
    <t>Demetris Eaton</t>
  </si>
  <si>
    <t>Pixsy 2 Cases</t>
  </si>
  <si>
    <t>anu kumar</t>
  </si>
  <si>
    <t xml:space="preserve">Poppy Field Photography </t>
  </si>
  <si>
    <t>Gemma Wright</t>
  </si>
  <si>
    <t>Gavin Louer/Patsy</t>
  </si>
  <si>
    <t>Copyright</t>
  </si>
  <si>
    <t>Jenny Norris</t>
  </si>
  <si>
    <t>Simon West</t>
  </si>
  <si>
    <t>laura gosling</t>
  </si>
  <si>
    <t>Various Workshops</t>
  </si>
  <si>
    <t>Chris Wardman</t>
  </si>
  <si>
    <t>Kautex</t>
  </si>
  <si>
    <t>Paul Kitteringham</t>
  </si>
  <si>
    <t>Mary Simpson</t>
  </si>
  <si>
    <t xml:space="preserve">Chesterton Windmill Sunset </t>
  </si>
  <si>
    <t xml:space="preserve">Sezincote Garden Photography </t>
  </si>
  <si>
    <t>Lynne Proctor</t>
  </si>
  <si>
    <t>David Andringa</t>
  </si>
  <si>
    <t>Poppy Fields</t>
  </si>
  <si>
    <t>Curtis Orrill</t>
  </si>
  <si>
    <t>Rachael Smith</t>
  </si>
  <si>
    <t>Lee-Ann Higgins</t>
  </si>
  <si>
    <t>Tracey Ball</t>
  </si>
  <si>
    <t>Margaret Heaton</t>
  </si>
  <si>
    <t>Jon Ford</t>
  </si>
  <si>
    <t>Charlotte McMillan</t>
  </si>
  <si>
    <t>4wk Extd Course</t>
  </si>
  <si>
    <t>1-2-1 Lesson Zoom</t>
  </si>
  <si>
    <t>Pick N Mix Plan</t>
  </si>
  <si>
    <t>Julie Bellamy</t>
  </si>
  <si>
    <t>Derek Finnigan</t>
  </si>
  <si>
    <t>27 &amp; 28 March Invoice</t>
  </si>
  <si>
    <t>Sara Orsbourn</t>
  </si>
  <si>
    <t>5wk Photo Course</t>
  </si>
  <si>
    <t>Colin Capelle</t>
  </si>
  <si>
    <t>Lee Gibson</t>
  </si>
  <si>
    <t>Ian Perry</t>
  </si>
  <si>
    <t>Terri O'Sullivan</t>
  </si>
  <si>
    <t>Elizabeth Stapley</t>
  </si>
  <si>
    <t>Holly McDonnell</t>
  </si>
  <si>
    <t>4wk Beginners Course</t>
  </si>
  <si>
    <t>Jo Manogue</t>
  </si>
  <si>
    <t>Partnerise</t>
  </si>
  <si>
    <t>MPB Referrals</t>
  </si>
  <si>
    <t>Panayiota Touloupou</t>
  </si>
  <si>
    <t>Photo judging</t>
  </si>
  <si>
    <t>Gareth Lindop</t>
  </si>
  <si>
    <t>Heather Twomey</t>
  </si>
  <si>
    <t>Beginners LR Course</t>
  </si>
  <si>
    <t>RPS Mentoring</t>
  </si>
  <si>
    <t>Rebecca Newton</t>
  </si>
  <si>
    <t>Justin Meaden</t>
  </si>
  <si>
    <t>Mike Clare</t>
  </si>
  <si>
    <t>Gary Beggan</t>
  </si>
  <si>
    <t>Karen Stapley</t>
  </si>
  <si>
    <t>Jana Bauch</t>
  </si>
  <si>
    <t>2hrs 1-2-1 - 17/4</t>
  </si>
  <si>
    <t>David Smart</t>
  </si>
  <si>
    <t>Fee date change</t>
  </si>
  <si>
    <t>Card royalties</t>
  </si>
  <si>
    <t>Chinasearch</t>
  </si>
  <si>
    <t>Daniel Osinski</t>
  </si>
  <si>
    <t>Frederique Gerard</t>
  </si>
  <si>
    <t>Gerald Lewis</t>
  </si>
  <si>
    <t>Long Exposure</t>
  </si>
  <si>
    <t>Paul Townsend</t>
  </si>
  <si>
    <t>Dorset +1 Charge</t>
  </si>
  <si>
    <t>Paul Green</t>
  </si>
  <si>
    <t>Nickie Wood</t>
  </si>
  <si>
    <t>Sophie Bates</t>
  </si>
  <si>
    <t>James Barton</t>
  </si>
  <si>
    <t xml:space="preserve">Macro and Abstract </t>
  </si>
  <si>
    <t>Get off Auto</t>
  </si>
  <si>
    <t>Theresa Wong</t>
  </si>
  <si>
    <t xml:space="preserve">Brandon Marsh Nature Reserve </t>
  </si>
  <si>
    <t>rebecca blunsom-washbrook</t>
  </si>
  <si>
    <t>Jack Greer</t>
  </si>
  <si>
    <t>Patrick Oleary</t>
  </si>
  <si>
    <t>Property Commision</t>
  </si>
  <si>
    <t>Hardeep Nagra</t>
  </si>
  <si>
    <t>Richard Lionberger</t>
  </si>
  <si>
    <t>Thomas Papanikolaou</t>
  </si>
  <si>
    <t>Workshops</t>
  </si>
  <si>
    <t xml:space="preserve">Long Exposure </t>
  </si>
  <si>
    <t xml:space="preserve">Cotswolds Landscape </t>
  </si>
  <si>
    <t xml:space="preserve">Garden Photography </t>
  </si>
  <si>
    <t xml:space="preserve">Bluebell Woodland </t>
  </si>
  <si>
    <t>Karen Morley</t>
  </si>
  <si>
    <t>Natalie Wallis</t>
  </si>
  <si>
    <t>Andy Best</t>
  </si>
  <si>
    <t>Cotswolds</t>
  </si>
  <si>
    <t>Rebecca Blunsom</t>
  </si>
  <si>
    <t>4wk Extd Beginners</t>
  </si>
  <si>
    <t>Andy Knott</t>
  </si>
  <si>
    <t>Andrew Mace</t>
  </si>
  <si>
    <t>Lake District Extra Night</t>
  </si>
  <si>
    <t>Catherine Gough</t>
  </si>
  <si>
    <t>Shropshire</t>
  </si>
  <si>
    <t>Thomas Daniels</t>
  </si>
  <si>
    <t>Lake District Mar</t>
  </si>
  <si>
    <t>Adobe</t>
  </si>
  <si>
    <t>Adobe Stock - Sales</t>
  </si>
  <si>
    <t>Anne Decker</t>
  </si>
  <si>
    <t>Paul Porter</t>
  </si>
  <si>
    <t>Martina Egeler</t>
  </si>
  <si>
    <t>Paul Fields</t>
  </si>
  <si>
    <t>Clifford Porter</t>
  </si>
  <si>
    <t>Lake District Sep</t>
  </si>
  <si>
    <t>4wk Lightroom</t>
  </si>
  <si>
    <t>Glenn Hooper</t>
  </si>
  <si>
    <t>Nicky Mills</t>
  </si>
  <si>
    <t>Artfinder</t>
  </si>
  <si>
    <t>Print Sales Artfinder</t>
  </si>
  <si>
    <t xml:space="preserve">Palanieappan Sirsabesan </t>
  </si>
  <si>
    <t>Graduation</t>
  </si>
  <si>
    <t>Coventry Motorcycle Co</t>
  </si>
  <si>
    <t>Training</t>
  </si>
  <si>
    <t>Yvonne Rawson</t>
  </si>
  <si>
    <t>Sara Barsely</t>
  </si>
  <si>
    <t>Name</t>
  </si>
  <si>
    <t>Value</t>
  </si>
  <si>
    <t xml:space="preserve">Fulfilled </t>
  </si>
  <si>
    <t>2022/23</t>
  </si>
  <si>
    <t>2020/21 Covid</t>
  </si>
  <si>
    <t>2019/20</t>
  </si>
  <si>
    <t>2018/19</t>
  </si>
  <si>
    <t>2017/18 Surgery</t>
  </si>
  <si>
    <t>2016/17</t>
  </si>
  <si>
    <t>2015/16</t>
  </si>
  <si>
    <t>2014/15</t>
  </si>
  <si>
    <t>2013/14</t>
  </si>
  <si>
    <t>2022 v 2021</t>
  </si>
  <si>
    <t>Renata</t>
  </si>
  <si>
    <t>Lake District Mar 2023</t>
  </si>
  <si>
    <t>due 31 Jan 2023</t>
  </si>
  <si>
    <t xml:space="preserve">ELS </t>
  </si>
  <si>
    <t>due 5th Dec</t>
  </si>
  <si>
    <t>Lake District Sep 2023</t>
  </si>
  <si>
    <t>Due 22nd June 2023</t>
  </si>
  <si>
    <t>Variance to 2021</t>
  </si>
  <si>
    <t xml:space="preserve">Balance </t>
  </si>
  <si>
    <t>1-2-1 6th Feb, due 15th Jan</t>
  </si>
  <si>
    <t>Sara Barsley</t>
  </si>
  <si>
    <t>Invoice Jan 2023</t>
  </si>
  <si>
    <t>Due 21st Mar 2023</t>
  </si>
  <si>
    <t>Into the blue</t>
  </si>
  <si>
    <t>Due 27 March 2023</t>
  </si>
  <si>
    <t>GP Target</t>
  </si>
  <si>
    <t>Tony Bain</t>
  </si>
  <si>
    <t>jo jones</t>
  </si>
  <si>
    <t>Louise Gill</t>
  </si>
  <si>
    <t>Elizabeth Ibbs</t>
  </si>
  <si>
    <t>stepphen cantlay</t>
  </si>
  <si>
    <t>Helen Shepheard</t>
  </si>
  <si>
    <t>Sarah Hisaund</t>
  </si>
  <si>
    <t>Dr John L Watts</t>
  </si>
  <si>
    <t>Xmas Walk Lapworth</t>
  </si>
  <si>
    <t>Macro and LE Workshop</t>
  </si>
  <si>
    <t>Julie Werrett</t>
  </si>
  <si>
    <t>Paul Sice</t>
  </si>
  <si>
    <t>Hartland Print</t>
  </si>
  <si>
    <t>Terry Hanford</t>
  </si>
  <si>
    <t xml:space="preserve">Wayne Farrington </t>
  </si>
  <si>
    <t>Motorcycle Photo Training</t>
  </si>
  <si>
    <t>Rose Conway</t>
  </si>
  <si>
    <t>Lake Vyrnwey</t>
  </si>
  <si>
    <t>David Marrott</t>
  </si>
  <si>
    <t>Gavin Louer</t>
  </si>
  <si>
    <t>Lake District - Sep 2023</t>
  </si>
  <si>
    <t>Gina Meaden</t>
  </si>
  <si>
    <t>Gift Card</t>
  </si>
  <si>
    <t>Raye Geater</t>
  </si>
  <si>
    <t>Charles Gray</t>
  </si>
  <si>
    <t>Christmas Leamington</t>
  </si>
  <si>
    <t>Mark Nathan</t>
  </si>
  <si>
    <t>RPS Extended</t>
  </si>
  <si>
    <t>Nora Tacheva</t>
  </si>
  <si>
    <t>Kim Meadows</t>
  </si>
  <si>
    <t>Gary Franklin</t>
  </si>
  <si>
    <t>Julie Hughes</t>
  </si>
  <si>
    <t>kevin evans</t>
  </si>
  <si>
    <t>2 x Christmas Walk</t>
  </si>
  <si>
    <t xml:space="preserve">Catherine Davies </t>
  </si>
  <si>
    <t>4wk Extd Beginners Course</t>
  </si>
  <si>
    <t>Ann Hume</t>
  </si>
  <si>
    <t>Richard Patterson</t>
  </si>
  <si>
    <t>Stephen Fleming</t>
  </si>
  <si>
    <t xml:space="preserve">Renata </t>
  </si>
  <si>
    <t>1-2-1 Mentoring</t>
  </si>
  <si>
    <t>Fireworks</t>
  </si>
  <si>
    <t>ELS?</t>
  </si>
  <si>
    <t>Not sure for whom</t>
  </si>
  <si>
    <t>Eleanor Morris</t>
  </si>
  <si>
    <t>Richard Potts</t>
  </si>
  <si>
    <t>John Flack</t>
  </si>
  <si>
    <t>alison treharne</t>
  </si>
  <si>
    <t>Call of the page</t>
  </si>
  <si>
    <t>Feedback</t>
  </si>
  <si>
    <t>Kirsten Peake</t>
  </si>
  <si>
    <t>Viewing Cards</t>
  </si>
  <si>
    <t>Claudine Menke</t>
  </si>
  <si>
    <t>Spencer Stephens</t>
  </si>
  <si>
    <t>Catherine Buffrey</t>
  </si>
  <si>
    <t>Get Of Auto</t>
  </si>
  <si>
    <t>Nancy Mack</t>
  </si>
  <si>
    <t>Dana Davis</t>
  </si>
  <si>
    <t>Victor Swainson</t>
  </si>
  <si>
    <t>Margit Claudia Dr. Dr. Kollenda</t>
  </si>
  <si>
    <t>Lake District Nov</t>
  </si>
  <si>
    <t>Chris Geary</t>
  </si>
  <si>
    <t>Katie Warmington</t>
  </si>
  <si>
    <t>Elliot Moore</t>
  </si>
  <si>
    <t>Alan Davies</t>
  </si>
  <si>
    <t xml:space="preserve">Macro </t>
  </si>
  <si>
    <t>Andy Henderson</t>
  </si>
  <si>
    <t>Steven Desrocher</t>
  </si>
  <si>
    <t>Moira Townsend</t>
  </si>
  <si>
    <t>Steve Moffitt</t>
  </si>
  <si>
    <t>Alistair Willis</t>
  </si>
  <si>
    <t>Norman Pillow</t>
  </si>
  <si>
    <t>Charlotte Neeves</t>
  </si>
  <si>
    <t>Laurence John</t>
  </si>
  <si>
    <t>Macro &amp; Abstract</t>
  </si>
  <si>
    <t>Christmas Sparkle</t>
  </si>
  <si>
    <t>Parvina Dean</t>
  </si>
  <si>
    <t>Rick Budai</t>
  </si>
  <si>
    <t>Peter Hagger</t>
  </si>
  <si>
    <t>RPS Support</t>
  </si>
  <si>
    <t>Chris Brown</t>
  </si>
  <si>
    <t>Dan Gordon</t>
  </si>
  <si>
    <t>Michaela Darby</t>
  </si>
  <si>
    <t>Avi Garg</t>
  </si>
  <si>
    <t>Ian Blake</t>
  </si>
  <si>
    <t>Suffolk Workshop</t>
  </si>
  <si>
    <t>Andrew Lumley</t>
  </si>
  <si>
    <t>Roxana Godeanu</t>
  </si>
  <si>
    <t>derek packwood</t>
  </si>
  <si>
    <t>Xmas Sparkle</t>
  </si>
  <si>
    <t>Sean Dewhurst</t>
  </si>
  <si>
    <t>Digital Gift Vouchers</t>
  </si>
  <si>
    <t>Pichaya</t>
  </si>
  <si>
    <t>Karen Clothier</t>
  </si>
  <si>
    <t>James Margolis</t>
  </si>
  <si>
    <t>Gary Watson</t>
  </si>
  <si>
    <t>Nicholas Barber</t>
  </si>
  <si>
    <t>Norfolk Workshop</t>
  </si>
  <si>
    <t>Rayudu Pasupuleti</t>
  </si>
  <si>
    <t>Bank Transfer</t>
  </si>
  <si>
    <t>Graham Cook</t>
  </si>
  <si>
    <t>Mark Godfrey</t>
  </si>
  <si>
    <t>Chris Rhoades</t>
  </si>
  <si>
    <t>Rachel Roberts</t>
  </si>
  <si>
    <t>1-2-1 2hrs F2F</t>
  </si>
  <si>
    <t>George Letey</t>
  </si>
  <si>
    <t>Rollright Stones</t>
  </si>
  <si>
    <t>Max Dobres</t>
  </si>
  <si>
    <t>Daniel Pearce</t>
  </si>
  <si>
    <t>Jenny Reeves</t>
  </si>
  <si>
    <t>Sukhi McDonald</t>
  </si>
  <si>
    <t>Nicki Stott</t>
  </si>
  <si>
    <t>Keith Markillie</t>
  </si>
  <si>
    <t>STEPHEN MORTON</t>
  </si>
  <si>
    <t>Hannah Grinnall</t>
  </si>
  <si>
    <t>Trevor Haw</t>
  </si>
  <si>
    <t>Norfolk x 2</t>
  </si>
  <si>
    <t>Nigel Hall</t>
  </si>
  <si>
    <t>Karen Block</t>
  </si>
  <si>
    <t>Extra Night Lake District</t>
  </si>
  <si>
    <t>Terry Holton</t>
  </si>
  <si>
    <t>Print Royalties</t>
  </si>
  <si>
    <t>Zoom Session</t>
  </si>
  <si>
    <t>Natalie Fellows</t>
  </si>
  <si>
    <t>Bianca Dodgen</t>
  </si>
  <si>
    <t>Double Occupancy</t>
  </si>
  <si>
    <t>Kai Jei</t>
  </si>
  <si>
    <t>Rod Fram</t>
  </si>
  <si>
    <t xml:space="preserve">Balraj Malhi </t>
  </si>
  <si>
    <t>Jeremey Troth</t>
  </si>
  <si>
    <t>Norfolk and Lake District</t>
  </si>
  <si>
    <t>Jenny Ladbrooke</t>
  </si>
  <si>
    <t>Gabriela Goncalves</t>
  </si>
  <si>
    <t>David Harrison</t>
  </si>
  <si>
    <t>Julia Marshall</t>
  </si>
  <si>
    <t>2 x Heather Workshop</t>
  </si>
  <si>
    <t>Alan Hindley</t>
  </si>
  <si>
    <t>Zoom 1hrs</t>
  </si>
  <si>
    <t>Laura Green</t>
  </si>
  <si>
    <t>Stephen Champion</t>
  </si>
  <si>
    <t>Chris Clarke</t>
  </si>
  <si>
    <t>Sarah Billington</t>
  </si>
  <si>
    <t>Get off auto</t>
  </si>
  <si>
    <t>CHARLOTTE LAURENS</t>
  </si>
  <si>
    <t>Graham Rippon</t>
  </si>
  <si>
    <t>Rebecca Guy</t>
  </si>
  <si>
    <t>Business Cards / Glasses</t>
  </si>
  <si>
    <t>Peter Pauwels</t>
  </si>
  <si>
    <t>Mark Bryant</t>
  </si>
  <si>
    <t>Suzie Cummins</t>
  </si>
  <si>
    <t>Shanthi Sivanantham</t>
  </si>
  <si>
    <t>Steven Wells</t>
  </si>
  <si>
    <t>joanne guy</t>
  </si>
  <si>
    <t>Youssef El-Gingihy</t>
  </si>
  <si>
    <t>stuart towse</t>
  </si>
  <si>
    <t>Zoom 2hrs</t>
  </si>
  <si>
    <t>Hetal Trivedi</t>
  </si>
  <si>
    <t>Anne Di John</t>
  </si>
  <si>
    <t>Helen Pattie</t>
  </si>
  <si>
    <t>Lake District - Sep extra B&amp;B</t>
  </si>
  <si>
    <t>Lake District - Sep</t>
  </si>
  <si>
    <t>Anne Sedlatschek</t>
  </si>
  <si>
    <t>Final PickNMix Payment</t>
  </si>
  <si>
    <t>Richard Packwood</t>
  </si>
  <si>
    <t>Jane Wilson</t>
  </si>
  <si>
    <t>Zoom 1-2-1 2hrs x 2</t>
  </si>
  <si>
    <t>Mike Brown</t>
  </si>
  <si>
    <t>Dan Horrocks</t>
  </si>
  <si>
    <t>Andrew Pearce</t>
  </si>
  <si>
    <t>Helen Sotheran</t>
  </si>
  <si>
    <t>alex ellis</t>
  </si>
  <si>
    <t>Ruth Redmond-Cooper</t>
  </si>
  <si>
    <t>William Aylett</t>
  </si>
  <si>
    <t>Alex Lavender</t>
  </si>
  <si>
    <t>1-2-1 4hrs</t>
  </si>
  <si>
    <t>Website Migration</t>
  </si>
  <si>
    <t>Course Feedback</t>
  </si>
  <si>
    <t>Odie Evans</t>
  </si>
  <si>
    <t>5wk Course</t>
  </si>
  <si>
    <t>Christopher Parker</t>
  </si>
  <si>
    <t>Emma Leech</t>
  </si>
  <si>
    <t>Patricia Knauff</t>
  </si>
  <si>
    <t>Andrew Noden</t>
  </si>
  <si>
    <t>Adam Dalton</t>
  </si>
  <si>
    <t>Peak District x 2</t>
  </si>
  <si>
    <t>Patricia Willis</t>
  </si>
  <si>
    <t>Zoom 1hr 1-2-1</t>
  </si>
  <si>
    <t>Nigel Doe</t>
  </si>
  <si>
    <t>Neil Rimmington</t>
  </si>
  <si>
    <t>Jens Kaus</t>
  </si>
  <si>
    <t>Priya Darshan Singh</t>
  </si>
  <si>
    <t>Long Exposure Kenilworth</t>
  </si>
  <si>
    <t>Business cards</t>
  </si>
  <si>
    <t>Nabeel Aladsani</t>
  </si>
  <si>
    <t>10hrs Zoom 1-2-1</t>
  </si>
  <si>
    <t>Ruby-Anne Birin</t>
  </si>
  <si>
    <t>Wales</t>
  </si>
  <si>
    <t>Justina Prytula</t>
  </si>
  <si>
    <t>3hrs 1-2-1 F2F</t>
  </si>
  <si>
    <t>Susan Dennison</t>
  </si>
  <si>
    <t>Scott Dance</t>
  </si>
  <si>
    <t>Matthew Payton</t>
  </si>
  <si>
    <t>Charles Stephens</t>
  </si>
  <si>
    <t>Suraiyyah Jeewa</t>
  </si>
  <si>
    <t>Robert Thomas</t>
  </si>
  <si>
    <t>Lesley Morris</t>
  </si>
  <si>
    <t>Somerset</t>
  </si>
  <si>
    <t>2021/22 Covid</t>
  </si>
  <si>
    <t>Bob Seaman</t>
  </si>
  <si>
    <t>2021 v 2020</t>
  </si>
  <si>
    <t>Aikaterini Fotoglou - ELS</t>
  </si>
  <si>
    <t>20170721-1</t>
  </si>
  <si>
    <t>Ran Tao - ELS</t>
  </si>
  <si>
    <t>20170725-1</t>
  </si>
  <si>
    <t>Stewart Twilton - ELS</t>
  </si>
  <si>
    <t>20170731-1</t>
  </si>
  <si>
    <t>Kim Robert - ELS</t>
  </si>
  <si>
    <t>20170822-1</t>
  </si>
  <si>
    <t>Scott Bremner - ELS</t>
  </si>
  <si>
    <t>20170823-2</t>
  </si>
  <si>
    <t>Michael King - ELS</t>
  </si>
  <si>
    <t>20170823-1</t>
  </si>
  <si>
    <t>4wk Course</t>
  </si>
  <si>
    <t>Thomas Lloyd -ELS</t>
  </si>
  <si>
    <t>20170829-1</t>
  </si>
  <si>
    <t>Jieyuan Wu - ELS</t>
  </si>
  <si>
    <t>20170831-4</t>
  </si>
  <si>
    <t>Daniel Thomas - ELS</t>
  </si>
  <si>
    <t>20170831-1</t>
  </si>
  <si>
    <t>Paul Gardiner - ELS</t>
  </si>
  <si>
    <t>20170831-2</t>
  </si>
  <si>
    <t>Marius Ciobanu -ELS</t>
  </si>
  <si>
    <t>20170904-1</t>
  </si>
  <si>
    <t>Aidan Bodeick</t>
  </si>
  <si>
    <t>20170920-1</t>
  </si>
  <si>
    <t>149301</t>
  </si>
  <si>
    <t>Marvin Epton</t>
  </si>
  <si>
    <t>20170920-2</t>
  </si>
  <si>
    <t>149832</t>
  </si>
  <si>
    <t>Photo Course</t>
  </si>
  <si>
    <t>Robert Graham</t>
  </si>
  <si>
    <t>20171010-1</t>
  </si>
  <si>
    <t>151259</t>
  </si>
  <si>
    <t>Jonathan McCaughan  ELS</t>
  </si>
  <si>
    <t>20171010-2</t>
  </si>
  <si>
    <t>Variance to 2020</t>
  </si>
  <si>
    <t>Shen Xiang -ELS</t>
  </si>
  <si>
    <t>20171010-3</t>
  </si>
  <si>
    <t>Seon Chang</t>
  </si>
  <si>
    <t>20171010-4</t>
  </si>
  <si>
    <t>149231</t>
  </si>
  <si>
    <t>Ashwyn Dhir</t>
  </si>
  <si>
    <t>20171016-1</t>
  </si>
  <si>
    <t>150249</t>
  </si>
  <si>
    <t xml:space="preserve">Richard Wardle </t>
  </si>
  <si>
    <t>20171017-1</t>
  </si>
  <si>
    <t>Intermediates</t>
  </si>
  <si>
    <t>Helen Finch</t>
  </si>
  <si>
    <t>20171019-1</t>
  </si>
  <si>
    <t>149191</t>
  </si>
  <si>
    <t>Jodie Child</t>
  </si>
  <si>
    <t>20171110-1</t>
  </si>
  <si>
    <t>150680</t>
  </si>
  <si>
    <t>Julia</t>
  </si>
  <si>
    <t>4 x 2hrs 1-2-1</t>
  </si>
  <si>
    <t>Sayed Nazir - ELS</t>
  </si>
  <si>
    <t>20171115-1</t>
  </si>
  <si>
    <t>220208</t>
  </si>
  <si>
    <t>Jonathan Mee - ELS</t>
  </si>
  <si>
    <t>20171118-1</t>
  </si>
  <si>
    <t>149563</t>
  </si>
  <si>
    <t>Philip Webster -ELS</t>
  </si>
  <si>
    <t>20171127-1</t>
  </si>
  <si>
    <t>151809</t>
  </si>
  <si>
    <t>1-2-1 TBA</t>
  </si>
  <si>
    <t>James Braithwaite ELS</t>
  </si>
  <si>
    <t>20171127-2</t>
  </si>
  <si>
    <t>151176</t>
  </si>
  <si>
    <t>Hartland Jan</t>
  </si>
  <si>
    <t>Amundep Hothi - ELS</t>
  </si>
  <si>
    <t>20171127-3</t>
  </si>
  <si>
    <t>152835</t>
  </si>
  <si>
    <t>Preetha Luther - ELS</t>
  </si>
  <si>
    <t>20171129-1</t>
  </si>
  <si>
    <t>151289</t>
  </si>
  <si>
    <t>Hans Berg - ELS</t>
  </si>
  <si>
    <t>20171130-2</t>
  </si>
  <si>
    <t>149779</t>
  </si>
  <si>
    <t>20171212-1</t>
  </si>
  <si>
    <t>153282</t>
  </si>
  <si>
    <t>Andrew D'Amico</t>
  </si>
  <si>
    <t>20171221-1</t>
  </si>
  <si>
    <t>153429</t>
  </si>
  <si>
    <t>20171222-1</t>
  </si>
  <si>
    <t>153440</t>
  </si>
  <si>
    <t>Iain Williams</t>
  </si>
  <si>
    <t>20180109-1</t>
  </si>
  <si>
    <t>153582</t>
  </si>
  <si>
    <t>Melissa Dickinson</t>
  </si>
  <si>
    <t>20180116-1</t>
  </si>
  <si>
    <t>153774</t>
  </si>
  <si>
    <t>Paul Gardiner</t>
  </si>
  <si>
    <t>201/0129-1</t>
  </si>
  <si>
    <t>CN</t>
  </si>
  <si>
    <t>Daniel Thomas</t>
  </si>
  <si>
    <t>20180209-1</t>
  </si>
  <si>
    <t>154267</t>
  </si>
  <si>
    <t>Aidan Broderick</t>
  </si>
  <si>
    <t>20180213-1</t>
  </si>
  <si>
    <t>154338</t>
  </si>
  <si>
    <t>Sayed Nazir</t>
  </si>
  <si>
    <t>20180213-2</t>
  </si>
  <si>
    <t>154336</t>
  </si>
  <si>
    <t>Ganesh Palani - ELS</t>
  </si>
  <si>
    <t>20180214-1</t>
  </si>
  <si>
    <t>154374</t>
  </si>
  <si>
    <t>Hans Berg</t>
  </si>
  <si>
    <t>20180220-1</t>
  </si>
  <si>
    <t>154156</t>
  </si>
  <si>
    <t>20180221-1</t>
  </si>
  <si>
    <t>154416</t>
  </si>
  <si>
    <t>Arjun Rawat - ELS</t>
  </si>
  <si>
    <t>20180221-2</t>
  </si>
  <si>
    <t>154510</t>
  </si>
  <si>
    <t>Helen Fawcett</t>
  </si>
  <si>
    <t>20180308-1</t>
  </si>
  <si>
    <t>154622</t>
  </si>
  <si>
    <t>Intro Class</t>
  </si>
  <si>
    <t>Fances Pike</t>
  </si>
  <si>
    <t>20180331-1</t>
  </si>
  <si>
    <t>155146</t>
  </si>
  <si>
    <t>Bluebell Worksh0p</t>
  </si>
  <si>
    <t>20180529-1</t>
  </si>
  <si>
    <t>155975</t>
  </si>
  <si>
    <t>4wk Extended</t>
  </si>
  <si>
    <t>Philip Webester</t>
  </si>
  <si>
    <t>20180831-1</t>
  </si>
  <si>
    <t>158831</t>
  </si>
  <si>
    <t>Dave McGuire</t>
  </si>
  <si>
    <t>201801019-1</t>
  </si>
  <si>
    <t>160273</t>
  </si>
  <si>
    <t>Course</t>
  </si>
  <si>
    <t>Helen Finch/Sotheran</t>
  </si>
  <si>
    <t>20181120-1</t>
  </si>
  <si>
    <t>163853</t>
  </si>
  <si>
    <t>Lvl 2 Photo Soli</t>
  </si>
  <si>
    <t>Harkesh Mehmi</t>
  </si>
  <si>
    <t>20181204-1</t>
  </si>
  <si>
    <t>161118</t>
  </si>
  <si>
    <t>TBC</t>
  </si>
  <si>
    <t>Paul Millington</t>
  </si>
  <si>
    <t>20190211-1</t>
  </si>
  <si>
    <t>165649</t>
  </si>
  <si>
    <t>20190405-1</t>
  </si>
  <si>
    <t>20190507-1</t>
  </si>
  <si>
    <t>167527</t>
  </si>
  <si>
    <t>20191016-1</t>
  </si>
  <si>
    <t>171860</t>
  </si>
  <si>
    <t>Paul Wiles</t>
  </si>
  <si>
    <t>20191021-1</t>
  </si>
  <si>
    <t>171983</t>
  </si>
  <si>
    <t>David McGuire</t>
  </si>
  <si>
    <t>20191024-1</t>
  </si>
  <si>
    <t>172055</t>
  </si>
  <si>
    <t>Arthur Masters</t>
  </si>
  <si>
    <t>20191031-1</t>
  </si>
  <si>
    <t>174376</t>
  </si>
  <si>
    <t>Adrian Willcock</t>
  </si>
  <si>
    <t>2019-1118-1</t>
  </si>
  <si>
    <t>172526</t>
  </si>
  <si>
    <t>20200204-1</t>
  </si>
  <si>
    <t>176314</t>
  </si>
  <si>
    <t>LR</t>
  </si>
  <si>
    <t>Fiona Clifford</t>
  </si>
  <si>
    <t>Copyright Payment</t>
  </si>
  <si>
    <t>Artfullywalls</t>
  </si>
  <si>
    <t>Tim Hurst</t>
  </si>
  <si>
    <t>1-2-1 2hrs</t>
  </si>
  <si>
    <t>Rob Jervis</t>
  </si>
  <si>
    <t>Woodland Walks x 2</t>
  </si>
  <si>
    <t>Christopher Troth</t>
  </si>
  <si>
    <t>Website Build</t>
  </si>
  <si>
    <t>Greg Bailey</t>
  </si>
  <si>
    <t>Zoom 1hr LR Migration</t>
  </si>
  <si>
    <t>Jo Bailes</t>
  </si>
  <si>
    <t>Jason Bunce</t>
  </si>
  <si>
    <t>Jeffry Bayliss</t>
  </si>
  <si>
    <t>4 x 2hr 1-2-1's</t>
  </si>
  <si>
    <t>Connor Moore</t>
  </si>
  <si>
    <t>Woodland Walks 2022</t>
  </si>
  <si>
    <t>Daphne Press</t>
  </si>
  <si>
    <t>Yvonne Sharman</t>
  </si>
  <si>
    <t>Julia Bowen</t>
  </si>
  <si>
    <t>Zoom 1HR 1-2-1</t>
  </si>
  <si>
    <t>Neil Wilson</t>
  </si>
  <si>
    <t>Calendar</t>
  </si>
  <si>
    <t>Zoom 1hr RPS</t>
  </si>
  <si>
    <t>Nigel Baker</t>
  </si>
  <si>
    <t>Hartland Quay Print</t>
  </si>
  <si>
    <t>Bill Aylett</t>
  </si>
  <si>
    <t>Lake District Mar 2022</t>
  </si>
  <si>
    <t>Lauren Taylor</t>
  </si>
  <si>
    <t>Lake Vyrnwy Workshop</t>
  </si>
  <si>
    <t>Sheila Ratcliffe</t>
  </si>
  <si>
    <t>Dave Spiers</t>
  </si>
  <si>
    <t>Penelope Mckenna</t>
  </si>
  <si>
    <t>Kit Compton</t>
  </si>
  <si>
    <t>Bluebell Workshop</t>
  </si>
  <si>
    <t>1-2-1 Photo Website</t>
  </si>
  <si>
    <t>Graham French</t>
  </si>
  <si>
    <t xml:space="preserve">Ian Silverwood </t>
  </si>
  <si>
    <t>4hrs 1-2-1 F2F</t>
  </si>
  <si>
    <t>2 x Zoom Sessions</t>
  </si>
  <si>
    <t>Carol Hughes</t>
  </si>
  <si>
    <t>Rosamund Sheppard</t>
  </si>
  <si>
    <t>Rosalind Roberts</t>
  </si>
  <si>
    <t>Jane Trotman</t>
  </si>
  <si>
    <t>Dorset Coast Workshop</t>
  </si>
  <si>
    <t>linda m burman</t>
  </si>
  <si>
    <t>J Elmore</t>
  </si>
  <si>
    <t>Stratford Xmas Lights</t>
  </si>
  <si>
    <t>Framed Prints x 3</t>
  </si>
  <si>
    <t>Framed Prints</t>
  </si>
  <si>
    <t>Johnathan Ellis</t>
  </si>
  <si>
    <t>Monhtly Mentoring</t>
  </si>
  <si>
    <t>Top up to Pick N Mix</t>
  </si>
  <si>
    <t>Emlyn Samuel</t>
  </si>
  <si>
    <t>Micaila Williams</t>
  </si>
  <si>
    <t xml:space="preserve">Lake Vyrnwy and Pistyll Rhaeadr </t>
  </si>
  <si>
    <t>Sheila Coughlan</t>
  </si>
  <si>
    <t>2hrs 1-2-1 weekday</t>
  </si>
  <si>
    <t>Diane Haines</t>
  </si>
  <si>
    <t>Xmas Workshop Stratford</t>
  </si>
  <si>
    <t>Peter Jeans</t>
  </si>
  <si>
    <t>Amanda Walker</t>
  </si>
  <si>
    <t>Jackie Lea</t>
  </si>
  <si>
    <t>Rachel Brown</t>
  </si>
  <si>
    <t>Lake District Jan 2022</t>
  </si>
  <si>
    <t>Jeffrey Elmore</t>
  </si>
  <si>
    <t>Joyce Yeung</t>
  </si>
  <si>
    <t>Deborah Dann</t>
  </si>
  <si>
    <t>Dave Biddlecombe</t>
  </si>
  <si>
    <t>Karen Skillings</t>
  </si>
  <si>
    <t>Claire Hannis</t>
  </si>
  <si>
    <t>Joanne Astle</t>
  </si>
  <si>
    <t>Ian Hardwick</t>
  </si>
  <si>
    <t>Paul Goby</t>
  </si>
  <si>
    <t>Richard Waterworth</t>
  </si>
  <si>
    <t>Commercial Shoot</t>
  </si>
  <si>
    <t>Dan Balme</t>
  </si>
  <si>
    <t>Macro and Abstract</t>
  </si>
  <si>
    <t>Anna Rokitowska</t>
  </si>
  <si>
    <t>linda smith</t>
  </si>
  <si>
    <t>2hr Evening/Wkend 1-2-1</t>
  </si>
  <si>
    <t>Christopher Box</t>
  </si>
  <si>
    <t>Nick Forman</t>
  </si>
  <si>
    <t>Anne Rimmer</t>
  </si>
  <si>
    <t>Aryfully Walls</t>
  </si>
  <si>
    <t>Shirley Lawton</t>
  </si>
  <si>
    <t>Sofia Hyde</t>
  </si>
  <si>
    <t>John Clare</t>
  </si>
  <si>
    <t>Balance for Batsford and Macro</t>
  </si>
  <si>
    <t>GSS Architecture</t>
  </si>
  <si>
    <t>GSS Architecture Portraits</t>
  </si>
  <si>
    <t>Mandy waters</t>
  </si>
  <si>
    <t>Edward Hart</t>
  </si>
  <si>
    <t>Karen L Skillings</t>
  </si>
  <si>
    <t>LR Beginners Course</t>
  </si>
  <si>
    <t>Andrew Palmer</t>
  </si>
  <si>
    <t>Judy Niner</t>
  </si>
  <si>
    <t>Gillian Henderson</t>
  </si>
  <si>
    <t>4wk Photography Course</t>
  </si>
  <si>
    <t>Philip Parsons</t>
  </si>
  <si>
    <t>Sian Pritchard</t>
  </si>
  <si>
    <t>Maxim Dobres</t>
  </si>
  <si>
    <t>Rory Brown</t>
  </si>
  <si>
    <t>Rachael Gabriel</t>
  </si>
  <si>
    <t>Hartland Quay Hotel</t>
  </si>
  <si>
    <t>Elaine Cash</t>
  </si>
  <si>
    <t>Rachel Davies</t>
  </si>
  <si>
    <t>Zoom Get Off Auti</t>
  </si>
  <si>
    <t>Christine Simmonds</t>
  </si>
  <si>
    <t>LC Chapman (David Bayley)</t>
  </si>
  <si>
    <t>Karen Sneddon</t>
  </si>
  <si>
    <t>Macro &amp; Abstract x 3</t>
  </si>
  <si>
    <t>Peter Hannis</t>
  </si>
  <si>
    <t>2 x 2hr 1-2-1 Zoom</t>
  </si>
  <si>
    <t>2hr 1-2-1 Zoom</t>
  </si>
  <si>
    <t>Zoom Composition</t>
  </si>
  <si>
    <t>Alice Cooper</t>
  </si>
  <si>
    <t>Garry Mumford</t>
  </si>
  <si>
    <t>5 x 2hr 1-2-1's Offer</t>
  </si>
  <si>
    <t>Oliver Gilbert</t>
  </si>
  <si>
    <t>Batsford Workshop</t>
  </si>
  <si>
    <t>Simon Harrison</t>
  </si>
  <si>
    <t>Burnham Workshop</t>
  </si>
  <si>
    <t>Jeanette Waters</t>
  </si>
  <si>
    <t>1hr Zoom 1-2-1</t>
  </si>
  <si>
    <t>Harriet Bowley</t>
  </si>
  <si>
    <t>Martin Ormerod</t>
  </si>
  <si>
    <t>James Parker</t>
  </si>
  <si>
    <t xml:space="preserve">Jeanette Waters </t>
  </si>
  <si>
    <t>Maria Iqbal</t>
  </si>
  <si>
    <t>Stuart Hubbard</t>
  </si>
  <si>
    <t>Bruce Hammersley</t>
  </si>
  <si>
    <t>Batsford 4 places</t>
  </si>
  <si>
    <t>Nigel Bailey</t>
  </si>
  <si>
    <t>1-2-1 1hr</t>
  </si>
  <si>
    <t>Deposit for Ireland</t>
  </si>
  <si>
    <t>Get off Auto Kenilworth</t>
  </si>
  <si>
    <t>Filters &amp; Bracketing Zoom</t>
  </si>
  <si>
    <t>Catherine Whitehouse</t>
  </si>
  <si>
    <t>Premium Mentoring</t>
  </si>
  <si>
    <t>Greeting Card Commission</t>
  </si>
  <si>
    <t>Karen Hoy</t>
  </si>
  <si>
    <t>Composition Zoom</t>
  </si>
  <si>
    <t>Camera Craft Zoom</t>
  </si>
  <si>
    <t>Get Off Auto Zoom</t>
  </si>
  <si>
    <t>Julie Nicholds</t>
  </si>
  <si>
    <t>Richard Jefferies</t>
  </si>
  <si>
    <t>Burnham LE Sunset</t>
  </si>
  <si>
    <t>Burnham LE Sunrise</t>
  </si>
  <si>
    <t>Darren Lee</t>
  </si>
  <si>
    <t>New Pick N Mix Payment</t>
  </si>
  <si>
    <t>Zoom 1-2-1 2hr</t>
  </si>
  <si>
    <t>Sandra Williams</t>
  </si>
  <si>
    <t>Zoom 1-2-1 1hr</t>
  </si>
  <si>
    <t>Sharon Hunt</t>
  </si>
  <si>
    <t>John Armstrong</t>
  </si>
  <si>
    <t>Face to Face 1-2-1</t>
  </si>
  <si>
    <t>Kirsty Wilkins</t>
  </si>
  <si>
    <t>RPS Extension</t>
  </si>
  <si>
    <t>Dominika Bartonova</t>
  </si>
  <si>
    <t>Zoom Get Off Auto</t>
  </si>
  <si>
    <t>John Stock</t>
  </si>
  <si>
    <t>Jane Stuart</t>
  </si>
  <si>
    <t>1-2-1 2hrs Weekday</t>
  </si>
  <si>
    <t>Ester Riordan</t>
  </si>
  <si>
    <t>Hartland Workshop</t>
  </si>
  <si>
    <t>Flick Haigh</t>
  </si>
  <si>
    <t>Jennifer Box</t>
  </si>
  <si>
    <t>Philip Martin</t>
  </si>
  <si>
    <t>Gavin Horrell</t>
  </si>
  <si>
    <t>Dorset Workshop</t>
  </si>
  <si>
    <t>Susan Johnson</t>
  </si>
  <si>
    <t>Andrew Harrison</t>
  </si>
  <si>
    <t>stuart brown</t>
  </si>
  <si>
    <t>Framed Print</t>
  </si>
  <si>
    <t>Richard Picton-Jones</t>
  </si>
  <si>
    <t>Ken Doyle</t>
  </si>
  <si>
    <t>Trevor Davis</t>
  </si>
  <si>
    <t>Aqefa Malik</t>
  </si>
  <si>
    <t>Sandy Woods</t>
  </si>
  <si>
    <t>Stacey Kania</t>
  </si>
  <si>
    <t>4 x2hr 1-2-1 Lessons</t>
  </si>
  <si>
    <t>Wendy Ching</t>
  </si>
  <si>
    <t>Amanda Graham</t>
  </si>
  <si>
    <t>Batsford &amp; pick n mix</t>
  </si>
  <si>
    <t>Satveer Dosanjh</t>
  </si>
  <si>
    <t>Christopher Stacey</t>
  </si>
  <si>
    <t xml:space="preserve">1hr 1-2-1 </t>
  </si>
  <si>
    <t>2 Print Sales</t>
  </si>
  <si>
    <t>Jane Robinson</t>
  </si>
  <si>
    <t>Sandy Andringa</t>
  </si>
  <si>
    <t>Marie Milwain</t>
  </si>
  <si>
    <t>Batsford Autumn</t>
  </si>
  <si>
    <t>Robert Darts</t>
  </si>
  <si>
    <t>Rajinder Johal</t>
  </si>
  <si>
    <t>Lisa King</t>
  </si>
  <si>
    <t>1-2-1 Norfolk</t>
  </si>
  <si>
    <t>Sally Wallace</t>
  </si>
  <si>
    <t>1hr 1-2-1 (Skype)</t>
  </si>
  <si>
    <t>Roberta Strambini</t>
  </si>
  <si>
    <t>Diensen Pamben</t>
  </si>
  <si>
    <t>Candida Edwards</t>
  </si>
  <si>
    <t>Gary Hillyer</t>
  </si>
  <si>
    <t>michaela puffett</t>
  </si>
  <si>
    <t>1hr 1-2-1 Lesson</t>
  </si>
  <si>
    <t>Nisha Jha</t>
  </si>
  <si>
    <t>Zoom - NIK 4</t>
  </si>
  <si>
    <t>Jan Tokar</t>
  </si>
  <si>
    <t>Food Photos</t>
  </si>
  <si>
    <t>Fred Cook</t>
  </si>
  <si>
    <t>5wk Beginners Photo Course</t>
  </si>
  <si>
    <t>Nicholas Brooks</t>
  </si>
  <si>
    <t>Maeving _ Sib</t>
  </si>
  <si>
    <t>Team Photo</t>
  </si>
  <si>
    <t>Zoom sessions x 4 x hrs</t>
  </si>
  <si>
    <t>Anglesey extra night B&amp;B</t>
  </si>
  <si>
    <t>Poppy Workshop</t>
  </si>
  <si>
    <t>Framing &amp; Prints</t>
  </si>
  <si>
    <t xml:space="preserve">Nick DeCianti </t>
  </si>
  <si>
    <t>John Wright</t>
  </si>
  <si>
    <t>Zoom - Get Off Auto</t>
  </si>
  <si>
    <t>Mariya Ranger</t>
  </si>
  <si>
    <t>Sara Wakil</t>
  </si>
  <si>
    <t>1-2-1 Anglesey</t>
  </si>
  <si>
    <t>John Frith</t>
  </si>
  <si>
    <t>Beginners Lightroom</t>
  </si>
  <si>
    <t>Wayne Wheeler</t>
  </si>
  <si>
    <t>4 x 2hrs 1-2-1 Tuition</t>
  </si>
  <si>
    <t>Sophie Pickersgill</t>
  </si>
  <si>
    <t>Zoom - Camera Craft</t>
  </si>
  <si>
    <t>Bluebells Workshop</t>
  </si>
  <si>
    <t>Asad Syed</t>
  </si>
  <si>
    <t>Sarah Neville</t>
  </si>
  <si>
    <t>Liz Clarkson</t>
  </si>
  <si>
    <t>Alexander Tweddell</t>
  </si>
  <si>
    <t>Con McHugh</t>
  </si>
  <si>
    <t>Alan Richardson</t>
  </si>
  <si>
    <t>Zoom - Bracketing</t>
  </si>
  <si>
    <t>Sarah Pearce</t>
  </si>
  <si>
    <t>Gill Tween</t>
  </si>
  <si>
    <t>Laura Gosling</t>
  </si>
  <si>
    <t>Woodland Photo Walk</t>
  </si>
  <si>
    <t>Linda Neal</t>
  </si>
  <si>
    <t>Judith Fleming</t>
  </si>
  <si>
    <t>3 Days 1-2-1</t>
  </si>
  <si>
    <t>Balvinder Gill</t>
  </si>
  <si>
    <t>Celia Pearce</t>
  </si>
  <si>
    <t>Chesterton Windmill</t>
  </si>
  <si>
    <t>Beverly Bottomley</t>
  </si>
  <si>
    <t>Susie Johnston</t>
  </si>
  <si>
    <t>Catherine Githu</t>
  </si>
  <si>
    <t>Zoom - Composition</t>
  </si>
  <si>
    <t>Lynne Gavin</t>
  </si>
  <si>
    <t>Elaine Castleford</t>
  </si>
  <si>
    <t>Colin Perry</t>
  </si>
  <si>
    <t>Anglesey + Betsy Co-ed</t>
  </si>
  <si>
    <t>Nina Martyres</t>
  </si>
  <si>
    <t>Judith Leaper</t>
  </si>
  <si>
    <t>Dennis Jeffrey</t>
  </si>
  <si>
    <t>Roddy Maddocks</t>
  </si>
  <si>
    <t>Anita Davies</t>
  </si>
  <si>
    <t>John Grant</t>
  </si>
  <si>
    <t>Janice New PicknMix</t>
  </si>
  <si>
    <t>Sam Reid</t>
  </si>
  <si>
    <t>Transfer from 1-2-1</t>
  </si>
  <si>
    <t>Joyce James</t>
  </si>
  <si>
    <t>Neil Partridge</t>
  </si>
  <si>
    <t>Nadejda Williams</t>
  </si>
  <si>
    <t>3 Mentoring Assignments</t>
  </si>
  <si>
    <t>Stacey Hammond</t>
  </si>
  <si>
    <t>Maureen McFadden</t>
  </si>
  <si>
    <t>Zoom Camera Craft</t>
  </si>
  <si>
    <t>1-2-1 Tuition for 2021</t>
  </si>
  <si>
    <t>Rhian Hayes</t>
  </si>
  <si>
    <t>Zoom Getting Started LR</t>
  </si>
  <si>
    <t>1 Month Mini Project</t>
  </si>
  <si>
    <t>Zoom Camera Composition</t>
  </si>
  <si>
    <t>Kim Cunningham</t>
  </si>
  <si>
    <t>solange Omanyondo</t>
  </si>
  <si>
    <t>Copyright Claim</t>
  </si>
  <si>
    <t xml:space="preserve">David Andringa </t>
  </si>
  <si>
    <t>Zoom B&amp;W</t>
  </si>
  <si>
    <t>Zoom Classes</t>
  </si>
  <si>
    <t>Lee Martin</t>
  </si>
  <si>
    <t>Zooom 2hr 1-2-1</t>
  </si>
  <si>
    <t>Daren Baker</t>
  </si>
  <si>
    <t>Zoom Bracketing &amp; Filters</t>
  </si>
  <si>
    <t>PC Support</t>
  </si>
  <si>
    <t>jacki rosin</t>
  </si>
  <si>
    <t>Heart Of Garden</t>
  </si>
  <si>
    <t>Greeting Card Royalties</t>
  </si>
  <si>
    <t>Anita davies</t>
  </si>
  <si>
    <t>Composition Zoom Class</t>
  </si>
  <si>
    <t>Monthly Photo Critique</t>
  </si>
  <si>
    <t>Kim Walton-Evans</t>
  </si>
  <si>
    <t>Julie Walton-Evans</t>
  </si>
  <si>
    <t>Megan Greene</t>
  </si>
  <si>
    <t xml:space="preserve">Emma Leech </t>
  </si>
  <si>
    <t>Heather Audley</t>
  </si>
  <si>
    <t>Karen D’Agostino</t>
  </si>
  <si>
    <t>Zoom 2hr 1-2-1 x 5</t>
  </si>
  <si>
    <t>Kirsty Eydmann</t>
  </si>
  <si>
    <t>Sarah Perkins</t>
  </si>
  <si>
    <t xml:space="preserve">LC Chapman </t>
  </si>
  <si>
    <t>Zoom Monthly Critique</t>
  </si>
  <si>
    <t>Steven Rawson</t>
  </si>
  <si>
    <t xml:space="preserve">Sam Reid </t>
  </si>
  <si>
    <t>Camera Craft - Zoom</t>
  </si>
  <si>
    <t>George Hughes</t>
  </si>
  <si>
    <t>RPS Course Balance</t>
  </si>
  <si>
    <t>Royston Lee</t>
  </si>
  <si>
    <t>Doug D'Aubrey</t>
  </si>
  <si>
    <t>TY</t>
  </si>
  <si>
    <t>2020/21</t>
  </si>
  <si>
    <t>2017/18</t>
  </si>
  <si>
    <t>Grant Harbert</t>
  </si>
  <si>
    <t>Lightroom Course ?</t>
  </si>
  <si>
    <t xml:space="preserve">Catherine Walne-Pennington </t>
  </si>
  <si>
    <t>2 x Beginners Course</t>
  </si>
  <si>
    <t>Adrian Platt</t>
  </si>
  <si>
    <t>Adrian Willcock - ELS</t>
  </si>
  <si>
    <t>TBA - 5wk Course Adrian to Pay</t>
  </si>
  <si>
    <t>Geroge Hughes</t>
  </si>
  <si>
    <t xml:space="preserve">Maria </t>
  </si>
  <si>
    <t>Photo &amp; LR Courses</t>
  </si>
  <si>
    <t>Dee Valley</t>
  </si>
  <si>
    <t>Variance to 2019</t>
  </si>
  <si>
    <t>W-Play</t>
  </si>
  <si>
    <t>reid</t>
  </si>
  <si>
    <t>A Ranger</t>
  </si>
  <si>
    <t>Zoom Webinar</t>
  </si>
  <si>
    <t>Justine Cope</t>
  </si>
  <si>
    <t>5 week Beginners Course</t>
  </si>
  <si>
    <t>Pamela Stacey</t>
  </si>
  <si>
    <t>Chris Dean</t>
  </si>
  <si>
    <t>Nadia Spence</t>
  </si>
  <si>
    <t>Sharon Read</t>
  </si>
  <si>
    <t xml:space="preserve">Matt Jarvis </t>
  </si>
  <si>
    <t>2hrs Zoom 1-2-1</t>
  </si>
  <si>
    <t>Pixsy Case Payout</t>
  </si>
  <si>
    <t>RICAHRD JOHNSON</t>
  </si>
  <si>
    <t>Richard Stenson</t>
  </si>
  <si>
    <t>Blubells Workshop</t>
  </si>
  <si>
    <t>Sally Nixon</t>
  </si>
  <si>
    <t>4wk Lightroom Course</t>
  </si>
  <si>
    <t xml:space="preserve">Heather Audley </t>
  </si>
  <si>
    <t>Online 1-2-1</t>
  </si>
  <si>
    <t xml:space="preserve">Megan Greene </t>
  </si>
  <si>
    <t>Davina Haw</t>
  </si>
  <si>
    <t>Lisa French</t>
  </si>
  <si>
    <t>karen Hillyer</t>
  </si>
  <si>
    <t xml:space="preserve">Sara Dogruca </t>
  </si>
  <si>
    <t>Claire Broader</t>
  </si>
  <si>
    <t>Anglesey Workshop</t>
  </si>
  <si>
    <t xml:space="preserve">Dennis Jeffrey </t>
  </si>
  <si>
    <t>Outdoor 1-2-1</t>
  </si>
  <si>
    <t>Janet Biulter</t>
  </si>
  <si>
    <t>Jessica Friend</t>
  </si>
  <si>
    <t>Mary Sefton</t>
  </si>
  <si>
    <t>Greg Lomas</t>
  </si>
  <si>
    <t>Kate Stock</t>
  </si>
  <si>
    <t>Michaela Puffett</t>
  </si>
  <si>
    <t>Support</t>
  </si>
  <si>
    <t>Sioda Adams</t>
  </si>
  <si>
    <t>Daniel Carnio</t>
  </si>
  <si>
    <t>1hr Online 1-2-1</t>
  </si>
  <si>
    <t>2hr Online 1-2-1</t>
  </si>
  <si>
    <t>Wendy Czogalik</t>
  </si>
  <si>
    <t xml:space="preserve">Marian Dubovsky </t>
  </si>
  <si>
    <t>Husam Fakhry</t>
  </si>
  <si>
    <t>Robert Earl</t>
  </si>
  <si>
    <t>Sian Humphreys</t>
  </si>
  <si>
    <t>Keith Fryer</t>
  </si>
  <si>
    <t>Batsford Rebookimg Fee</t>
  </si>
  <si>
    <t>Charles Ashton</t>
  </si>
  <si>
    <t>Sarah Green</t>
  </si>
  <si>
    <t>Victoria Dovey</t>
  </si>
  <si>
    <t>Nick Brown</t>
  </si>
  <si>
    <t>Neslihan Ozkan</t>
  </si>
  <si>
    <t>Lauren Lea</t>
  </si>
  <si>
    <t xml:space="preserve">Brian Kerley </t>
  </si>
  <si>
    <t>dennis Jeffrey</t>
  </si>
  <si>
    <t>online '1-2-1</t>
  </si>
  <si>
    <t>Simon Dunscombe</t>
  </si>
  <si>
    <t>Gillian Tween</t>
  </si>
  <si>
    <t>Lauren Macdonald</t>
  </si>
  <si>
    <t>marie-claire davies</t>
  </si>
  <si>
    <t>Helen Hughes</t>
  </si>
  <si>
    <t>2 x Batsford</t>
  </si>
  <si>
    <t>claudia windley</t>
  </si>
  <si>
    <t>Rebooking Fee Photo Course</t>
  </si>
  <si>
    <t>Sam Warner</t>
  </si>
  <si>
    <t>Sharon Miles</t>
  </si>
  <si>
    <t>Anja Smith</t>
  </si>
  <si>
    <t>Monica Vaness</t>
  </si>
  <si>
    <t>Janet Towers</t>
  </si>
  <si>
    <t>Alan Harris</t>
  </si>
  <si>
    <t>Brian Kerley</t>
  </si>
  <si>
    <t>Nigel Plant</t>
  </si>
  <si>
    <t>Kate Torrens</t>
  </si>
  <si>
    <t>Deposit Dee Valley</t>
  </si>
  <si>
    <t>4 x 2hr - 1-2-1's</t>
  </si>
  <si>
    <t>Sue Wadham</t>
  </si>
  <si>
    <t>Caroline Lamb</t>
  </si>
  <si>
    <t>J Avril Macpherson</t>
  </si>
  <si>
    <t>Print of Coventry</t>
  </si>
  <si>
    <t>barrie foster</t>
  </si>
  <si>
    <t>Woodlnd Walk</t>
  </si>
  <si>
    <t>Claire Mcbrearty</t>
  </si>
  <si>
    <t>Dennis Jeffries</t>
  </si>
  <si>
    <t>Shirley Murray</t>
  </si>
  <si>
    <t>Beginners Course Kenilworth</t>
  </si>
  <si>
    <t>JANE BERRISFORD</t>
  </si>
  <si>
    <t>Staffan Chave</t>
  </si>
  <si>
    <t>North Yorkshire</t>
  </si>
  <si>
    <t>derek robbins</t>
  </si>
  <si>
    <t>Ian Mitchell</t>
  </si>
  <si>
    <t>Peter Williams</t>
  </si>
  <si>
    <t>Devon Workshop</t>
  </si>
  <si>
    <t>Michelle Arnott</t>
  </si>
  <si>
    <t>Sue Pankhurst</t>
  </si>
  <si>
    <t>Sally Nicon</t>
  </si>
  <si>
    <t>Dylan Montell</t>
  </si>
  <si>
    <t>Katherine Sibley</t>
  </si>
  <si>
    <t>Chris Parker</t>
  </si>
  <si>
    <t>adin hammond</t>
  </si>
  <si>
    <t>Husna Pudussery</t>
  </si>
  <si>
    <t>1-2-1 Outdoors</t>
  </si>
  <si>
    <t>Lian Horan</t>
  </si>
  <si>
    <t>Ian Harrop</t>
  </si>
  <si>
    <t>LE Night Workshop</t>
  </si>
  <si>
    <t>Kirsten  Pearce</t>
  </si>
  <si>
    <t>Alison Taylor</t>
  </si>
  <si>
    <t>oluwakemi osunlana</t>
  </si>
  <si>
    <t>4 x 2hr Lessons</t>
  </si>
  <si>
    <t>Georgina Thorley</t>
  </si>
  <si>
    <t>1-2-1 Location T&amp;E</t>
  </si>
  <si>
    <t>jeanette wilson</t>
  </si>
  <si>
    <t>Odette Green</t>
  </si>
  <si>
    <t>1-2-1 Location</t>
  </si>
  <si>
    <t xml:space="preserve">Ash Routen </t>
  </si>
  <si>
    <t>Webinar</t>
  </si>
  <si>
    <t>Andrew Thomson</t>
  </si>
  <si>
    <t>Ann Gribble</t>
  </si>
  <si>
    <t xml:space="preserve">John Grant </t>
  </si>
  <si>
    <t>Roderick Maddocks</t>
  </si>
  <si>
    <t>1-2-1 online</t>
  </si>
  <si>
    <t>Jack Rosin</t>
  </si>
  <si>
    <t>1-2-1 Package</t>
  </si>
  <si>
    <t>Pick n Mix June</t>
  </si>
  <si>
    <t>Mentoring June</t>
  </si>
  <si>
    <t>Sean Bruen</t>
  </si>
  <si>
    <t xml:space="preserve">Graham Giblett </t>
  </si>
  <si>
    <t>Outdoor Practical</t>
  </si>
  <si>
    <t>Janet Roberts</t>
  </si>
  <si>
    <t>Justine Meaden</t>
  </si>
  <si>
    <t>Jo Heath</t>
  </si>
  <si>
    <t>Charlotte Isaac</t>
  </si>
  <si>
    <t>Pick n Mix May</t>
  </si>
  <si>
    <t>Mentoring May</t>
  </si>
  <si>
    <t>Jacqueline Jenkin</t>
  </si>
  <si>
    <t>Chris Johnson</t>
  </si>
  <si>
    <t xml:space="preserve">Georgina Hughes </t>
  </si>
  <si>
    <t>Christopher Burnard</t>
  </si>
  <si>
    <t xml:space="preserve">Ina Wilkening </t>
  </si>
  <si>
    <t>Myhomeware</t>
  </si>
  <si>
    <t>Tuition for products</t>
  </si>
  <si>
    <t>Laura Bailey</t>
  </si>
  <si>
    <t>Robert Griffiths</t>
  </si>
  <si>
    <t>Chris Burnard</t>
  </si>
  <si>
    <t>Pick n Mix March</t>
  </si>
  <si>
    <t>Mentoring March</t>
  </si>
  <si>
    <t>Paypal</t>
  </si>
  <si>
    <t>Dunstan Vavasour</t>
  </si>
  <si>
    <t>A J Seely</t>
  </si>
  <si>
    <t>Roger Neal</t>
  </si>
  <si>
    <t>Ina Wilkening</t>
  </si>
  <si>
    <t>Online Tuition x 2</t>
  </si>
  <si>
    <t>Jade Kew</t>
  </si>
  <si>
    <t>sam stacey</t>
  </si>
  <si>
    <t>James Hughes</t>
  </si>
  <si>
    <t>Carol Hogg</t>
  </si>
  <si>
    <t>HUMAYOUN KHAN</t>
  </si>
  <si>
    <t>Neil Smith</t>
  </si>
  <si>
    <t>Heart of Garden</t>
  </si>
  <si>
    <t>Greeting Card Sales</t>
  </si>
  <si>
    <t>HR Tween</t>
  </si>
  <si>
    <t>Hermon Mehari</t>
  </si>
  <si>
    <t>Joy Gale</t>
  </si>
  <si>
    <t>Clare Louise</t>
  </si>
  <si>
    <t>Catherine Wood</t>
  </si>
  <si>
    <t>Jean Dance</t>
  </si>
  <si>
    <t>Ms D Davis</t>
  </si>
  <si>
    <t>4 x2hr 1-2-1 Sessions</t>
  </si>
  <si>
    <t>Chesterton Workshop</t>
  </si>
  <si>
    <t>Bethan Lee</t>
  </si>
  <si>
    <t>Jennifer Loh</t>
  </si>
  <si>
    <t>victoria mitchell</t>
  </si>
  <si>
    <t>signe frei</t>
  </si>
  <si>
    <t>Sheila Semple</t>
  </si>
  <si>
    <t>Chesterton Print</t>
  </si>
  <si>
    <t>Albert Tonks</t>
  </si>
  <si>
    <t>Sue Chambers</t>
  </si>
  <si>
    <t>Robert Ellis</t>
  </si>
  <si>
    <t>Susan Young</t>
  </si>
  <si>
    <t>LE Workshop March</t>
  </si>
  <si>
    <t xml:space="preserve">Maria Naeem </t>
  </si>
  <si>
    <t>lauren lea</t>
  </si>
  <si>
    <t>Jayne Dalziel</t>
  </si>
  <si>
    <t>Michael Reveley</t>
  </si>
  <si>
    <t>Mahendra Dabhi</t>
  </si>
  <si>
    <t>Feb Pick N Mix</t>
  </si>
  <si>
    <t>Feb Mentoring</t>
  </si>
  <si>
    <t>Victoria Mitchell</t>
  </si>
  <si>
    <t>Judith Mounfield</t>
  </si>
  <si>
    <t>Natalie Pouyiouros</t>
  </si>
  <si>
    <t>Bluebell Woodlands</t>
  </si>
  <si>
    <t>Mo Bradley</t>
  </si>
  <si>
    <t>Architecture Workshop</t>
  </si>
  <si>
    <t>Janet Mills</t>
  </si>
  <si>
    <t>neil evans</t>
  </si>
  <si>
    <t>4 x 2hr '1-2-1s</t>
  </si>
  <si>
    <t>Meghan Mitchell</t>
  </si>
  <si>
    <t>MIKE CARROLL-ROBERTS</t>
  </si>
  <si>
    <t>Christine Harrop</t>
  </si>
  <si>
    <t>Steffan Chase</t>
  </si>
  <si>
    <t>1hr '1'2'1'</t>
  </si>
  <si>
    <t>Anthony Nicholls</t>
  </si>
  <si>
    <t>Portraits Class</t>
  </si>
  <si>
    <t>Joy Allford</t>
  </si>
  <si>
    <t>Ireland</t>
  </si>
  <si>
    <t>Molly Chenery</t>
  </si>
  <si>
    <t>Bob Griffiths</t>
  </si>
  <si>
    <t>Graham Ibbeston</t>
  </si>
  <si>
    <t>Sian O'Neill</t>
  </si>
  <si>
    <t>kamaljit mattu</t>
  </si>
  <si>
    <t>gabrielle Smith</t>
  </si>
  <si>
    <t>Ben Clarkson</t>
  </si>
  <si>
    <t>2hr '1-2-1 LR</t>
  </si>
  <si>
    <t>Erika Thompson</t>
  </si>
  <si>
    <t>Helen Maddison</t>
  </si>
  <si>
    <t>Jan Pick N Mix</t>
  </si>
  <si>
    <t>Jan Mentoring</t>
  </si>
  <si>
    <t>Var</t>
  </si>
  <si>
    <t>A.PM</t>
  </si>
  <si>
    <t>Lynn McIlhone &lt;lmcilhone@blueyonder.co.uk&gt;</t>
  </si>
  <si>
    <t>Bluebells 2020</t>
  </si>
  <si>
    <t>7. Gift Vouchers</t>
  </si>
  <si>
    <t>8. Prints &amp; Royalties</t>
  </si>
  <si>
    <t>9. Commissions</t>
  </si>
  <si>
    <t>10. Other</t>
  </si>
  <si>
    <t>Year 4</t>
  </si>
  <si>
    <t>Avg Forecast</t>
  </si>
  <si>
    <t>Variance to 2018</t>
  </si>
  <si>
    <t>Dingle, Ireland</t>
  </si>
  <si>
    <t>7. Other</t>
  </si>
  <si>
    <t>Dingle Ireland</t>
  </si>
  <si>
    <t>TBA - 5wk Course</t>
  </si>
  <si>
    <t>John Perks</t>
  </si>
  <si>
    <t>Lightroom and RPS</t>
  </si>
  <si>
    <t>Gary Kirk &lt;gary.kirk@matherjamie.co.uk&gt;</t>
  </si>
  <si>
    <t>Paul Inman</t>
  </si>
  <si>
    <t>Melanie Radcliffe</t>
  </si>
  <si>
    <t>Nicole de Jong</t>
  </si>
  <si>
    <t>Clare Anderson</t>
  </si>
  <si>
    <t>Susan Gaffney</t>
  </si>
  <si>
    <t>Janet Tucker</t>
  </si>
  <si>
    <t>1 Day Workshop ?</t>
  </si>
  <si>
    <t>Georgina Smith</t>
  </si>
  <si>
    <t>Peter Trend</t>
  </si>
  <si>
    <t>Pixsy Resolution</t>
  </si>
  <si>
    <t>Poppy Copyright</t>
  </si>
  <si>
    <t>Alia Fahmy</t>
  </si>
  <si>
    <t>James Morrell</t>
  </si>
  <si>
    <t>Nuria Alonso</t>
  </si>
  <si>
    <t>Peter Jordan</t>
  </si>
  <si>
    <t>Mandy Earl</t>
  </si>
  <si>
    <t>James Muldoon</t>
  </si>
  <si>
    <t>Ann Marie Howarth</t>
  </si>
  <si>
    <t>Elizabeth Kenny</t>
  </si>
  <si>
    <t>JUSTINA PRYTULA</t>
  </si>
  <si>
    <t>Poppy Field Sunrise</t>
  </si>
  <si>
    <t>Siobhan Hoyes</t>
  </si>
  <si>
    <t xml:space="preserve">Sunflowers Sunrise </t>
  </si>
  <si>
    <t>Sunflowers Sunrise</t>
  </si>
  <si>
    <t>andrew wallace</t>
  </si>
  <si>
    <t>charlie budd</t>
  </si>
  <si>
    <t>Sheila Grant</t>
  </si>
  <si>
    <t>Christmas Photowalk</t>
  </si>
  <si>
    <t>J Puzey</t>
  </si>
  <si>
    <t>2 x 2.hr workshops</t>
  </si>
  <si>
    <t>Will Carr</t>
  </si>
  <si>
    <t>John Seely</t>
  </si>
  <si>
    <t>Web Dev Support</t>
  </si>
  <si>
    <t>elizabeth avery</t>
  </si>
  <si>
    <t>Dec Pick N Mix</t>
  </si>
  <si>
    <t>Dec Mentoring</t>
  </si>
  <si>
    <t>Ann Parker</t>
  </si>
  <si>
    <t>Tony Humphreys</t>
  </si>
  <si>
    <t>4 x 1-2-1 Balance</t>
  </si>
  <si>
    <t>Sarah Yeo</t>
  </si>
  <si>
    <t>Robert David Halliday</t>
  </si>
  <si>
    <t>Daran Millward</t>
  </si>
  <si>
    <t>Neil Best</t>
  </si>
  <si>
    <t>Peak District - 1 Day</t>
  </si>
  <si>
    <t>Lian Hora</t>
  </si>
  <si>
    <t>Better Portraits Workshop</t>
  </si>
  <si>
    <t>Malcolm Richardson</t>
  </si>
  <si>
    <t>Michael McHugh</t>
  </si>
  <si>
    <t>Steve Carroll</t>
  </si>
  <si>
    <t>4 x 1-2-1</t>
  </si>
  <si>
    <t>New Monthly PnM Plan</t>
  </si>
  <si>
    <t>Stratford Xmas Sparkle</t>
  </si>
  <si>
    <t>Matt Weston</t>
  </si>
  <si>
    <t>David McGuire ELS</t>
  </si>
  <si>
    <t>Arthur Masters ELS</t>
  </si>
  <si>
    <t>Pete Rooney</t>
  </si>
  <si>
    <t>Abstract &amp; Macro</t>
  </si>
  <si>
    <t xml:space="preserve"> Dingle Ireland </t>
  </si>
  <si>
    <t>Scott Bremner ELS</t>
  </si>
  <si>
    <t>Workshop TBA</t>
  </si>
  <si>
    <t>Paul Wiles ELS</t>
  </si>
  <si>
    <t>Pauline Jordan</t>
  </si>
  <si>
    <t>arthur masters</t>
  </si>
  <si>
    <t>Janet Richards</t>
  </si>
  <si>
    <t>Nov Pick N Mix</t>
  </si>
  <si>
    <t>Nov Mentoring</t>
  </si>
  <si>
    <t>Abbie Watts</t>
  </si>
  <si>
    <t>Online Beginners Course</t>
  </si>
  <si>
    <t>Beginners Lightroom Course</t>
  </si>
  <si>
    <t>David Green</t>
  </si>
  <si>
    <t>Claire Hughes</t>
  </si>
  <si>
    <t>Autumn Batsford</t>
  </si>
  <si>
    <t>Ricard Jeffries</t>
  </si>
  <si>
    <t>Richard Peacey</t>
  </si>
  <si>
    <t>Sue Walkland</t>
  </si>
  <si>
    <t>David Cluley</t>
  </si>
  <si>
    <t>Alison Read</t>
  </si>
  <si>
    <t>TKC - Prints</t>
  </si>
  <si>
    <t>8 Framed Prints</t>
  </si>
  <si>
    <t>Trevor Withell</t>
  </si>
  <si>
    <t>Oct Pick N Mix</t>
  </si>
  <si>
    <t>Oct Mentoring</t>
  </si>
  <si>
    <t>Phil O'Grady</t>
  </si>
  <si>
    <t>Intermediates Photography</t>
  </si>
  <si>
    <t>Michael Payne</t>
  </si>
  <si>
    <t>Iain Turnbull</t>
  </si>
  <si>
    <t>Devon Aug 2020</t>
  </si>
  <si>
    <t>Gift Card Redemption</t>
  </si>
  <si>
    <t>Michael Revelery</t>
  </si>
  <si>
    <t>LR Mac Migration</t>
  </si>
  <si>
    <t>Maureen Bradley</t>
  </si>
  <si>
    <t xml:space="preserve">Ester </t>
  </si>
  <si>
    <t>Jane</t>
  </si>
  <si>
    <t>Diana</t>
  </si>
  <si>
    <t>amanda percival</t>
  </si>
  <si>
    <t>Intentions Course</t>
  </si>
  <si>
    <t>Jacqueline Harley</t>
  </si>
  <si>
    <t>pardeep atwal</t>
  </si>
  <si>
    <t>Nant Mill 16 Nov</t>
  </si>
  <si>
    <t>stephen meadows</t>
  </si>
  <si>
    <t>Northumbria 1 day tuition</t>
  </si>
  <si>
    <t>2hrs '1-2-1</t>
  </si>
  <si>
    <t>Hannah Turnbull</t>
  </si>
  <si>
    <t>4wk Beginners Photo Course</t>
  </si>
  <si>
    <t>ester Riordan</t>
  </si>
  <si>
    <t>Martine Parkes</t>
  </si>
  <si>
    <t>Sep Pick N Mix</t>
  </si>
  <si>
    <t>Sep Mentoring</t>
  </si>
  <si>
    <t xml:space="preserve"> 5 week beginners course </t>
  </si>
  <si>
    <t>michaela corrin</t>
  </si>
  <si>
    <t>5wk Beginners Course Sep</t>
  </si>
  <si>
    <t>William Love</t>
  </si>
  <si>
    <t>Keiren Nicholls</t>
  </si>
  <si>
    <t>Woodland Walk Nov</t>
  </si>
  <si>
    <t>Julie Sharman</t>
  </si>
  <si>
    <t>5wk Beginners Course Oct</t>
  </si>
  <si>
    <t>Alan Barth</t>
  </si>
  <si>
    <t>5 week beginners course</t>
  </si>
  <si>
    <t>Norman Lowe</t>
  </si>
  <si>
    <t>Sunflowers Workshop</t>
  </si>
  <si>
    <t>Intentiosn Course</t>
  </si>
  <si>
    <t>Jeff Hargreaves</t>
  </si>
  <si>
    <t>New Pick N Mix Plan</t>
  </si>
  <si>
    <t>Jane Sahaslan</t>
  </si>
  <si>
    <t>Sunflowers</t>
  </si>
  <si>
    <t>Richard A Jefferies</t>
  </si>
  <si>
    <t>Zoe Todd</t>
  </si>
  <si>
    <t>Batsford autumn</t>
  </si>
  <si>
    <t>Nadine Pratt</t>
  </si>
  <si>
    <t>w Anthony</t>
  </si>
  <si>
    <t>Woodland Walk Sep</t>
  </si>
  <si>
    <t>Hannah Dixon</t>
  </si>
  <si>
    <t>Get Offr Auto</t>
  </si>
  <si>
    <t>Aug Pick N Mix</t>
  </si>
  <si>
    <t>Aug Mentoring</t>
  </si>
  <si>
    <t>Charlotte Farthing</t>
  </si>
  <si>
    <t>Mary MacDonald</t>
  </si>
  <si>
    <t>Elwyn Coombes</t>
  </si>
  <si>
    <t>Batsford Macro</t>
  </si>
  <si>
    <t>Pixsy Image Resolution</t>
  </si>
  <si>
    <t>Zita Balogh</t>
  </si>
  <si>
    <t>1-2-1 Session</t>
  </si>
  <si>
    <t>Emma Moxon</t>
  </si>
  <si>
    <t>Dreams Joinery</t>
  </si>
  <si>
    <t>Robert Hull</t>
  </si>
  <si>
    <t>Intermediates Intentions</t>
  </si>
  <si>
    <t>Intermediates LR</t>
  </si>
  <si>
    <t>Qtrly Pick N Mix Plan</t>
  </si>
  <si>
    <t>Annika Öhman</t>
  </si>
  <si>
    <t>Top Up SO</t>
  </si>
  <si>
    <t xml:space="preserve">Caroline Temple </t>
  </si>
  <si>
    <t>Maco Workshop</t>
  </si>
  <si>
    <t>Lightroom Tuition</t>
  </si>
  <si>
    <t>New Pick n Mix Plan</t>
  </si>
  <si>
    <t>Dingle - Ireland</t>
  </si>
  <si>
    <t>1-2-1 Staffan</t>
  </si>
  <si>
    <t>July Pick N Mix</t>
  </si>
  <si>
    <t>July Mentoring</t>
  </si>
  <si>
    <t>Lake District Workshop</t>
  </si>
  <si>
    <t>Anglesey Extra Night</t>
  </si>
  <si>
    <t>Rosy Hopkins</t>
  </si>
  <si>
    <t>Ian Blake ELS</t>
  </si>
  <si>
    <t>Extra Night B&amp;B Anglesey</t>
  </si>
  <si>
    <t>Frank Lovett</t>
  </si>
  <si>
    <t>Sunflower sunrise</t>
  </si>
  <si>
    <t>Peak Dist Sunset</t>
  </si>
  <si>
    <t>Lavender Sunset/Sunrise</t>
  </si>
  <si>
    <t>Neill Smith</t>
  </si>
  <si>
    <t>1-2-1 Tuition</t>
  </si>
  <si>
    <t>Anglesey x 2 Places</t>
  </si>
  <si>
    <t>Fairy Glen x 2 Places</t>
  </si>
  <si>
    <t>Laura Beales</t>
  </si>
  <si>
    <t>Zenfolio Prints</t>
  </si>
  <si>
    <t>Johanna Stanssfield</t>
  </si>
  <si>
    <t>Alan Cross</t>
  </si>
  <si>
    <t>Sheree Kennedy</t>
  </si>
  <si>
    <t>Debbie Lynne</t>
  </si>
  <si>
    <t>4wk Extended Course</t>
  </si>
  <si>
    <t>jodie Munn</t>
  </si>
  <si>
    <t>5 Wk Beginners Course</t>
  </si>
  <si>
    <t>Mariola Machelska</t>
  </si>
  <si>
    <t>Adriana Wills</t>
  </si>
  <si>
    <t>June Pick N Mix</t>
  </si>
  <si>
    <t>JuneMentoring</t>
  </si>
  <si>
    <t>chris brain</t>
  </si>
  <si>
    <t>Rachel Carson</t>
  </si>
  <si>
    <t>Vincenzo Albano</t>
  </si>
  <si>
    <t>Magdalena Osojca</t>
  </si>
  <si>
    <t>Alex Sampson</t>
  </si>
  <si>
    <t>Madelaine Davies</t>
  </si>
  <si>
    <t>Anurita De</t>
  </si>
  <si>
    <t>Frederick Stubbs</t>
  </si>
  <si>
    <t>david kearns</t>
  </si>
  <si>
    <t>MAHENDRA DABHI</t>
  </si>
  <si>
    <t>121's on LR</t>
  </si>
  <si>
    <t>Laura Davies</t>
  </si>
  <si>
    <t>Marilyn Peddle</t>
  </si>
  <si>
    <t>Lavendar Shoot</t>
  </si>
  <si>
    <t>David Shemilt</t>
  </si>
  <si>
    <t>4 x 2hr 1-2-1 Sessions</t>
  </si>
  <si>
    <t>Beginners Course Soli</t>
  </si>
  <si>
    <t>James C Gibbs</t>
  </si>
  <si>
    <t>Lesley-Ann Collins</t>
  </si>
  <si>
    <t>May Pick N Mix</t>
  </si>
  <si>
    <t>May Mentoring</t>
  </si>
  <si>
    <t>Heather Powell</t>
  </si>
  <si>
    <t>Lightroom Course Ext</t>
  </si>
  <si>
    <t>Francis Peckham</t>
  </si>
  <si>
    <t>Jason Bevis</t>
  </si>
  <si>
    <t>Ashleigh Hayes</t>
  </si>
  <si>
    <t>5 wk Beginners Course</t>
  </si>
  <si>
    <t>Toby Phillips</t>
  </si>
  <si>
    <t>LR Course Soli</t>
  </si>
  <si>
    <t>Darren Isaac</t>
  </si>
  <si>
    <t>Burnham Sunset</t>
  </si>
  <si>
    <t>James Lynch</t>
  </si>
  <si>
    <t>New PnM Plan</t>
  </si>
  <si>
    <t>Emma Fellows</t>
  </si>
  <si>
    <t>Amelia</t>
  </si>
  <si>
    <t>Glenys Seal</t>
  </si>
  <si>
    <t>Beginners Photo Batsford</t>
  </si>
  <si>
    <t>Michele Harrison</t>
  </si>
  <si>
    <t>Diana Woodhouse</t>
  </si>
  <si>
    <t>ESTER RIORDAN</t>
  </si>
  <si>
    <t>4 for 3 - 1-2-1 Lessons</t>
  </si>
  <si>
    <t>Sarah Sharland</t>
  </si>
  <si>
    <t>Wendy Anthony</t>
  </si>
  <si>
    <t>Yousef Alyamani</t>
  </si>
  <si>
    <t>Chetserton Windmill Shoots</t>
  </si>
  <si>
    <t>Jane Martindale</t>
  </si>
  <si>
    <t>Matthew Ismail</t>
  </si>
  <si>
    <t>Batsford Composition Class</t>
  </si>
  <si>
    <t>Lightroom Introduction</t>
  </si>
  <si>
    <t>Jennifer Bpx</t>
  </si>
  <si>
    <t>Steve Cole</t>
  </si>
  <si>
    <t>Fiona Brown</t>
  </si>
  <si>
    <t>Tina Cox</t>
  </si>
  <si>
    <t>Ruth Hawkins</t>
  </si>
  <si>
    <t>Helen sotheran</t>
  </si>
  <si>
    <t>PickNMix Plan</t>
  </si>
  <si>
    <t>Apr Pick N Mix</t>
  </si>
  <si>
    <t>Apr Mentoring</t>
  </si>
  <si>
    <t>William Shearer</t>
  </si>
  <si>
    <t>Joanna Heath</t>
  </si>
  <si>
    <t xml:space="preserve">2.5hrs Betws y coed </t>
  </si>
  <si>
    <t>Andrew Ham</t>
  </si>
  <si>
    <t>Fiona Adams</t>
  </si>
  <si>
    <t>Coventry Urban</t>
  </si>
  <si>
    <t>Beginners Photo Soli</t>
  </si>
  <si>
    <t>Louise Cowlishaw</t>
  </si>
  <si>
    <t>Janie Chapman</t>
  </si>
  <si>
    <t>1-2-1 LR</t>
  </si>
  <si>
    <t>Julie Dean</t>
  </si>
  <si>
    <t>Melanie Smith</t>
  </si>
  <si>
    <t>Jennifer Williams</t>
  </si>
  <si>
    <t>Woodland Workshop</t>
  </si>
  <si>
    <t>Chesterton Sunset</t>
  </si>
  <si>
    <t>Helen Southeran</t>
  </si>
  <si>
    <t>1-2-1s and Workshops</t>
  </si>
  <si>
    <t>Vetrotech Saint Gobain</t>
  </si>
  <si>
    <t>stuart bourne</t>
  </si>
  <si>
    <t>Intro Class Solihull</t>
  </si>
  <si>
    <t>Ivaylo Yorgov</t>
  </si>
  <si>
    <t>james lynch</t>
  </si>
  <si>
    <t>Beginners lightroom</t>
  </si>
  <si>
    <t>Mar Pick N Mix</t>
  </si>
  <si>
    <t>Mar Mentoring</t>
  </si>
  <si>
    <t>Qtrly Payment</t>
  </si>
  <si>
    <t>Lynn Bowring</t>
  </si>
  <si>
    <t>Creative Editing</t>
  </si>
  <si>
    <t>Batsford Macro Class</t>
  </si>
  <si>
    <t>Marija Sakalauskaite</t>
  </si>
  <si>
    <t>Greg Smart</t>
  </si>
  <si>
    <t>Bluebells 27th Apr</t>
  </si>
  <si>
    <t>Anglesey Aug</t>
  </si>
  <si>
    <t>Bluebells 1st May</t>
  </si>
  <si>
    <t>4wk Course Kenilworth</t>
  </si>
  <si>
    <t>Macro Masterclass</t>
  </si>
  <si>
    <t>Ina Riesel</t>
  </si>
  <si>
    <t>Fairy Glen - 9th Aug</t>
  </si>
  <si>
    <t>Intro Class Kenilowrth</t>
  </si>
  <si>
    <t>New Plan</t>
  </si>
  <si>
    <t>Linda Kooner</t>
  </si>
  <si>
    <t>John Stubbs</t>
  </si>
  <si>
    <t>Annual Mentoring Plan</t>
  </si>
  <si>
    <t>4wk Course Solihull</t>
  </si>
  <si>
    <t>Jo Rogers</t>
  </si>
  <si>
    <t>David Howell</t>
  </si>
  <si>
    <t>Intro Class - Gift Voucher</t>
  </si>
  <si>
    <t>Diana Saville</t>
  </si>
  <si>
    <t>Dalice Trost</t>
  </si>
  <si>
    <t>Dee Valley Wales</t>
  </si>
  <si>
    <t>Masterclass</t>
  </si>
  <si>
    <t>Madeleine Clark</t>
  </si>
  <si>
    <t>Woodland Walks and Sunset</t>
  </si>
  <si>
    <t>Federico Botta</t>
  </si>
  <si>
    <t>peter williams</t>
  </si>
  <si>
    <t>Anglesey (switched to Dee Valley)</t>
  </si>
  <si>
    <t>Colleen Abell</t>
  </si>
  <si>
    <t>Photo Lvl 2 Course</t>
  </si>
  <si>
    <t>Vanessa Lindley</t>
  </si>
  <si>
    <t>RPS Group</t>
  </si>
  <si>
    <t>Mrs J Longthorn</t>
  </si>
  <si>
    <t>kenneth cheung</t>
  </si>
  <si>
    <t>Ken, Warwick, Chesterton</t>
  </si>
  <si>
    <t>Siobhan O'Donnell</t>
  </si>
  <si>
    <t>Sharron Hill</t>
  </si>
  <si>
    <t>Poppies and Sunflowers</t>
  </si>
  <si>
    <t>diana saville</t>
  </si>
  <si>
    <t>Donna Cowley</t>
  </si>
  <si>
    <t>Sum of Categories</t>
  </si>
  <si>
    <t>Column Labels</t>
  </si>
  <si>
    <t>Row Labels</t>
  </si>
  <si>
    <t>&lt;01/01/2018</t>
  </si>
  <si>
    <t>Grand Total</t>
  </si>
  <si>
    <t>(blank)</t>
  </si>
  <si>
    <t>Sum of Amount</t>
  </si>
  <si>
    <t>Count of Amount</t>
  </si>
  <si>
    <t>courses/masterclasses</t>
  </si>
  <si>
    <t>workshops</t>
  </si>
  <si>
    <t>pick n mix</t>
  </si>
  <si>
    <t>mentoring</t>
  </si>
  <si>
    <t>other</t>
  </si>
  <si>
    <t>Soli Lvl 2 Course</t>
  </si>
  <si>
    <t>Clarke Gardener</t>
  </si>
  <si>
    <t>Derek Robins</t>
  </si>
  <si>
    <t>Roger Neal RPS</t>
  </si>
  <si>
    <t xml:space="preserve">caralyn overs </t>
  </si>
  <si>
    <t>Beginners/1-2-1</t>
  </si>
  <si>
    <t>Mixture of tuition</t>
  </si>
  <si>
    <t>Nicholas Jones</t>
  </si>
  <si>
    <t>PnM</t>
  </si>
  <si>
    <t>Nathan Jogia</t>
  </si>
  <si>
    <t>Variance to 2017</t>
  </si>
  <si>
    <t>Ester</t>
  </si>
  <si>
    <t>Lightroom 4 x 2hr 1-2-1's</t>
  </si>
  <si>
    <t>https://www.alanranger.com/four-private-tuition-classes</t>
  </si>
  <si>
    <t>https://www.alanranger.com/photography-classes/rps-course-cd5bd-h55gz</t>
  </si>
  <si>
    <t>LR 1-2-1</t>
  </si>
  <si>
    <t>Heathers - Peak District</t>
  </si>
  <si>
    <t>Rebecca Teague</t>
  </si>
  <si>
    <t>Christine Cowley</t>
  </si>
  <si>
    <t>Gift Vouchers</t>
  </si>
  <si>
    <t>Julia Dyer</t>
  </si>
  <si>
    <t>Burnham Sunset Shoot</t>
  </si>
  <si>
    <t>Lesley Ford</t>
  </si>
  <si>
    <t>Ryan Biggerstaff</t>
  </si>
  <si>
    <t xml:space="preserve">Helen Seaman </t>
  </si>
  <si>
    <t>Maxine Tighe</t>
  </si>
  <si>
    <t>stacey Rose</t>
  </si>
  <si>
    <t>Tony Hunter</t>
  </si>
  <si>
    <t>John Jeffries</t>
  </si>
  <si>
    <t>Helen Jerina</t>
  </si>
  <si>
    <t xml:space="preserve">Simon Bissett </t>
  </si>
  <si>
    <t>Wendy Davis</t>
  </si>
  <si>
    <t>Michael Lally</t>
  </si>
  <si>
    <t>Joe Tattersall</t>
  </si>
  <si>
    <t>Holly Robinson</t>
  </si>
  <si>
    <t>Sarah Jukes</t>
  </si>
  <si>
    <t>Stuart Isaac</t>
  </si>
  <si>
    <t>J Longthorn</t>
  </si>
  <si>
    <t>Woodland Photo Walk - Oakley Wood, Leamington</t>
  </si>
  <si>
    <t>David Reed</t>
  </si>
  <si>
    <t>Long Exposure Coventry</t>
  </si>
  <si>
    <t>Alex Harbige</t>
  </si>
  <si>
    <t>Mark Pascoe</t>
  </si>
  <si>
    <t>Mr M G Richardson</t>
  </si>
  <si>
    <t>Simon Wright</t>
  </si>
  <si>
    <t>ELS - Course</t>
  </si>
  <si>
    <t>Antony Clay</t>
  </si>
  <si>
    <t>Ann-Marie McGrath</t>
  </si>
  <si>
    <t>Kaye Bottomley</t>
  </si>
  <si>
    <t>Ciara Hartley</t>
  </si>
  <si>
    <t>Les Pratt</t>
  </si>
  <si>
    <t>Jane Chapman</t>
  </si>
  <si>
    <t>Xmas Walk</t>
  </si>
  <si>
    <t>Sandra Aulton</t>
  </si>
  <si>
    <t>1-2-1 5x2hr Sessions</t>
  </si>
  <si>
    <t>4hr Workshop</t>
  </si>
  <si>
    <t>2.5hr Workshop</t>
  </si>
  <si>
    <t>Vida Propert</t>
  </si>
  <si>
    <t>Sylvia Fillingham</t>
  </si>
  <si>
    <t>Intro  Class</t>
  </si>
  <si>
    <t>LR Soli</t>
  </si>
  <si>
    <t>Lvl 2 Photo</t>
  </si>
  <si>
    <t>Dorinda Gardner</t>
  </si>
  <si>
    <t xml:space="preserve">Alan Gardner </t>
  </si>
  <si>
    <t>Intentions Class</t>
  </si>
  <si>
    <t>Colette Reeves</t>
  </si>
  <si>
    <t>James Cameron</t>
  </si>
  <si>
    <t>1-2-1 Editing</t>
  </si>
  <si>
    <t>James Newberry</t>
  </si>
  <si>
    <t>Leamington Xmas Walk</t>
  </si>
  <si>
    <t>Suffolk - Feb</t>
  </si>
  <si>
    <t>LR Beginners</t>
  </si>
  <si>
    <t>Rob Hull</t>
  </si>
  <si>
    <t>Ann McNulty</t>
  </si>
  <si>
    <t>Joyce james</t>
  </si>
  <si>
    <t>Raman Sharma</t>
  </si>
  <si>
    <t>Lois Portelli</t>
  </si>
  <si>
    <t>Dennis Jeffrey RPS</t>
  </si>
  <si>
    <t>Richard Cheney</t>
  </si>
  <si>
    <t>Kerry Bottomley</t>
  </si>
  <si>
    <t>Ann Anson</t>
  </si>
  <si>
    <t>Intro Class Ken</t>
  </si>
  <si>
    <t>Cheryl Millyard</t>
  </si>
  <si>
    <t>Indi Pnaiser</t>
  </si>
  <si>
    <t>Catherine Gomm</t>
  </si>
  <si>
    <t>Shree Kennedy</t>
  </si>
  <si>
    <t>Carol Davies</t>
  </si>
  <si>
    <t>Paul Kirby</t>
  </si>
  <si>
    <t>Penny Simpson</t>
  </si>
  <si>
    <t>Bracketing Masterclass</t>
  </si>
  <si>
    <t>Joy Dennison</t>
  </si>
  <si>
    <t>Jeff Love</t>
  </si>
  <si>
    <t>Karol Whittington</t>
  </si>
  <si>
    <t>Intro Class Soli</t>
  </si>
  <si>
    <t>LR Lvl 1 Soli</t>
  </si>
  <si>
    <t>Barrington Mayne</t>
  </si>
  <si>
    <t>Katie Siddle</t>
  </si>
  <si>
    <t>Mandy Clift</t>
  </si>
  <si>
    <t>Andy Fitt</t>
  </si>
  <si>
    <t>Barry Roberts</t>
  </si>
  <si>
    <t>Rebecca Beresford</t>
  </si>
  <si>
    <t>Lynn Welsher</t>
  </si>
  <si>
    <t>Batsford Class/Walk</t>
  </si>
  <si>
    <t>Rebecca Keene</t>
  </si>
  <si>
    <t>Paula Major</t>
  </si>
  <si>
    <t>Kenilworth Fireworks</t>
  </si>
  <si>
    <t>Sally Wood</t>
  </si>
  <si>
    <t>Tom Wrigley</t>
  </si>
  <si>
    <t>Philip Webster - ELS</t>
  </si>
  <si>
    <t>Andy Mosley</t>
  </si>
  <si>
    <t>Ester Riodran</t>
  </si>
  <si>
    <t>diana richards</t>
  </si>
  <si>
    <t>Paul Appleby</t>
  </si>
  <si>
    <t>Robert Aulton</t>
  </si>
  <si>
    <t>Roger Bull</t>
  </si>
  <si>
    <t>Ed Robson</t>
  </si>
  <si>
    <t>Kevin Thomason</t>
  </si>
  <si>
    <t>Rebecca Mower</t>
  </si>
  <si>
    <t>Mengran Wang</t>
  </si>
  <si>
    <t>Xmas Photo Walks x 2</t>
  </si>
  <si>
    <t>Olivia Sewell</t>
  </si>
  <si>
    <t>phillip Ayres</t>
  </si>
  <si>
    <t>Clare Peaston</t>
  </si>
  <si>
    <t>Batsford Class</t>
  </si>
  <si>
    <t>Helen Curtis</t>
  </si>
  <si>
    <t xml:space="preserve">Raylene O'Leary </t>
  </si>
  <si>
    <t>Forum</t>
  </si>
  <si>
    <t>Jonathan Brusby</t>
  </si>
  <si>
    <t>James Hall</t>
  </si>
  <si>
    <t>David Hartley</t>
  </si>
  <si>
    <t>Nijagunashivayogi Mathad</t>
  </si>
  <si>
    <t>GRAHAM ODDEY</t>
  </si>
  <si>
    <t>Charlecote Park</t>
  </si>
  <si>
    <t>john mcnamara</t>
  </si>
  <si>
    <t>jamie mckenna</t>
  </si>
  <si>
    <t>4wk Beginners Soli</t>
  </si>
  <si>
    <t>Richard Staley</t>
  </si>
  <si>
    <t>L STEVENSON</t>
  </si>
  <si>
    <t>LEVI WATTS</t>
  </si>
  <si>
    <t>Fiona Barber</t>
  </si>
  <si>
    <t>viv thompson</t>
  </si>
  <si>
    <t>Jason Newell</t>
  </si>
  <si>
    <t>Robert Smith</t>
  </si>
  <si>
    <t>Lvl 2 Course</t>
  </si>
  <si>
    <t>Elizabeth Hoye</t>
  </si>
  <si>
    <t>Julia Arnold</t>
  </si>
  <si>
    <t>Batsford Abstract</t>
  </si>
  <si>
    <t>Garry Such</t>
  </si>
  <si>
    <t>Simon Betteridge</t>
  </si>
  <si>
    <t>Preetha Luther</t>
  </si>
  <si>
    <t>jacqueline Harley</t>
  </si>
  <si>
    <t>amy goymer brown</t>
  </si>
  <si>
    <t>Batsford Sharpshooters</t>
  </si>
  <si>
    <t>Sally Bluck</t>
  </si>
  <si>
    <t>Susan Giblett</t>
  </si>
  <si>
    <t>Batsford Exposure</t>
  </si>
  <si>
    <t>Coventry Collge</t>
  </si>
  <si>
    <t>2 Lightroom Classes</t>
  </si>
  <si>
    <t>alison norris</t>
  </si>
  <si>
    <t>Amanda Murray</t>
  </si>
  <si>
    <t>Batsford Comp Class</t>
  </si>
  <si>
    <t>gillian parker</t>
  </si>
  <si>
    <t>Alison Hocking</t>
  </si>
  <si>
    <t>Dave Coombs</t>
  </si>
  <si>
    <t>Alexandru Melinte</t>
  </si>
  <si>
    <t>B&amp;W Course</t>
  </si>
  <si>
    <t>Drawdown on PnM</t>
  </si>
  <si>
    <t>John Hayes</t>
  </si>
  <si>
    <t>Elixabeth Boniface</t>
  </si>
  <si>
    <t>Daniel Robb</t>
  </si>
  <si>
    <t>Helen King</t>
  </si>
  <si>
    <t>Sohail Rawat</t>
  </si>
  <si>
    <t>Zoe Sharman</t>
  </si>
  <si>
    <t>Helen Madden</t>
  </si>
  <si>
    <t>Jun Pick N Mix</t>
  </si>
  <si>
    <t>Jun Mentoring</t>
  </si>
  <si>
    <t>Bethany Mountford</t>
  </si>
  <si>
    <t>Print - Zenfolio</t>
  </si>
  <si>
    <t>Joanne Moorhouse</t>
  </si>
  <si>
    <t>CHRISTOPHER TROTH</t>
  </si>
  <si>
    <t>Mohammed Khan</t>
  </si>
  <si>
    <t>M Sotheran</t>
  </si>
  <si>
    <t>Steve Paling - ELS</t>
  </si>
  <si>
    <t>Allen Miller</t>
  </si>
  <si>
    <t>Nina Rowland</t>
  </si>
  <si>
    <t>Claire Powell</t>
  </si>
  <si>
    <t>CLAIRE STEVENSON</t>
  </si>
  <si>
    <t>Rebooking Fee Into</t>
  </si>
  <si>
    <t>Emma Macnair</t>
  </si>
  <si>
    <t>Janice Brown</t>
  </si>
  <si>
    <t>Andrew White</t>
  </si>
  <si>
    <t>Janice Anne Bannister</t>
  </si>
  <si>
    <t>Claire Stevenson</t>
  </si>
  <si>
    <t>Alison Littleford</t>
  </si>
  <si>
    <t>LR '1-2-1</t>
  </si>
  <si>
    <t>Isabelle Singleton</t>
  </si>
  <si>
    <t>Sarah Parrin</t>
  </si>
  <si>
    <t>Judith Matthews</t>
  </si>
  <si>
    <t>Alan Taylor</t>
  </si>
  <si>
    <t>John Cummings</t>
  </si>
  <si>
    <t>Richard Maine</t>
  </si>
  <si>
    <t>Barrie Maine</t>
  </si>
  <si>
    <t>Ket Sang Tai</t>
  </si>
  <si>
    <t>Angus Mills</t>
  </si>
  <si>
    <t>Andrew Mosley</t>
  </si>
  <si>
    <t>Lizana Oberholzer</t>
  </si>
  <si>
    <t>Maggie Yowa</t>
  </si>
  <si>
    <t>janice Blues</t>
  </si>
  <si>
    <t>tina Jackson</t>
  </si>
  <si>
    <t>Daryl Cowmeadow</t>
  </si>
  <si>
    <t>Luke Durston</t>
  </si>
  <si>
    <t>Diana Roberts</t>
  </si>
  <si>
    <t>elizabeth Petras</t>
  </si>
  <si>
    <t>katie kinsella</t>
  </si>
  <si>
    <t>Sunita Roussel-Milner</t>
  </si>
  <si>
    <t>Rebooking Fee</t>
  </si>
  <si>
    <t>Ivyline</t>
  </si>
  <si>
    <t>Commercial</t>
  </si>
  <si>
    <t>Sharon Norman</t>
  </si>
  <si>
    <t>Garry Bree</t>
  </si>
  <si>
    <t>Frances Pike - ELS</t>
  </si>
  <si>
    <t>Catherine Manley</t>
  </si>
  <si>
    <t>Nicholas Cheese</t>
  </si>
  <si>
    <t>Lisa Loxton</t>
  </si>
  <si>
    <t>Jo Wade</t>
  </si>
  <si>
    <t>Maria Saunders</t>
  </si>
  <si>
    <t>Sharpshooters</t>
  </si>
  <si>
    <t>Dominoc Thompson</t>
  </si>
  <si>
    <t>Samantha Lee</t>
  </si>
  <si>
    <t>Karen Frampton</t>
  </si>
  <si>
    <t>Richard Roussel-Milner</t>
  </si>
  <si>
    <t>Barry Nash</t>
  </si>
  <si>
    <t>Charlecote</t>
  </si>
  <si>
    <t>Michael Wall</t>
  </si>
  <si>
    <t>Tim Newcombe</t>
  </si>
  <si>
    <t>Camera Setup</t>
  </si>
  <si>
    <t>Urban Architeture</t>
  </si>
  <si>
    <t>Chris Green</t>
  </si>
  <si>
    <t>David John</t>
  </si>
  <si>
    <t>Refund</t>
  </si>
  <si>
    <t>Susan Wheeler</t>
  </si>
  <si>
    <t>Janet Miller</t>
  </si>
  <si>
    <t>Batsford Class 17th Apr</t>
  </si>
  <si>
    <t>Plan</t>
  </si>
  <si>
    <t>Louise Bennett</t>
  </si>
  <si>
    <t>Nicholas Hunnisett</t>
  </si>
  <si>
    <t>Lightroom Solihull</t>
  </si>
  <si>
    <t>Matt Battison</t>
  </si>
  <si>
    <t>Melissa Chapman</t>
  </si>
  <si>
    <t>Acorn School</t>
  </si>
  <si>
    <t>Vijaytha Murali</t>
  </si>
  <si>
    <t>Jacqui Chislett</t>
  </si>
  <si>
    <t>Chris White</t>
  </si>
  <si>
    <t>CharleCote Workshop</t>
  </si>
  <si>
    <t xml:space="preserve">Sarah McGovern </t>
  </si>
  <si>
    <t>Ian Barnard</t>
  </si>
  <si>
    <t>Poppies 21st June</t>
  </si>
  <si>
    <t>Coventry 11th Apr</t>
  </si>
  <si>
    <t>jill harrison</t>
  </si>
  <si>
    <t>Helen Finch - ELS</t>
  </si>
  <si>
    <t>Clare Durston</t>
  </si>
  <si>
    <t>Ann Knight</t>
  </si>
  <si>
    <t>Pure Photo Sale</t>
  </si>
  <si>
    <t xml:space="preserve">LR Course  </t>
  </si>
  <si>
    <t>Philippa Smith</t>
  </si>
  <si>
    <t>Facebook Forum</t>
  </si>
  <si>
    <t>Aidan Broderick - ELS</t>
  </si>
  <si>
    <t>Neil Giblett</t>
  </si>
  <si>
    <t>Carolyn O'Neill</t>
  </si>
  <si>
    <t>suzanne danter</t>
  </si>
  <si>
    <t>Sarah Moore</t>
  </si>
  <si>
    <t>Kenilwirth Night 19thMar</t>
  </si>
  <si>
    <t>Vijaytha Muralidharan</t>
  </si>
  <si>
    <t>Nick DeCianti</t>
  </si>
  <si>
    <t>Chris Shaw</t>
  </si>
  <si>
    <t>Anne Henry</t>
  </si>
  <si>
    <t>Julian Barton-Bodley</t>
  </si>
  <si>
    <t>Derek Dale</t>
  </si>
  <si>
    <t>Denise Merelie</t>
  </si>
  <si>
    <t>Andy Martin</t>
  </si>
  <si>
    <t>Batsford Clas/Walk</t>
  </si>
  <si>
    <t>Chris Franklin</t>
  </si>
  <si>
    <t>Caroline Robinson</t>
  </si>
  <si>
    <t>derek Bridges</t>
  </si>
  <si>
    <t>Laura Byrne</t>
  </si>
  <si>
    <t>Robert Newton</t>
  </si>
  <si>
    <t>Melissa Dickinson - ELS</t>
  </si>
  <si>
    <t>Tamara Nunley</t>
  </si>
  <si>
    <t>Penny Tebbit</t>
  </si>
  <si>
    <t>Jill Roberts</t>
  </si>
  <si>
    <t>Sue Critchlow</t>
  </si>
  <si>
    <t>Nicola Cashin</t>
  </si>
  <si>
    <t>David Bird</t>
  </si>
  <si>
    <t>Audrey Peebles</t>
  </si>
  <si>
    <t>Arjun Rawat</t>
  </si>
  <si>
    <t>Refunded</t>
  </si>
  <si>
    <t>Ian Blake - ELS</t>
  </si>
  <si>
    <t>Hans Berg -ELS</t>
  </si>
  <si>
    <t>Batsford Calendar</t>
  </si>
  <si>
    <t>1-21- Tuition</t>
  </si>
  <si>
    <t>Karen Gant</t>
  </si>
  <si>
    <t>Mavis Tingay</t>
  </si>
  <si>
    <t>Jackie Rosin</t>
  </si>
  <si>
    <t>Batsford SharpShooters</t>
  </si>
  <si>
    <t>Shen Xiang</t>
  </si>
  <si>
    <t>Lucy Williams</t>
  </si>
  <si>
    <t>laura Venn (Richard Sheath)</t>
  </si>
  <si>
    <t>myriame lawley</t>
  </si>
  <si>
    <t>Paul Kilford</t>
  </si>
  <si>
    <t>Lr 26th</t>
  </si>
  <si>
    <t>Oliver Price</t>
  </si>
  <si>
    <t>Claire Harris (Duncan)</t>
  </si>
  <si>
    <t>Iain Williams - ELS</t>
  </si>
  <si>
    <t>Dan Thomas</t>
  </si>
  <si>
    <t>LOUISE FOSTER</t>
  </si>
  <si>
    <t>Tom Price</t>
  </si>
  <si>
    <t>Re-booking Fee</t>
  </si>
  <si>
    <t>Duncan Harris</t>
  </si>
  <si>
    <t>chris woolcott</t>
  </si>
  <si>
    <t>Hina Solanki</t>
  </si>
  <si>
    <t>DEBORAH DONALDSON</t>
  </si>
  <si>
    <t>rebecca Mower</t>
  </si>
  <si>
    <t>Philipa Gunn</t>
  </si>
  <si>
    <t>Peter Davis</t>
  </si>
  <si>
    <t>Image Review</t>
  </si>
  <si>
    <t>FebMentoring</t>
  </si>
  <si>
    <t>Clive Turner</t>
  </si>
  <si>
    <t>Alind Srivastava</t>
  </si>
  <si>
    <t>Andrew Hodge</t>
  </si>
  <si>
    <t>4wk Extended Soli</t>
  </si>
  <si>
    <t>Tracey Jones</t>
  </si>
  <si>
    <t>Matt Nuttall</t>
  </si>
  <si>
    <t>Monitor Calibration</t>
  </si>
  <si>
    <t>1:2:1</t>
  </si>
  <si>
    <t>Ben James</t>
  </si>
  <si>
    <t>Gillian Thomas</t>
  </si>
  <si>
    <t>3 Masterclasses</t>
  </si>
  <si>
    <t>Liz Yarrow</t>
  </si>
  <si>
    <t>Jodie Child - ELS</t>
  </si>
  <si>
    <t>Hartland - Jan 2018</t>
  </si>
  <si>
    <t>m Adamson</t>
  </si>
  <si>
    <t>Craig Drinnan</t>
  </si>
  <si>
    <t>TINA JACKSON</t>
  </si>
  <si>
    <t>Pocket Guide Offer</t>
  </si>
  <si>
    <t>Ruth Dunse</t>
  </si>
  <si>
    <t>Abigail Moffat</t>
  </si>
  <si>
    <t>Samantha Coleman</t>
  </si>
  <si>
    <t>Spencer Wragg</t>
  </si>
  <si>
    <t>Nicola Broderick</t>
  </si>
  <si>
    <t>Chetserton</t>
  </si>
  <si>
    <t>Carol Osborne</t>
  </si>
  <si>
    <t>Age UK Course</t>
  </si>
  <si>
    <t>Creative Edting</t>
  </si>
  <si>
    <t>Masterclasses x 3</t>
  </si>
  <si>
    <t>marcela Griffiths</t>
  </si>
  <si>
    <t>Angel Cave</t>
  </si>
  <si>
    <t>sharron kerr</t>
  </si>
  <si>
    <t>David Rogers</t>
  </si>
  <si>
    <t>lee clarke</t>
  </si>
  <si>
    <t>Lynn Morris</t>
  </si>
  <si>
    <t>Christina Mannering</t>
  </si>
  <si>
    <t>Pam Roberts</t>
  </si>
  <si>
    <t>Elizabeth Shrives</t>
  </si>
  <si>
    <t>Anne-Marie Scott</t>
  </si>
  <si>
    <t>LR Rebooking</t>
  </si>
  <si>
    <t>Bray Leino Ltd,</t>
  </si>
  <si>
    <t>Commercial Image Use</t>
  </si>
  <si>
    <t>&lt;01/01/2017</t>
  </si>
  <si>
    <t>Zenfolio</t>
  </si>
  <si>
    <t>Ops</t>
  </si>
  <si>
    <t>Andrew D'Amico ELS</t>
  </si>
  <si>
    <t>Brochure Image</t>
  </si>
  <si>
    <t>Lee Clarke</t>
  </si>
  <si>
    <t>LR + 1-2-1</t>
  </si>
  <si>
    <t>Janice Jordon</t>
  </si>
  <si>
    <t>Steve Horton</t>
  </si>
  <si>
    <t>Intermediates 2018</t>
  </si>
  <si>
    <t>PnM - Lightroom</t>
  </si>
  <si>
    <t>henryhindeinfantschool</t>
  </si>
  <si>
    <t>Photo Shoot</t>
  </si>
  <si>
    <t>Pavan Kumar</t>
  </si>
  <si>
    <t>m:  24/9</t>
  </si>
  <si>
    <t>Pick N Mix  try in may</t>
  </si>
  <si>
    <t>Facebook Renewals</t>
  </si>
  <si>
    <t xml:space="preserve">Dan Taylor </t>
  </si>
  <si>
    <t>m:19/5</t>
  </si>
  <si>
    <t>Herbert Museum</t>
  </si>
  <si>
    <t>Vm 11/5</t>
  </si>
  <si>
    <t>19th Aug Workshop</t>
  </si>
  <si>
    <t xml:space="preserve">adrian platt </t>
  </si>
  <si>
    <t xml:space="preserve">Mick Rogers </t>
  </si>
  <si>
    <t>considering</t>
  </si>
  <si>
    <t>Northumbria May 2018</t>
  </si>
  <si>
    <t xml:space="preserve">Kate Nolan </t>
  </si>
  <si>
    <t>M: 12/5</t>
  </si>
  <si>
    <t>Courses/intermediates/Lightroom</t>
  </si>
  <si>
    <t>Sinead Noonan</t>
  </si>
  <si>
    <t>5wk Beginners course</t>
  </si>
  <si>
    <t>YTD</t>
  </si>
  <si>
    <t>Squarspace</t>
  </si>
  <si>
    <t>Steven Moffitt</t>
  </si>
  <si>
    <t>Jan Whaley</t>
  </si>
  <si>
    <t>Amanda Cope</t>
  </si>
  <si>
    <t>Georgia Guinan</t>
  </si>
  <si>
    <t>michaella robb</t>
  </si>
  <si>
    <t>Mary Martin</t>
  </si>
  <si>
    <t>Roger Harrison</t>
  </si>
  <si>
    <t>Masterclass Critique</t>
  </si>
  <si>
    <t>Sheelagh Hiley</t>
  </si>
  <si>
    <t>Hartland April</t>
  </si>
  <si>
    <t>Christian James</t>
  </si>
  <si>
    <t>Anna Price</t>
  </si>
  <si>
    <t>Matthew Davis</t>
  </si>
  <si>
    <t>Helen Robinson</t>
  </si>
  <si>
    <t>Laura Steele</t>
  </si>
  <si>
    <t>Elaine Adkins</t>
  </si>
  <si>
    <t>P Jordon (Gift Voucher - Janice)</t>
  </si>
  <si>
    <t>Christian Twigg-Flesner - paul kilford</t>
  </si>
  <si>
    <t>Emma Mehrabanpour</t>
  </si>
  <si>
    <t>Nick Jones</t>
  </si>
  <si>
    <t>Marcela Griffiths</t>
  </si>
  <si>
    <t>Intermediates Course</t>
  </si>
  <si>
    <t>Karen Morris</t>
  </si>
  <si>
    <t>Carol Stephens</t>
  </si>
  <si>
    <t>4wk Ext Course</t>
  </si>
  <si>
    <t>Xmas Photo Walk</t>
  </si>
  <si>
    <t>Karen Blake</t>
  </si>
  <si>
    <t>J Blore</t>
  </si>
  <si>
    <t>Jill James</t>
  </si>
  <si>
    <t>Batsford Workshop March</t>
  </si>
  <si>
    <t>Jonathan Hull</t>
  </si>
  <si>
    <t>Andrew Holmes</t>
  </si>
  <si>
    <t>LR Organisation</t>
  </si>
  <si>
    <t>Michael Morgan</t>
  </si>
  <si>
    <t>Dannie Merry</t>
  </si>
  <si>
    <t>3 Prints</t>
  </si>
  <si>
    <t>Ashwyn Dhir - ELS</t>
  </si>
  <si>
    <t>Richard Wardle - ELS</t>
  </si>
  <si>
    <t>Nadine Preece</t>
  </si>
  <si>
    <t>Matthew Lees</t>
  </si>
  <si>
    <t>Northumbria Workshop</t>
  </si>
  <si>
    <t>Fiona Cummings</t>
  </si>
  <si>
    <t>Debbie Colby</t>
  </si>
  <si>
    <t xml:space="preserve">Veronika Beckova </t>
  </si>
  <si>
    <t>Rob Graham ELS</t>
  </si>
  <si>
    <t>Seon Chang - ELS</t>
  </si>
  <si>
    <t>4wk Beginners</t>
  </si>
  <si>
    <t>Stacey Jones</t>
  </si>
  <si>
    <t>Donna Glaister</t>
  </si>
  <si>
    <t>Owen Deneny</t>
  </si>
  <si>
    <t>Charlotte Kaye</t>
  </si>
  <si>
    <t>Xposure Fees</t>
  </si>
  <si>
    <t>Xposure</t>
  </si>
  <si>
    <t>Gemma Proctor</t>
  </si>
  <si>
    <t>Gill Cartwright</t>
  </si>
  <si>
    <t>Marvin Epton - ELS</t>
  </si>
  <si>
    <t>Lawrence Peach</t>
  </si>
  <si>
    <t>Steven Skidmore</t>
  </si>
  <si>
    <t>Mike Ford</t>
  </si>
  <si>
    <t>David Ainsbury</t>
  </si>
  <si>
    <t>Karen Smith</t>
  </si>
  <si>
    <t>Virginia Mason</t>
  </si>
  <si>
    <t>Des Watkins</t>
  </si>
  <si>
    <t>1-2-1 Lightroom</t>
  </si>
  <si>
    <t>Nikita Da Cunha</t>
  </si>
  <si>
    <t>Michael Tombs</t>
  </si>
  <si>
    <t>Anne Spackman</t>
  </si>
  <si>
    <t>France</t>
  </si>
  <si>
    <t>Rob Graham</t>
  </si>
  <si>
    <t>Panel Review</t>
  </si>
  <si>
    <t>Batsford/Fireworks</t>
  </si>
  <si>
    <t>Tony Wright</t>
  </si>
  <si>
    <t>Julia R A Taylor</t>
  </si>
  <si>
    <t>Philippa Gunn</t>
  </si>
  <si>
    <t>Sunny Chang - ELS</t>
  </si>
  <si>
    <t>1 day workshop</t>
  </si>
  <si>
    <t>Con Mchugh</t>
  </si>
  <si>
    <t xml:space="preserve">Malcolm Mccutcheon </t>
  </si>
  <si>
    <t>Emily Russell</t>
  </si>
  <si>
    <t>Amy Morris</t>
  </si>
  <si>
    <t>Mentoring + Courses</t>
  </si>
  <si>
    <t>Amit Sinha</t>
  </si>
  <si>
    <t>Gill Roberts</t>
  </si>
  <si>
    <t>Tracy Kenny</t>
  </si>
  <si>
    <t>Colin Stephens</t>
  </si>
  <si>
    <t>Lakes</t>
  </si>
  <si>
    <t>Beginner Course</t>
  </si>
  <si>
    <t>Anju Dhadra</t>
  </si>
  <si>
    <t>Christina Barnfield</t>
  </si>
  <si>
    <t>Brian McBride</t>
  </si>
  <si>
    <t>Kirsty McBride</t>
  </si>
  <si>
    <t>MTC</t>
  </si>
  <si>
    <t>Pick N MixPlan</t>
  </si>
  <si>
    <t>Doug Smith</t>
  </si>
  <si>
    <t>Michelle Bradshaw</t>
  </si>
  <si>
    <t>Sharon Sodhi</t>
  </si>
  <si>
    <t>Len Sutton</t>
  </si>
  <si>
    <t>Glenn Torpy</t>
  </si>
  <si>
    <t>Beata Stojek</t>
  </si>
  <si>
    <t>Simon Lerwell</t>
  </si>
  <si>
    <t>Simon King</t>
  </si>
  <si>
    <t>ARPS Panel</t>
  </si>
  <si>
    <t>Xposure Festival</t>
  </si>
  <si>
    <t>laura byrne</t>
  </si>
  <si>
    <t>Tripod Hire</t>
  </si>
  <si>
    <t>Emilie Moslard</t>
  </si>
  <si>
    <t>Darlene Barnfield</t>
  </si>
  <si>
    <t>Sunny Chang</t>
  </si>
  <si>
    <t>Matthew Paterson</t>
  </si>
  <si>
    <t>Louise Harris</t>
  </si>
  <si>
    <t>Philip Wander</t>
  </si>
  <si>
    <t>Keith Hinsley</t>
  </si>
  <si>
    <t>Glyn Fetcher</t>
  </si>
  <si>
    <t>Keith Miller</t>
  </si>
  <si>
    <t>Age Uk Course</t>
  </si>
  <si>
    <t>Helen Carter</t>
  </si>
  <si>
    <t>Adam Shepherd -ELS</t>
  </si>
  <si>
    <t>Thomas Hewitt</t>
  </si>
  <si>
    <t>Marius Ciobanu</t>
  </si>
  <si>
    <t>Geoff Dedman</t>
  </si>
  <si>
    <t>P J E Kirby</t>
  </si>
  <si>
    <t>Creative Editing Masterclass</t>
  </si>
  <si>
    <t>Jieyuan Wu</t>
  </si>
  <si>
    <t>Deposit 4wk Course</t>
  </si>
  <si>
    <t>Govindan Raghuraman</t>
  </si>
  <si>
    <t>Roger Carlisle</t>
  </si>
  <si>
    <t>Karen Pilotte</t>
  </si>
  <si>
    <t>Latha Raghuraman</t>
  </si>
  <si>
    <t>Michael King</t>
  </si>
  <si>
    <t>4wk Course Ken</t>
  </si>
  <si>
    <t>Kim Robert</t>
  </si>
  <si>
    <t>5wk Course Ken</t>
  </si>
  <si>
    <t>James Bennett</t>
  </si>
  <si>
    <t>Gee Nandhra</t>
  </si>
  <si>
    <t>Bob Parker</t>
  </si>
  <si>
    <t>susan ramsey</t>
  </si>
  <si>
    <t>Prints-Zenfolio</t>
  </si>
  <si>
    <t>Plan shortfall</t>
  </si>
  <si>
    <t>Batsford - Oct</t>
  </si>
  <si>
    <t>Jeand Dance</t>
  </si>
  <si>
    <t>Amanda Millican</t>
  </si>
  <si>
    <t>Nira Panchal</t>
  </si>
  <si>
    <t>Intro Class x 2</t>
  </si>
  <si>
    <t>Marguerite Kirby</t>
  </si>
  <si>
    <t>3 x Masterclasses</t>
  </si>
  <si>
    <t>Rebecca English</t>
  </si>
  <si>
    <t>toby arnold</t>
  </si>
  <si>
    <t>Photo Walk</t>
  </si>
  <si>
    <t>tracy atureliya</t>
  </si>
  <si>
    <t>Catherine Brandist</t>
  </si>
  <si>
    <t xml:space="preserve">Stewart Twilton </t>
  </si>
  <si>
    <t>Ran Tao</t>
  </si>
  <si>
    <t>5wk course</t>
  </si>
  <si>
    <t>JB ?</t>
  </si>
  <si>
    <t>Ian Hodgetts - ELS</t>
  </si>
  <si>
    <t>siobhan bushell</t>
  </si>
  <si>
    <t>Stephanie Franks</t>
  </si>
  <si>
    <t>Jessica Welge</t>
  </si>
  <si>
    <t>Tim Payne</t>
  </si>
  <si>
    <t>Portriats Course</t>
  </si>
  <si>
    <t>photo critique</t>
  </si>
  <si>
    <t>Aikaterini Fotoglou</t>
  </si>
  <si>
    <t>Chris Brain - ELS</t>
  </si>
  <si>
    <t>Irene Pointon</t>
  </si>
  <si>
    <t>Pauline Kerr</t>
  </si>
  <si>
    <t>Eve Ducker</t>
  </si>
  <si>
    <t>Vivian Drury</t>
  </si>
  <si>
    <t>Sherbourne Prints</t>
  </si>
  <si>
    <t xml:space="preserve">Ben Possee </t>
  </si>
  <si>
    <t>Janet Train</t>
  </si>
  <si>
    <t>Laura Charles</t>
  </si>
  <si>
    <t>Jul Pick N Mix</t>
  </si>
  <si>
    <t>Jul Mentoring</t>
  </si>
  <si>
    <t>Andrew Thompson</t>
  </si>
  <si>
    <t>Sunset</t>
  </si>
  <si>
    <t>Sue Phillips</t>
  </si>
  <si>
    <t>Delphiniums</t>
  </si>
  <si>
    <t>emily payne</t>
  </si>
  <si>
    <t>ELS Payment</t>
  </si>
  <si>
    <t>Andrew Clifforth</t>
  </si>
  <si>
    <t>Jamie Beardmore</t>
  </si>
  <si>
    <t>Settle Plan</t>
  </si>
  <si>
    <t>Richard Glendinning</t>
  </si>
  <si>
    <t>Nick Wright</t>
  </si>
  <si>
    <t>Portraits Workshop</t>
  </si>
  <si>
    <t xml:space="preserve">Jaz Dhir </t>
  </si>
  <si>
    <t>humaira parvez</t>
  </si>
  <si>
    <t>19 Poppies</t>
  </si>
  <si>
    <t>22 Poppies</t>
  </si>
  <si>
    <t>Zoe Eardley</t>
  </si>
  <si>
    <t>21 Poppies</t>
  </si>
  <si>
    <t>Linn Ashmore</t>
  </si>
  <si>
    <t>Martin Smith</t>
  </si>
  <si>
    <t>Julien Hoyez - ELS</t>
  </si>
  <si>
    <t>4wk extended</t>
  </si>
  <si>
    <t>Sabine Bowman</t>
  </si>
  <si>
    <t xml:space="preserve">Karolin Hartlieb </t>
  </si>
  <si>
    <t>Roberta Gristwood</t>
  </si>
  <si>
    <t>Rebecca Long</t>
  </si>
  <si>
    <t xml:space="preserve">Mentoring </t>
  </si>
  <si>
    <t>Ian Hodgetts</t>
  </si>
  <si>
    <t>Natalie Williams</t>
  </si>
  <si>
    <t>Adam Jefferies</t>
  </si>
  <si>
    <t>Dawn De Costa</t>
  </si>
  <si>
    <t>Lewis Maloba</t>
  </si>
  <si>
    <t>Guy Dunwoody</t>
  </si>
  <si>
    <t>Pick N Mix Subs</t>
  </si>
  <si>
    <t>James Kelly</t>
  </si>
  <si>
    <t>Justyna Adamek</t>
  </si>
  <si>
    <t>Intermed Course</t>
  </si>
  <si>
    <t>stuart walters</t>
  </si>
  <si>
    <t>Ray Phillips</t>
  </si>
  <si>
    <t>Paula Knott</t>
  </si>
  <si>
    <t>Christinejane Lewington</t>
  </si>
  <si>
    <t>4wk course</t>
  </si>
  <si>
    <t>Taqua Imam</t>
  </si>
  <si>
    <t>Zoe Smith</t>
  </si>
  <si>
    <t>Sam Cook</t>
  </si>
  <si>
    <t>sunset workshop</t>
  </si>
  <si>
    <t>KATHLEEN HORSBURGH</t>
  </si>
  <si>
    <t>Alex Priestley</t>
  </si>
  <si>
    <t>Suzannah Dougherty</t>
  </si>
  <si>
    <t>Janet Lambdon</t>
  </si>
  <si>
    <t>Lr Course</t>
  </si>
  <si>
    <t>Prem Mentoring</t>
  </si>
  <si>
    <t>Chris Brain</t>
  </si>
  <si>
    <t>5wk Course Soli</t>
  </si>
  <si>
    <t>Helen Hollingworth</t>
  </si>
  <si>
    <t>Manjit Narotra</t>
  </si>
  <si>
    <t>Fairy Glen Workshop</t>
  </si>
  <si>
    <t>Amar Majid</t>
  </si>
  <si>
    <t>Pick N Mix plans</t>
  </si>
  <si>
    <t>Margaret Millberry</t>
  </si>
  <si>
    <t>Judith Wilde</t>
  </si>
  <si>
    <t xml:space="preserve">Elisabeth Walker </t>
  </si>
  <si>
    <t>Paul Murray</t>
  </si>
  <si>
    <t>Nicola Lockyer</t>
  </si>
  <si>
    <t>T O'Carroll-Bailey</t>
  </si>
  <si>
    <t>5wk course Ken</t>
  </si>
  <si>
    <t>Marcia Rathbone</t>
  </si>
  <si>
    <t>Michelle Fellows</t>
  </si>
  <si>
    <t>Mentoring - Apr</t>
  </si>
  <si>
    <t>Mentoring Plans</t>
  </si>
  <si>
    <t>Pick N Mix - Apr</t>
  </si>
  <si>
    <t xml:space="preserve">PEDERSEN ISOBEL    </t>
  </si>
  <si>
    <t>Christine Lewington</t>
  </si>
  <si>
    <t>Family SS/Workshop</t>
  </si>
  <si>
    <t>Anthony Ashcroft</t>
  </si>
  <si>
    <t>Laura Scrace</t>
  </si>
  <si>
    <t>Sarah Deemoing</t>
  </si>
  <si>
    <t>Schools Course</t>
  </si>
  <si>
    <t>Jodie Munn</t>
  </si>
  <si>
    <t>Yorkshire</t>
  </si>
  <si>
    <t>Steve Parish</t>
  </si>
  <si>
    <t>Courses</t>
  </si>
  <si>
    <t>Phil Hardy</t>
  </si>
  <si>
    <t>Sarah Khan</t>
  </si>
  <si>
    <t>Sarah Nesbitt</t>
  </si>
  <si>
    <t>Christopher Morris</t>
  </si>
  <si>
    <t>Natalie Craddock</t>
  </si>
  <si>
    <t>Night shoot</t>
  </si>
  <si>
    <t xml:space="preserve">Stephanie Cowley </t>
  </si>
  <si>
    <t>Bryan Bradley</t>
  </si>
  <si>
    <t>Peter Tierney</t>
  </si>
  <si>
    <t>tim lerwill</t>
  </si>
  <si>
    <t>Gift Voucher Sharpshooters</t>
  </si>
  <si>
    <t>Derek Sharp</t>
  </si>
  <si>
    <t>Claire Meyer</t>
  </si>
  <si>
    <t>Judith Longhorn</t>
  </si>
  <si>
    <t>Julien Hoyez</t>
  </si>
  <si>
    <t>Stuart Walters</t>
  </si>
  <si>
    <t>Eileen Huzzey</t>
  </si>
  <si>
    <t>Janet Ingram</t>
  </si>
  <si>
    <t>Pick N Mix Mar</t>
  </si>
  <si>
    <t>Cerys Jones</t>
  </si>
  <si>
    <t>stripe</t>
  </si>
  <si>
    <t>Elga Riman/Colin Clapp</t>
  </si>
  <si>
    <t>1-2-1 gift voucher</t>
  </si>
  <si>
    <t>Chris Walkland</t>
  </si>
  <si>
    <t>Sue Mowle</t>
  </si>
  <si>
    <t>Greg Sant</t>
  </si>
  <si>
    <t>LR Support</t>
  </si>
  <si>
    <t>Dinah King</t>
  </si>
  <si>
    <t>Various Courses</t>
  </si>
  <si>
    <t>Masterclass + 5week</t>
  </si>
  <si>
    <t>2.5hr Chesterton</t>
  </si>
  <si>
    <t>John Verdult</t>
  </si>
  <si>
    <t>forum</t>
  </si>
  <si>
    <t>General/ Intro</t>
  </si>
  <si>
    <t>Katie Wardle</t>
  </si>
  <si>
    <t>Pure Photo Print Sale</t>
  </si>
  <si>
    <t>Print Sale $-£</t>
  </si>
  <si>
    <t>Jean Sutton</t>
  </si>
  <si>
    <t>Robert Edwards</t>
  </si>
  <si>
    <t>Annie Evans</t>
  </si>
  <si>
    <t>Samantha Cook</t>
  </si>
  <si>
    <t>Oliver Dickinson</t>
  </si>
  <si>
    <t>4 wk course</t>
  </si>
  <si>
    <t>lightroom course</t>
  </si>
  <si>
    <t>Terry Smallman</t>
  </si>
  <si>
    <t>Pick N Mix - Feb</t>
  </si>
  <si>
    <t>Mentoring subs Mar</t>
  </si>
  <si>
    <t>Mentoring Mar</t>
  </si>
  <si>
    <t>Ben Cooper</t>
  </si>
  <si>
    <t>Margaret Millbery</t>
  </si>
  <si>
    <t>Batsford Workshops</t>
  </si>
  <si>
    <t>Tania Stretton</t>
  </si>
  <si>
    <t>class</t>
  </si>
  <si>
    <t>Graham Painter</t>
  </si>
  <si>
    <t>Craig Johnson</t>
  </si>
  <si>
    <t>2.5hr workshop</t>
  </si>
  <si>
    <t>Jessica Miller</t>
  </si>
  <si>
    <t>4 wk Course</t>
  </si>
  <si>
    <t>Julia Stew</t>
  </si>
  <si>
    <t>Kathryn Philpott</t>
  </si>
  <si>
    <t>Deposit 4wk Extd</t>
  </si>
  <si>
    <t>Sue Thompson</t>
  </si>
  <si>
    <t>2.5+4hr Workshop</t>
  </si>
  <si>
    <t>5 wk course</t>
  </si>
  <si>
    <t>Trevor Griffiths</t>
  </si>
  <si>
    <t>Lynn Hughes</t>
  </si>
  <si>
    <t>Andreas Ruhnke</t>
  </si>
  <si>
    <t>Alison Sheppard</t>
  </si>
  <si>
    <t>Intro Class Dorridge</t>
  </si>
  <si>
    <t>Sarah Deeming</t>
  </si>
  <si>
    <t>2 Schools</t>
  </si>
  <si>
    <t>Emily Fernandez</t>
  </si>
  <si>
    <t xml:space="preserve">Natalie Craddock </t>
  </si>
  <si>
    <t>5 week course</t>
  </si>
  <si>
    <t>Paul Matt</t>
  </si>
  <si>
    <t>Derek Robbins</t>
  </si>
  <si>
    <t>monitor calibration</t>
  </si>
  <si>
    <t xml:space="preserve">Ina Koswara </t>
  </si>
  <si>
    <t>devon</t>
  </si>
  <si>
    <t>bluebells</t>
  </si>
  <si>
    <t>Yee Lee</t>
  </si>
  <si>
    <t>Serena Nicholls</t>
  </si>
  <si>
    <t>Jean MacDonald</t>
  </si>
  <si>
    <t>Mentoring subs Feb</t>
  </si>
  <si>
    <t>delphiniums</t>
  </si>
  <si>
    <t>northumbria</t>
  </si>
  <si>
    <t>paypal</t>
  </si>
  <si>
    <t>Daniel Brookes</t>
  </si>
  <si>
    <t>groupon</t>
  </si>
  <si>
    <t>David Towers</t>
  </si>
  <si>
    <t>Chris Towers</t>
  </si>
  <si>
    <t>Sarah Franklin</t>
  </si>
  <si>
    <t>Gail Franklin</t>
  </si>
  <si>
    <t>Terrence Underhill</t>
  </si>
  <si>
    <t>bank</t>
  </si>
  <si>
    <t>Jan Shaylor</t>
  </si>
  <si>
    <t>Paulina Lewis</t>
  </si>
  <si>
    <t>Michelle Richings</t>
  </si>
  <si>
    <t>Chloe Brown</t>
  </si>
  <si>
    <t xml:space="preserve">Kedar </t>
  </si>
  <si>
    <t>Kirsten pearce</t>
  </si>
  <si>
    <t>lakes</t>
  </si>
  <si>
    <t>Emily Fernadez</t>
  </si>
  <si>
    <t>Rachel Ward</t>
  </si>
  <si>
    <t>batsford cal shoot</t>
  </si>
  <si>
    <t>Ruth Colgan</t>
  </si>
  <si>
    <t>5wk course feb</t>
  </si>
  <si>
    <t xml:space="preserve">Rachel Imogen BOWES </t>
  </si>
  <si>
    <t xml:space="preserve">Zoe Manning </t>
  </si>
  <si>
    <t>Vic Millard</t>
  </si>
  <si>
    <t xml:space="preserve">Rebecca Teague </t>
  </si>
  <si>
    <t>Adrian Knott</t>
  </si>
  <si>
    <t>yes</t>
  </si>
  <si>
    <t>no</t>
  </si>
  <si>
    <t>Mark Harrison</t>
  </si>
  <si>
    <t>Norman Whitaker</t>
  </si>
  <si>
    <t>Sue &amp; Chris Walkland</t>
  </si>
  <si>
    <t>Pick N Mix Jan</t>
  </si>
  <si>
    <t>Option A - Pay As You Go</t>
  </si>
  <si>
    <t>Option B - Academy Premium Membership - Monthly Payment</t>
  </si>
  <si>
    <t>Pay</t>
  </si>
  <si>
    <t>Option C - Annual Pick N Mix</t>
  </si>
  <si>
    <t>12 x 1hr Zoom Package Paid Up Front</t>
  </si>
  <si>
    <t>12 x 60 Monthly Subscription</t>
  </si>
  <si>
    <t>Upfront Payment and 20% off Certain Services</t>
  </si>
  <si>
    <t>12 x 1hr Zoom Package Paid as you go</t>
  </si>
  <si>
    <t>12 monthly Power-Up sessions (60-min 1:1 Zoom) — image critiques &amp; troubleshooting</t>
  </si>
  <si>
    <t>4×30-min 1:1 coaching Zooms with Alan — targeted problem-solving</t>
  </si>
  <si>
    <t>30-min 1:1 coaching Zooms with Alan — targeted problem-solving</t>
  </si>
  <si>
    <t>35 PDFs</t>
  </si>
  <si>
    <t>Free</t>
  </si>
  <si>
    <t>PDF eBook</t>
  </si>
  <si>
    <t>12 months of new Academy add-ons — included with Premium</t>
  </si>
  <si>
    <t>:</t>
  </si>
  <si>
    <t>Balance left on PnM for workshops/events/coaching</t>
  </si>
  <si>
    <t>20% off normal prices on workshops and courses</t>
  </si>
  <si>
    <t>Ruby</t>
  </si>
  <si>
    <t>Per Month</t>
  </si>
  <si>
    <t>Per Week</t>
  </si>
  <si>
    <t>Notes</t>
  </si>
  <si>
    <t>Income</t>
  </si>
  <si>
    <t>PIP</t>
  </si>
  <si>
    <t>UC</t>
  </si>
  <si>
    <t>Max Allowance</t>
  </si>
  <si>
    <t>Work 10hrs pw @ £10phr</t>
  </si>
  <si>
    <t>Max can earn for benefits</t>
  </si>
  <si>
    <t>Flat Bills</t>
  </si>
  <si>
    <t>Rent</t>
  </si>
  <si>
    <t>Council Tax</t>
  </si>
  <si>
    <t>Maybe will be zero</t>
  </si>
  <si>
    <t>Gas/Electric</t>
  </si>
  <si>
    <t>Check to see if included</t>
  </si>
  <si>
    <t>Broadband</t>
  </si>
  <si>
    <t>Mobile</t>
  </si>
  <si>
    <t>Water</t>
  </si>
  <si>
    <t>Living Costs</t>
  </si>
  <si>
    <t>Household Items</t>
  </si>
  <si>
    <t>Vapes</t>
  </si>
  <si>
    <t>Travel</t>
  </si>
  <si>
    <t>Total Costs</t>
  </si>
  <si>
    <t>Extras to Move In</t>
  </si>
  <si>
    <t>Rent Deposit</t>
  </si>
  <si>
    <t>Kitchen</t>
  </si>
  <si>
    <t>Bathroom</t>
  </si>
  <si>
    <t>Bedroom</t>
  </si>
  <si>
    <t>Living Area (TV etc)</t>
  </si>
  <si>
    <t>Monthly Real</t>
  </si>
  <si>
    <t>PayPlan</t>
  </si>
  <si>
    <t>Item</t>
  </si>
  <si>
    <t>Projected</t>
  </si>
  <si>
    <t>Sales</t>
  </si>
  <si>
    <t>Current Monthly Average Sales</t>
  </si>
  <si>
    <t>YTD average</t>
  </si>
  <si>
    <t>Additional Expenses</t>
  </si>
  <si>
    <t>Sales Decline Adjustment</t>
  </si>
  <si>
    <t>Projected Revenue</t>
  </si>
  <si>
    <t>Website Development</t>
  </si>
  <si>
    <t>Gross Profit Per Month</t>
  </si>
  <si>
    <t>Gross Profit</t>
  </si>
  <si>
    <t>Birthdays/Christmas</t>
  </si>
  <si>
    <t>WTC</t>
  </si>
  <si>
    <t>House Improvements</t>
  </si>
  <si>
    <t>Hotels &amp; Event Costs</t>
  </si>
  <si>
    <t>Per Hour</t>
  </si>
  <si>
    <t>Car Hire</t>
  </si>
  <si>
    <t>24th</t>
  </si>
  <si>
    <t>Monthly Expenses</t>
  </si>
  <si>
    <t>Water Rates</t>
  </si>
  <si>
    <t>29th</t>
  </si>
  <si>
    <t>Household Expenses</t>
  </si>
  <si>
    <t>1st</t>
  </si>
  <si>
    <t>Bank Loan</t>
  </si>
  <si>
    <t>5th</t>
  </si>
  <si>
    <t>Denplan</t>
  </si>
  <si>
    <t>3rd</t>
  </si>
  <si>
    <t>26th</t>
  </si>
  <si>
    <t>Water Rates (Apr-Nov)</t>
  </si>
  <si>
    <t>27th</t>
  </si>
  <si>
    <t>Home Insurance</t>
  </si>
  <si>
    <t>8th</t>
  </si>
  <si>
    <t>15th</t>
  </si>
  <si>
    <t>Car Insurance</t>
  </si>
  <si>
    <t>28th</t>
  </si>
  <si>
    <t>Aqua Credit Card</t>
  </si>
  <si>
    <t>Broadband/Virgin TV</t>
  </si>
  <si>
    <t>18th</t>
  </si>
  <si>
    <t>Virgin CC</t>
  </si>
  <si>
    <t>JaJa CC</t>
  </si>
  <si>
    <t>Halifax CC</t>
  </si>
  <si>
    <t>Tesco Loan</t>
  </si>
  <si>
    <t>Car Tax/Service/MOT</t>
  </si>
  <si>
    <t>Fags</t>
  </si>
  <si>
    <t>Petrol</t>
  </si>
  <si>
    <t>Home Insurance - Policy Expert</t>
  </si>
  <si>
    <t>7th</t>
  </si>
  <si>
    <t>Car Insurance -AA</t>
  </si>
  <si>
    <t>D&amp;G Appliance Insurance</t>
  </si>
  <si>
    <t>1yr only to Jan 2025</t>
  </si>
  <si>
    <t>Broadband - Virgin</t>
  </si>
  <si>
    <t>Groceries</t>
  </si>
  <si>
    <t>Mobile EE</t>
  </si>
  <si>
    <t>2nd</t>
  </si>
  <si>
    <t>Aqua Card</t>
  </si>
  <si>
    <t>9th</t>
  </si>
  <si>
    <t>Virgin Card</t>
  </si>
  <si>
    <t>12th</t>
  </si>
  <si>
    <t>Tv License</t>
  </si>
  <si>
    <t>22nd</t>
  </si>
  <si>
    <t>20th</t>
  </si>
  <si>
    <t>Netflix</t>
  </si>
  <si>
    <t>included in EE Plan</t>
  </si>
  <si>
    <t>Tennis</t>
  </si>
  <si>
    <t>Cleaner</t>
  </si>
  <si>
    <t>Consider</t>
  </si>
  <si>
    <t>Spotify</t>
  </si>
  <si>
    <t>Reduce - Ruby?</t>
  </si>
  <si>
    <t>Netflix (inc. in EE Plan)</t>
  </si>
  <si>
    <t>Audible</t>
  </si>
  <si>
    <t>Cancelled 21 Feb 2024</t>
  </si>
  <si>
    <t>Tennis Membershhip</t>
  </si>
  <si>
    <t>Increase</t>
  </si>
  <si>
    <t>Credit Card</t>
  </si>
  <si>
    <t>Emergency Card</t>
  </si>
  <si>
    <t>Gardener</t>
  </si>
  <si>
    <t>Exps</t>
  </si>
  <si>
    <t>Business Expenses</t>
  </si>
  <si>
    <t>Net</t>
  </si>
  <si>
    <t>New monthly Net</t>
  </si>
  <si>
    <t>Dropbox</t>
  </si>
  <si>
    <t>Fixed Operating Costs</t>
  </si>
  <si>
    <t>Service</t>
  </si>
  <si>
    <t>PM</t>
  </si>
  <si>
    <t>PA</t>
  </si>
  <si>
    <t>%</t>
  </si>
  <si>
    <t>Flickr</t>
  </si>
  <si>
    <t>6th</t>
  </si>
  <si>
    <t>Mail Chimp</t>
  </si>
  <si>
    <t>Cloud Storage</t>
  </si>
  <si>
    <t>Carbon Footprint/More Trees</t>
  </si>
  <si>
    <t>Viking Local Digital Assets (PayPal)</t>
  </si>
  <si>
    <t>Amazon Prime</t>
  </si>
  <si>
    <t>Backup/Delivery</t>
  </si>
  <si>
    <t>Semrush/WEBCEO/SEO Space</t>
  </si>
  <si>
    <t>Photo Sharing/Marketing</t>
  </si>
  <si>
    <t>Eversure - Camera Insurance (premium credit)</t>
  </si>
  <si>
    <t>Squarspace Marketing</t>
  </si>
  <si>
    <t>Mailshots</t>
  </si>
  <si>
    <t>Zoom PayPal</t>
  </si>
  <si>
    <t>30th</t>
  </si>
  <si>
    <t>Semrush/WEBCEO/SEOSpace</t>
  </si>
  <si>
    <t>SEO Website</t>
  </si>
  <si>
    <t>Writesonic - Paypal</t>
  </si>
  <si>
    <t xml:space="preserve">Eversure </t>
  </si>
  <si>
    <t>Camera Gear Insurance</t>
  </si>
  <si>
    <t>BIPP/RPS</t>
  </si>
  <si>
    <t>Sqaurewebsites.org</t>
  </si>
  <si>
    <t>Michael Plugin</t>
  </si>
  <si>
    <t>National Trust</t>
  </si>
  <si>
    <t>On Landscape</t>
  </si>
  <si>
    <t>Magazine</t>
  </si>
  <si>
    <t>AXA Public Liability</t>
  </si>
  <si>
    <t>16th</t>
  </si>
  <si>
    <t>Professional Body Membership</t>
  </si>
  <si>
    <t>Squarspace Hosting</t>
  </si>
  <si>
    <t>19th</t>
  </si>
  <si>
    <t>Annual Membership</t>
  </si>
  <si>
    <t>Squarespace Marketig</t>
  </si>
  <si>
    <t>Public Liability</t>
  </si>
  <si>
    <t>Elf SEO</t>
  </si>
  <si>
    <t>Website Hosting/Platform</t>
  </si>
  <si>
    <t>Facebook Ads</t>
  </si>
  <si>
    <t>Embed Social/ELF</t>
  </si>
  <si>
    <t>Customer Reviews/Pop Ups</t>
  </si>
  <si>
    <t>11th</t>
  </si>
  <si>
    <t>Google Ads</t>
  </si>
  <si>
    <t>Marketing</t>
  </si>
  <si>
    <t>Outgoings</t>
  </si>
  <si>
    <t>Zoom</t>
  </si>
  <si>
    <t>Online Client Lessons</t>
  </si>
  <si>
    <t>Google G-Suite</t>
  </si>
  <si>
    <t>Email Service</t>
  </si>
  <si>
    <t>annual</t>
  </si>
  <si>
    <t>Total Outgoings</t>
  </si>
  <si>
    <t>Tiny JPG</t>
  </si>
  <si>
    <t>Image Compression/Website</t>
  </si>
  <si>
    <t>Grammerly</t>
  </si>
  <si>
    <t>English/Grammar Checker</t>
  </si>
  <si>
    <t>annual - Sep</t>
  </si>
  <si>
    <t>Bank Bal</t>
  </si>
  <si>
    <t>Microsoft</t>
  </si>
  <si>
    <t>Software - Home 365</t>
  </si>
  <si>
    <t>Stripe In Transit</t>
  </si>
  <si>
    <t>Local Viking</t>
  </si>
  <si>
    <t>Google My Business Listings</t>
  </si>
  <si>
    <t>Carbon Footprint/Trees</t>
  </si>
  <si>
    <t>Carbon Offset</t>
  </si>
  <si>
    <t>Writesonic</t>
  </si>
  <si>
    <t>AI / SEO</t>
  </si>
  <si>
    <t>Cr Card Capacity</t>
  </si>
  <si>
    <t>Surrinder</t>
  </si>
  <si>
    <t>Accountant</t>
  </si>
  <si>
    <t>Deals Won In Transit</t>
  </si>
  <si>
    <t>HMRC</t>
  </si>
  <si>
    <t>NICs</t>
  </si>
  <si>
    <t>Savings</t>
  </si>
  <si>
    <t>Bitly</t>
  </si>
  <si>
    <t>QR-Code Application</t>
  </si>
  <si>
    <t>JLR Sales</t>
  </si>
  <si>
    <t>Goodsync</t>
  </si>
  <si>
    <t>Backup Software</t>
  </si>
  <si>
    <t>Other Sales</t>
  </si>
  <si>
    <t>Allintitle</t>
  </si>
  <si>
    <t>Keywords Anywhere</t>
  </si>
  <si>
    <t>Pick N Mix Kirsten Qtrly</t>
  </si>
  <si>
    <t>Sub-total</t>
  </si>
  <si>
    <t>Pick N Mix (Sub-total)</t>
  </si>
  <si>
    <t>Variable Costs</t>
  </si>
  <si>
    <t>Total Income</t>
  </si>
  <si>
    <t>Computer Hardware</t>
  </si>
  <si>
    <t>Various/upgrades/fixes</t>
  </si>
  <si>
    <t>Savings Balance</t>
  </si>
  <si>
    <t>Camera Equipment</t>
  </si>
  <si>
    <t>Inc/Exp</t>
  </si>
  <si>
    <t>Printing &amp; Stationery</t>
  </si>
  <si>
    <t>Paper/Toner/Etc</t>
  </si>
  <si>
    <t>Overdraft</t>
  </si>
  <si>
    <t>Travel &amp; Subsistence</t>
  </si>
  <si>
    <t>Workshops and Courses</t>
  </si>
  <si>
    <t>BALANCE</t>
  </si>
  <si>
    <t>Hotels -</t>
  </si>
  <si>
    <t>without CCrd</t>
  </si>
  <si>
    <t>Room Hire</t>
  </si>
  <si>
    <t>Courses and Classes</t>
  </si>
  <si>
    <t>Risk Element</t>
  </si>
  <si>
    <t>Business Inc 75%</t>
  </si>
  <si>
    <t>Unforeseen</t>
  </si>
  <si>
    <t>Business Operating Expenses</t>
  </si>
  <si>
    <t>Total Risk</t>
  </si>
  <si>
    <t>Revised Balance</t>
  </si>
  <si>
    <t>previous forecast</t>
  </si>
  <si>
    <t>Diff against prev forecast</t>
  </si>
  <si>
    <t>diff</t>
  </si>
  <si>
    <t>Total Expenses</t>
  </si>
  <si>
    <t>Equity Release</t>
  </si>
  <si>
    <t>Mortgage</t>
  </si>
  <si>
    <t>Halifax Loan</t>
  </si>
  <si>
    <t>Equity Fees</t>
  </si>
  <si>
    <t>New monthy outgoings</t>
  </si>
  <si>
    <t>PayPlan Debts</t>
  </si>
  <si>
    <t>70% Offer</t>
  </si>
  <si>
    <t>Offer</t>
  </si>
  <si>
    <t>Balance</t>
  </si>
  <si>
    <t>Saving</t>
  </si>
  <si>
    <t>Moorcroft 2516</t>
  </si>
  <si>
    <t>Moorcroft 3507</t>
  </si>
  <si>
    <t>Moorcroft 3505</t>
  </si>
  <si>
    <t>NCO</t>
  </si>
  <si>
    <t>Capital One</t>
  </si>
  <si>
    <t>Cabot</t>
  </si>
  <si>
    <t>Landmark</t>
  </si>
  <si>
    <t>Pocket Money</t>
  </si>
  <si>
    <t>Maint</t>
  </si>
  <si>
    <t>15k Loan</t>
  </si>
  <si>
    <t>Payments</t>
  </si>
  <si>
    <t>Allocated</t>
  </si>
  <si>
    <t>2 x 405.70</t>
  </si>
  <si>
    <t>7k Loan</t>
  </si>
  <si>
    <t>Interest?</t>
  </si>
  <si>
    <t>All Inclusive</t>
  </si>
  <si>
    <t>Mixes</t>
  </si>
  <si>
    <t>3 Day Workshop</t>
  </si>
  <si>
    <t>Tuition Only</t>
  </si>
  <si>
    <t>All  Inc</t>
  </si>
  <si>
    <t>All Inc</t>
  </si>
  <si>
    <t>Revenue</t>
  </si>
  <si>
    <t>Discount Risk</t>
  </si>
  <si>
    <t>Net Revenue</t>
  </si>
  <si>
    <t>Card Fees</t>
  </si>
  <si>
    <t>B&amp;B</t>
  </si>
  <si>
    <t>Admin</t>
  </si>
  <si>
    <t>Batsford 1 day</t>
  </si>
  <si>
    <t>Batsford 1/2 Day</t>
  </si>
  <si>
    <t>Time Hrs</t>
  </si>
  <si>
    <t>Labour Hrly Rate</t>
  </si>
  <si>
    <t>Admin Rate</t>
  </si>
  <si>
    <t>Profit</t>
  </si>
  <si>
    <t>Classes</t>
  </si>
  <si>
    <t>Without Labour</t>
  </si>
  <si>
    <t>RRP</t>
  </si>
  <si>
    <t>2 Day Workshop</t>
  </si>
  <si>
    <t>Mix</t>
  </si>
  <si>
    <t>4wk Begiiners</t>
  </si>
  <si>
    <t>4wk Intermediates</t>
  </si>
  <si>
    <t>Intentions</t>
  </si>
  <si>
    <t>Premium</t>
  </si>
  <si>
    <t>Private Tuition</t>
  </si>
  <si>
    <t>Weekday Daytime 1hr</t>
  </si>
  <si>
    <t>Evening or Weekend 1hr</t>
  </si>
  <si>
    <t>Weekday Day time 2hrs</t>
  </si>
  <si>
    <t>Evening or Weekend 2hrs</t>
  </si>
  <si>
    <t>Weekday 4hrs</t>
  </si>
  <si>
    <t>Evening or Weekend 4hrs</t>
  </si>
  <si>
    <t>Weekday Daytime 8hrs</t>
  </si>
  <si>
    <t>1 Day Workshop</t>
  </si>
  <si>
    <t>Evening or Weekend 8hrs</t>
  </si>
  <si>
    <t>Courses//1-2-1</t>
  </si>
  <si>
    <t>Cost of Running Business</t>
  </si>
  <si>
    <t>Per Year</t>
  </si>
  <si>
    <t>Per event</t>
  </si>
  <si>
    <t>Eversure (Equipment Insurance)</t>
  </si>
  <si>
    <t>Blog Engage</t>
  </si>
  <si>
    <t>Viking Local Digital Assets</t>
  </si>
  <si>
    <t>AXA (PL)</t>
  </si>
  <si>
    <t>Squarspace (website)</t>
  </si>
  <si>
    <t>Central Cost</t>
  </si>
  <si>
    <t>Embed Social (Reviews)</t>
  </si>
  <si>
    <t>FOR HRMC - Business Expenses</t>
  </si>
  <si>
    <t>Domain Renewals</t>
  </si>
  <si>
    <t>WEBCEO</t>
  </si>
  <si>
    <t>Tiny JPG Comprssion</t>
  </si>
  <si>
    <t>General Printing</t>
  </si>
  <si>
    <t>BIPP</t>
  </si>
  <si>
    <t>Other advertising</t>
  </si>
  <si>
    <t>WorldPay &amp; Paypal Fees</t>
  </si>
  <si>
    <t>Cloudflare (hosting)</t>
  </si>
  <si>
    <t>Car Services/MOT/Repairs</t>
  </si>
  <si>
    <t>1 Day</t>
  </si>
  <si>
    <t>1/2 day</t>
  </si>
  <si>
    <t>Click Submit</t>
  </si>
  <si>
    <t>Class/Walk</t>
  </si>
  <si>
    <t>Hours (4hrs pd, 5 days pw @ £10ph)</t>
  </si>
  <si>
    <t>Business Service Cost</t>
  </si>
  <si>
    <t>Services Regardless @ 50%</t>
  </si>
  <si>
    <t>Batsford Commision</t>
  </si>
  <si>
    <t>Norton</t>
  </si>
  <si>
    <t>LR Plug-ins</t>
  </si>
  <si>
    <t>Electric/Gas</t>
  </si>
  <si>
    <t>Personal Services Regardless</t>
  </si>
  <si>
    <t>Combined</t>
  </si>
  <si>
    <t>Business Cost pm (exc labour)</t>
  </si>
  <si>
    <t>Printing</t>
  </si>
  <si>
    <t>Admin Cost</t>
  </si>
  <si>
    <t>4wk Course Beginners</t>
  </si>
  <si>
    <t>4 wk Course Intermediates</t>
  </si>
  <si>
    <t>Rate</t>
  </si>
  <si>
    <t>Started</t>
  </si>
  <si>
    <t>Steve</t>
  </si>
  <si>
    <t>Chilton</t>
  </si>
  <si>
    <t>Jacki</t>
  </si>
  <si>
    <t>Rosin</t>
  </si>
  <si>
    <t>Caroline</t>
  </si>
  <si>
    <t>Gee</t>
  </si>
  <si>
    <t>Louise</t>
  </si>
  <si>
    <t>harris</t>
  </si>
  <si>
    <t>Verity</t>
  </si>
  <si>
    <t>Rivers</t>
  </si>
  <si>
    <t>Karen</t>
  </si>
  <si>
    <t>Barber</t>
  </si>
  <si>
    <t>Halifax</t>
  </si>
  <si>
    <t>Jean</t>
  </si>
  <si>
    <t>Dance</t>
  </si>
  <si>
    <t>Johanna</t>
  </si>
  <si>
    <t>Stansfield</t>
  </si>
  <si>
    <t>Pearce</t>
  </si>
  <si>
    <t>Mike</t>
  </si>
  <si>
    <t>Ford</t>
  </si>
  <si>
    <t>Amanda</t>
  </si>
  <si>
    <t>Fisher</t>
  </si>
  <si>
    <t>Natalie</t>
  </si>
  <si>
    <t>Jones</t>
  </si>
  <si>
    <t>Crowson</t>
  </si>
  <si>
    <t>Lambert</t>
  </si>
  <si>
    <t>Christopher</t>
  </si>
  <si>
    <t>Parker</t>
  </si>
  <si>
    <t>14th</t>
  </si>
  <si>
    <t>Panayides</t>
  </si>
  <si>
    <t>Sarah</t>
  </si>
  <si>
    <t>Vaughan</t>
  </si>
  <si>
    <t>Sue</t>
  </si>
  <si>
    <t>Keating</t>
  </si>
  <si>
    <t>Loraine</t>
  </si>
  <si>
    <t>Bryan</t>
  </si>
  <si>
    <t>Newbold</t>
  </si>
  <si>
    <t>Adrian</t>
  </si>
  <si>
    <t>Gains</t>
  </si>
  <si>
    <t>Paid by Mary</t>
  </si>
  <si>
    <t>mary.paterson@ymail.com</t>
  </si>
  <si>
    <t>Matthew</t>
  </si>
  <si>
    <t>Battison</t>
  </si>
  <si>
    <t xml:space="preserve">Philippa </t>
  </si>
  <si>
    <t>Thurgur</t>
  </si>
  <si>
    <t>leslie</t>
  </si>
  <si>
    <t>adams</t>
  </si>
  <si>
    <t>Rachel</t>
  </si>
  <si>
    <t>Carrell</t>
  </si>
  <si>
    <t>Shuna</t>
  </si>
  <si>
    <t>Frood</t>
  </si>
  <si>
    <t>10th</t>
  </si>
  <si>
    <t>Stuart</t>
  </si>
  <si>
    <t>Patrick</t>
  </si>
  <si>
    <t xml:space="preserve">Robiquet </t>
  </si>
  <si>
    <t>17th</t>
  </si>
  <si>
    <t>Philip</t>
  </si>
  <si>
    <t>Seymour</t>
  </si>
  <si>
    <t>Ann</t>
  </si>
  <si>
    <t>Gribble</t>
  </si>
  <si>
    <t>Maxine</t>
  </si>
  <si>
    <t>Watts</t>
  </si>
  <si>
    <t>Sadok</t>
  </si>
  <si>
    <t xml:space="preserve">Kohen </t>
  </si>
  <si>
    <t>David</t>
  </si>
  <si>
    <t>Varo</t>
  </si>
  <si>
    <t>Lynn</t>
  </si>
  <si>
    <t>Hughes</t>
  </si>
  <si>
    <t>Anne-Marie</t>
  </si>
  <si>
    <t xml:space="preserve"> Scott</t>
  </si>
  <si>
    <t>Murphy</t>
  </si>
  <si>
    <t xml:space="preserve">Chris </t>
  </si>
  <si>
    <t>Anthony</t>
  </si>
  <si>
    <t>Ashcroft</t>
  </si>
  <si>
    <t>Sam</t>
  </si>
  <si>
    <t>Cook</t>
  </si>
  <si>
    <t>Rebecca</t>
  </si>
  <si>
    <t>Long</t>
  </si>
  <si>
    <t>jeandance007@gmail.com</t>
  </si>
  <si>
    <t>Pilotte</t>
  </si>
  <si>
    <t>Philippa</t>
  </si>
  <si>
    <t>Gunn</t>
  </si>
  <si>
    <t>Roberts</t>
  </si>
  <si>
    <t>John</t>
  </si>
  <si>
    <t>Stubbs</t>
  </si>
  <si>
    <t>Nick</t>
  </si>
  <si>
    <t xml:space="preserve">DeCianti </t>
  </si>
  <si>
    <t xml:space="preserve">McGovern </t>
  </si>
  <si>
    <t>Fiona</t>
  </si>
  <si>
    <t>Brown</t>
  </si>
  <si>
    <t xml:space="preserve">John </t>
  </si>
  <si>
    <t>Hayes</t>
  </si>
  <si>
    <t xml:space="preserve">Raylene </t>
  </si>
  <si>
    <t xml:space="preserve">O'Leary </t>
  </si>
  <si>
    <t xml:space="preserve">Ina </t>
  </si>
  <si>
    <t>Wilkening</t>
  </si>
  <si>
    <t>4th</t>
  </si>
  <si>
    <t xml:space="preserve">Ivaylo </t>
  </si>
  <si>
    <t>Yorgov</t>
  </si>
  <si>
    <t>cancelled</t>
  </si>
  <si>
    <t xml:space="preserve">Frank </t>
  </si>
  <si>
    <t>Lovett</t>
  </si>
  <si>
    <t>Alyamani</t>
  </si>
  <si>
    <t>13th</t>
  </si>
  <si>
    <t xml:space="preserve">ickaohman@gmail.com </t>
  </si>
  <si>
    <t xml:space="preserve">Annika </t>
  </si>
  <si>
    <t>Öhman</t>
  </si>
  <si>
    <t>husamhsf@gmail.com</t>
  </si>
  <si>
    <t xml:space="preserve">Husam </t>
  </si>
  <si>
    <t>Fakhry</t>
  </si>
  <si>
    <t>jonathan_owl@yahoo.co.uk</t>
  </si>
  <si>
    <t xml:space="preserve">Jonathan </t>
  </si>
  <si>
    <t>Ellis</t>
  </si>
  <si>
    <t>seelypix@gmail.com</t>
  </si>
  <si>
    <t>Seely</t>
  </si>
  <si>
    <t>caroline.k9@btinternet.com</t>
  </si>
  <si>
    <t>Key</t>
  </si>
  <si>
    <t>mpuffett@virginmedia.com</t>
  </si>
  <si>
    <t xml:space="preserve">Michaela </t>
  </si>
  <si>
    <t>Puffett</t>
  </si>
  <si>
    <t xml:space="preserve">roberta.strambini@gmail.com </t>
  </si>
  <si>
    <t xml:space="preserve">Roberta </t>
  </si>
  <si>
    <t>Strambini</t>
  </si>
  <si>
    <t>31st</t>
  </si>
  <si>
    <t xml:space="preserve">sandywoods8910@gmail.com </t>
  </si>
  <si>
    <t>Sandy</t>
  </si>
  <si>
    <t>Woods</t>
  </si>
  <si>
    <t>pwillis1907@gmail.com</t>
  </si>
  <si>
    <t>Patricia</t>
  </si>
  <si>
    <t>willis</t>
  </si>
  <si>
    <t>janeliz.robb@gmail.com</t>
  </si>
  <si>
    <t>Robb</t>
  </si>
  <si>
    <t>jason.bunce@rocketmail.com</t>
  </si>
  <si>
    <t>Jason</t>
  </si>
  <si>
    <t>Bunce</t>
  </si>
  <si>
    <t>Gill</t>
  </si>
  <si>
    <t>Core</t>
  </si>
  <si>
    <t>07969282807</t>
  </si>
  <si>
    <t>N/A</t>
  </si>
  <si>
    <t>Con</t>
  </si>
  <si>
    <t>Malcom</t>
  </si>
  <si>
    <t>Park</t>
  </si>
  <si>
    <t xml:space="preserve">Joyce </t>
  </si>
  <si>
    <t>21st</t>
  </si>
  <si>
    <t xml:space="preserve">Martin  </t>
  </si>
  <si>
    <t>lindamauch@hotmail.com</t>
  </si>
  <si>
    <t>07968982943</t>
  </si>
  <si>
    <t xml:space="preserve">Linda </t>
  </si>
  <si>
    <t>Mauch</t>
  </si>
  <si>
    <t xml:space="preserve">ramchander@me.com </t>
  </si>
  <si>
    <t>07806531239</t>
  </si>
  <si>
    <t>Sanjay</t>
  </si>
  <si>
    <t>Ramchandert</t>
  </si>
  <si>
    <t>Mentoring Income</t>
  </si>
  <si>
    <t>Starts</t>
  </si>
  <si>
    <t>Ends</t>
  </si>
  <si>
    <t>pawelskibinski@wp.pl</t>
  </si>
  <si>
    <t>Pawel</t>
  </si>
  <si>
    <t xml:space="preserve">Skibiński </t>
  </si>
  <si>
    <t>simplybowen@hotmail.co.uk</t>
  </si>
  <si>
    <t>Harris</t>
  </si>
  <si>
    <t>knpearce@hotmail.com</t>
  </si>
  <si>
    <t>Quaterly</t>
  </si>
  <si>
    <t>lesptt@googlemail.com</t>
  </si>
  <si>
    <t xml:space="preserve">Simona </t>
  </si>
  <si>
    <t>Carena</t>
  </si>
  <si>
    <t>Vivian</t>
  </si>
  <si>
    <t>Miao</t>
  </si>
  <si>
    <t>malcolm.park@virginmedia.com</t>
  </si>
  <si>
    <t>chris@professionallink.co.uk</t>
  </si>
  <si>
    <t>Chris</t>
  </si>
  <si>
    <t>Shaw</t>
  </si>
  <si>
    <t>jhcrabs@gmail.com</t>
  </si>
  <si>
    <t>Jim</t>
  </si>
  <si>
    <t>Crabtree</t>
  </si>
  <si>
    <t>con.mchugh@gmail.com</t>
  </si>
  <si>
    <t xml:space="preserve">pjekirby@btinternet.com </t>
  </si>
  <si>
    <t>Paul</t>
  </si>
  <si>
    <t>Kirby</t>
  </si>
  <si>
    <t>maxinewatts@me.com</t>
  </si>
  <si>
    <t>Fionaadams90@gmail.com</t>
  </si>
  <si>
    <t>Adams</t>
  </si>
  <si>
    <t>jackirosin@gmail.com</t>
  </si>
  <si>
    <t>janice.jordan@shaylorgroup.com</t>
  </si>
  <si>
    <t>Janice</t>
  </si>
  <si>
    <t>Jordon</t>
  </si>
  <si>
    <t xml:space="preserve">garrymsuch@btinternet.com </t>
  </si>
  <si>
    <t xml:space="preserve">Gary </t>
  </si>
  <si>
    <t>Such</t>
  </si>
  <si>
    <t>edwards_rm@hotmail.co.uk</t>
  </si>
  <si>
    <t>Robert</t>
  </si>
  <si>
    <t>Edwards</t>
  </si>
  <si>
    <t>trainc616@aol.com</t>
  </si>
  <si>
    <t>Janet</t>
  </si>
  <si>
    <t>Train</t>
  </si>
  <si>
    <t>23rd</t>
  </si>
  <si>
    <t>irenematthews@me.com</t>
  </si>
  <si>
    <t>Irene</t>
  </si>
  <si>
    <t>Matthews</t>
  </si>
  <si>
    <t>15TH</t>
  </si>
  <si>
    <t>jgbox@btinternet.com</t>
  </si>
  <si>
    <t>Jennifer</t>
  </si>
  <si>
    <t>Box</t>
  </si>
  <si>
    <t>imlaurab@hotmail.co.uk</t>
  </si>
  <si>
    <t>Laura</t>
  </si>
  <si>
    <t>Byrne</t>
  </si>
  <si>
    <t>semnicholls@gmail.com</t>
  </si>
  <si>
    <t>Serena</t>
  </si>
  <si>
    <t>Nicholls</t>
  </si>
  <si>
    <t>amar.majid@live.com</t>
  </si>
  <si>
    <t xml:space="preserve">Amar </t>
  </si>
  <si>
    <t xml:space="preserve">Majid </t>
  </si>
  <si>
    <t>sandra_hoppy@hotmail.com</t>
  </si>
  <si>
    <t>Sandra</t>
  </si>
  <si>
    <t>Hoppy</t>
  </si>
  <si>
    <t>Paid up front</t>
  </si>
  <si>
    <t>philipogrady@sky.com</t>
  </si>
  <si>
    <t>Phil</t>
  </si>
  <si>
    <t>O'Grady</t>
  </si>
  <si>
    <t>chriswalkland@gmail.com</t>
  </si>
  <si>
    <t>Walkland</t>
  </si>
  <si>
    <t>emily@bcontracting.co.uk</t>
  </si>
  <si>
    <t>Emily</t>
  </si>
  <si>
    <t>Fernandez</t>
  </si>
  <si>
    <t>jamiebeardmore@yahoo.co.uk</t>
  </si>
  <si>
    <t>Jamie</t>
  </si>
  <si>
    <t>Bearmore</t>
  </si>
  <si>
    <t>25th</t>
  </si>
  <si>
    <t>c.j.franklin1@ntlworld.com</t>
  </si>
  <si>
    <t>Franklin</t>
  </si>
  <si>
    <t xml:space="preserve">n.pratt@gmx.de </t>
  </si>
  <si>
    <t xml:space="preserve">Nadine </t>
  </si>
  <si>
    <t>Pratt</t>
  </si>
  <si>
    <t>fiona@flbrown.com</t>
  </si>
  <si>
    <t>nathan920@ymail.com</t>
  </si>
  <si>
    <t>Nathan</t>
  </si>
  <si>
    <t>Jogia</t>
  </si>
  <si>
    <t>amanda_graham@hotmail.co.uk</t>
  </si>
  <si>
    <t xml:space="preserve">Amanda </t>
  </si>
  <si>
    <t>Graham</t>
  </si>
  <si>
    <t xml:space="preserve">heathermarie412@hotmail.co.uk </t>
  </si>
  <si>
    <t>Heather</t>
  </si>
  <si>
    <t>Powell</t>
  </si>
  <si>
    <t>annewatkinson@talk21.com</t>
  </si>
  <si>
    <t>Watkindon</t>
  </si>
  <si>
    <t xml:space="preserve">esterriordan@hotmail.co.uk </t>
  </si>
  <si>
    <t xml:space="preserve">ESTER </t>
  </si>
  <si>
    <t>RIORDAN</t>
  </si>
  <si>
    <t>jaymeslynch@hotmail.com</t>
  </si>
  <si>
    <t>Lynch</t>
  </si>
  <si>
    <t xml:space="preserve">johanna81005@gmail.com </t>
  </si>
  <si>
    <t>inwanderment@gmail.com</t>
  </si>
  <si>
    <t>Steffan</t>
  </si>
  <si>
    <t>Chave</t>
  </si>
  <si>
    <t xml:space="preserve">rob.j.hull@gmail.com </t>
  </si>
  <si>
    <t>Hull</t>
  </si>
  <si>
    <t xml:space="preserve">kamkaur7373@yahoo.com </t>
  </si>
  <si>
    <t xml:space="preserve">Kamaljit </t>
  </si>
  <si>
    <t>Mattu</t>
  </si>
  <si>
    <t xml:space="preserve">lianhoran84@yahoo.co.uk </t>
  </si>
  <si>
    <t>Lian</t>
  </si>
  <si>
    <t>Hora</t>
  </si>
  <si>
    <t>georgiek272@gmail.com</t>
  </si>
  <si>
    <t>Georgina</t>
  </si>
  <si>
    <t>Chimes</t>
  </si>
  <si>
    <t>Nikki</t>
  </si>
  <si>
    <t>Cahill</t>
  </si>
  <si>
    <t xml:space="preserve">Jo </t>
  </si>
  <si>
    <t>Batacanin</t>
  </si>
  <si>
    <t xml:space="preserve">Mike </t>
  </si>
  <si>
    <t>Smith</t>
  </si>
  <si>
    <t>Beddis</t>
  </si>
  <si>
    <t>Ellie</t>
  </si>
  <si>
    <t>Costello</t>
  </si>
  <si>
    <t>Ben</t>
  </si>
  <si>
    <t>Morphet</t>
  </si>
  <si>
    <t>Bloor</t>
  </si>
  <si>
    <t>Howard</t>
  </si>
  <si>
    <t>Allen</t>
  </si>
  <si>
    <t>Teresa</t>
  </si>
  <si>
    <t>Buck</t>
  </si>
  <si>
    <t>Nicola</t>
  </si>
  <si>
    <t>Ward</t>
  </si>
  <si>
    <t>Alison</t>
  </si>
  <si>
    <t>Williams</t>
  </si>
  <si>
    <t>Lucy</t>
  </si>
  <si>
    <t>Standford</t>
  </si>
  <si>
    <t>Joanne</t>
  </si>
  <si>
    <t>Bestwick</t>
  </si>
  <si>
    <t>Mitchell</t>
  </si>
  <si>
    <t>Taylor</t>
  </si>
  <si>
    <t>Nina</t>
  </si>
  <si>
    <t>Dhanani</t>
  </si>
  <si>
    <t>Qtr/Ann</t>
  </si>
  <si>
    <t xml:space="preserve">Jean </t>
  </si>
  <si>
    <t>Andringa</t>
  </si>
  <si>
    <t>Galloway</t>
  </si>
  <si>
    <t>Emoke</t>
  </si>
  <si>
    <t xml:space="preserve"> Ispan</t>
  </si>
  <si>
    <t>Pick n Mix Income</t>
  </si>
  <si>
    <t>Workshop Balances</t>
  </si>
  <si>
    <t>Course Balances</t>
  </si>
  <si>
    <t>1-2-1 Balances</t>
  </si>
  <si>
    <t>PicknMix Balances</t>
  </si>
  <si>
    <t>Mentoring Balances</t>
  </si>
  <si>
    <t>Total Outstanding Balances</t>
  </si>
  <si>
    <t>Daniel Kirkup</t>
  </si>
  <si>
    <t>1st Dec</t>
  </si>
  <si>
    <t>Nigel Johnson</t>
  </si>
  <si>
    <t>Ranjit Tattar</t>
  </si>
  <si>
    <t>23rd Jan</t>
  </si>
  <si>
    <t>Nigel Dockerty</t>
  </si>
  <si>
    <t>Andrew Johnson</t>
  </si>
  <si>
    <t>Susan Thompson</t>
  </si>
  <si>
    <t>24 Feb</t>
  </si>
  <si>
    <t>Examples</t>
  </si>
  <si>
    <t>Booking</t>
  </si>
  <si>
    <t>Commercial Shoots - Costings</t>
  </si>
  <si>
    <t>Alne Park</t>
  </si>
  <si>
    <t>Austin B&amp;B</t>
  </si>
  <si>
    <t>Bridge House</t>
  </si>
  <si>
    <t>Henry Hinde Infant School</t>
  </si>
  <si>
    <t>Package</t>
  </si>
  <si>
    <t>Free Premium</t>
  </si>
  <si>
    <t>Free Luxury</t>
  </si>
  <si>
    <t>Free Special</t>
  </si>
  <si>
    <t>Special Intro</t>
  </si>
  <si>
    <t>Hrly Rate</t>
  </si>
  <si>
    <t>Mileage Rate</t>
  </si>
  <si>
    <t>Travel Time</t>
  </si>
  <si>
    <t>Travel Miles</t>
  </si>
  <si>
    <t>On site time</t>
  </si>
  <si>
    <t>Editing Hrs</t>
  </si>
  <si>
    <t>No' Photos</t>
  </si>
  <si>
    <t>Admin/Publishing</t>
  </si>
  <si>
    <t>Shot/Edit Time per Photo (mins)</t>
  </si>
  <si>
    <t>Coster per photo - Shoot &amp; Edit</t>
  </si>
  <si>
    <t>Mileage</t>
  </si>
  <si>
    <t>Time Travel</t>
  </si>
  <si>
    <t>Time Shooting</t>
  </si>
  <si>
    <t>Time Editing</t>
  </si>
  <si>
    <t>Time Admin</t>
  </si>
  <si>
    <t>Total Time</t>
  </si>
  <si>
    <t>Cost per photo</t>
  </si>
  <si>
    <t>Selling</t>
  </si>
  <si>
    <t>Packages</t>
  </si>
  <si>
    <t>Time</t>
  </si>
  <si>
    <t>Luxury</t>
  </si>
  <si>
    <t>Special</t>
  </si>
  <si>
    <t>Price Agreed</t>
  </si>
  <si>
    <t>Photos Qty</t>
  </si>
  <si>
    <t>Travel Cost Miles &amp; Time</t>
  </si>
  <si>
    <t>Cost Less Travel</t>
  </si>
  <si>
    <t>Hrs for job</t>
  </si>
  <si>
    <t>Package Price</t>
  </si>
  <si>
    <t>Sale price per photo</t>
  </si>
  <si>
    <t>Margin per photo</t>
  </si>
  <si>
    <t>Margin on package</t>
  </si>
  <si>
    <t>Miles Rate</t>
  </si>
  <si>
    <t>time per mile</t>
  </si>
  <si>
    <t>Mileage Rate per mile</t>
  </si>
  <si>
    <t>Cost per mile - time &amp; fuel</t>
  </si>
  <si>
    <t>Alternate Package Pricing (exc travel)</t>
  </si>
  <si>
    <t>Plus Travel Cost @ 1.38 per mile</t>
  </si>
  <si>
    <t>Petrol per day</t>
  </si>
  <si>
    <t>My food per day</t>
  </si>
  <si>
    <t>Car Hire Per day</t>
  </si>
  <si>
    <t>Central Admin Cost</t>
  </si>
  <si>
    <t>Hourly Rate</t>
  </si>
  <si>
    <t>Location</t>
  </si>
  <si>
    <t>Residential</t>
  </si>
  <si>
    <t>Clients:</t>
  </si>
  <si>
    <t>2.5hr- 1Day</t>
  </si>
  <si>
    <t>Nights</t>
  </si>
  <si>
    <t>Days</t>
  </si>
  <si>
    <t>Inc Food Client</t>
  </si>
  <si>
    <t>My Food</t>
  </si>
  <si>
    <t>Admin - Central Cost per event</t>
  </si>
  <si>
    <t>Net Profit</t>
  </si>
  <si>
    <t>Price increase - Based on 2 clients</t>
  </si>
  <si>
    <t>Min To Break Even</t>
  </si>
  <si>
    <t>Room Rate PN</t>
  </si>
  <si>
    <t>3 days</t>
  </si>
  <si>
    <t>2 days</t>
  </si>
  <si>
    <t>2 Days</t>
  </si>
  <si>
    <t>4 Days</t>
  </si>
  <si>
    <t>Includes Dinner &amp; Breakfast</t>
  </si>
  <si>
    <t>joyceejames@me.com</t>
  </si>
  <si>
    <t>4 Archers Spinney</t>
  </si>
  <si>
    <t>Watts Lane</t>
  </si>
  <si>
    <t>Rugby</t>
  </si>
  <si>
    <t>CV21 4PH</t>
  </si>
  <si>
    <t>rosamund6142@btinternet.com</t>
  </si>
  <si>
    <t>14 Austcliff Drive</t>
  </si>
  <si>
    <t>Widney Manor</t>
  </si>
  <si>
    <t>Solihull</t>
  </si>
  <si>
    <t>B91 3XT</t>
  </si>
  <si>
    <t>Cameron</t>
  </si>
  <si>
    <t>Blake</t>
  </si>
  <si>
    <t>rokitowska@o2.pl</t>
  </si>
  <si>
    <t>4 Canon Hudson Close</t>
  </si>
  <si>
    <t>Coventry</t>
  </si>
  <si>
    <t>CV3 3HT</t>
  </si>
  <si>
    <t>West Midlands</t>
  </si>
  <si>
    <t>Simon</t>
  </si>
  <si>
    <t>Betteridge</t>
  </si>
  <si>
    <t>davidandringa2002@gmail.com</t>
  </si>
  <si>
    <t>69 Jefferson Way</t>
  </si>
  <si>
    <t>Bannerbrook Park</t>
  </si>
  <si>
    <t>CV4 9WL</t>
  </si>
  <si>
    <t>England</t>
  </si>
  <si>
    <t>Garry</t>
  </si>
  <si>
    <t>clhannis@hotmail.co.uk</t>
  </si>
  <si>
    <t>32 Crediton Close</t>
  </si>
  <si>
    <t>CV3 5PX</t>
  </si>
  <si>
    <t>karenskillings@live.co.uk</t>
  </si>
  <si>
    <t>6 Trevelyan Close, ClaverdonWarwick</t>
  </si>
  <si>
    <t>CV35 8PA</t>
  </si>
  <si>
    <t>Jackie</t>
  </si>
  <si>
    <t>17 Benton Green Lane</t>
  </si>
  <si>
    <t>CV7 7DB</t>
  </si>
  <si>
    <t>Nicholas</t>
  </si>
  <si>
    <t>101 Birchfield Road</t>
  </si>
  <si>
    <t>CV6 2BB</t>
  </si>
  <si>
    <t>Mum &amp; Victor</t>
  </si>
  <si>
    <t>Nichols</t>
  </si>
  <si>
    <t>Angela</t>
  </si>
  <si>
    <t>Jack &amp; Amber</t>
  </si>
  <si>
    <t>Boulter</t>
  </si>
  <si>
    <t>martinandhelen123@gmail.com</t>
  </si>
  <si>
    <t>Morgan House,</t>
  </si>
  <si>
    <t>2 Claylands, Gaydon</t>
  </si>
  <si>
    <t>Warwick</t>
  </si>
  <si>
    <t>CV35 0ES</t>
  </si>
  <si>
    <t xml:space="preserve">Robert </t>
  </si>
  <si>
    <t>Jeremy</t>
  </si>
  <si>
    <t>Troth</t>
  </si>
  <si>
    <t>Kasia</t>
  </si>
  <si>
    <t>High View, Main Street</t>
  </si>
  <si>
    <t>UPPER STOWE</t>
  </si>
  <si>
    <t>NN7 4SH</t>
  </si>
  <si>
    <t>Northants</t>
  </si>
  <si>
    <t xml:space="preserve">Justin </t>
  </si>
  <si>
    <t>Meaden</t>
  </si>
  <si>
    <t>Neil Chester</t>
  </si>
  <si>
    <t>Rhiordan</t>
  </si>
  <si>
    <t>Horton</t>
  </si>
  <si>
    <t>Ibstock</t>
  </si>
  <si>
    <t>10 Juniper Close</t>
  </si>
  <si>
    <t>Lutterworth</t>
  </si>
  <si>
    <t>lutterworth</t>
  </si>
  <si>
    <t>LE174US</t>
  </si>
  <si>
    <t>Leicestershire</t>
  </si>
  <si>
    <t>johanna81005@gmail.com</t>
  </si>
  <si>
    <t>10 Tylers Grove</t>
  </si>
  <si>
    <t>B90 4TJ</t>
  </si>
  <si>
    <t>Harriet</t>
  </si>
  <si>
    <t>Bowley</t>
  </si>
  <si>
    <t>Shuna Frood</t>
  </si>
  <si>
    <t>Rosamund</t>
  </si>
  <si>
    <t>Shephard</t>
  </si>
  <si>
    <t>peter@hagger.org</t>
  </si>
  <si>
    <t>106 Hayling Avenue</t>
  </si>
  <si>
    <t>Little Paxton</t>
  </si>
  <si>
    <t>ST. NEOTS</t>
  </si>
  <si>
    <t>PE19 6HQ</t>
  </si>
  <si>
    <t>Cambs</t>
  </si>
  <si>
    <t>Simona Carena</t>
  </si>
  <si>
    <t>Helen</t>
  </si>
  <si>
    <t>Sotheran</t>
  </si>
  <si>
    <t>Malcolm</t>
  </si>
  <si>
    <t xml:space="preserve">Janet </t>
  </si>
  <si>
    <t xml:space="preserve">Dennis </t>
  </si>
  <si>
    <t>Jeffrey</t>
  </si>
  <si>
    <t>Johnson</t>
  </si>
  <si>
    <t>Paul Skidmore</t>
  </si>
  <si>
    <t xml:space="preserve">Riordan </t>
  </si>
  <si>
    <t>harriet.bowley@hotmail.co.uk</t>
  </si>
  <si>
    <t>50A Warwick Place</t>
  </si>
  <si>
    <t>Leamington Spa</t>
  </si>
  <si>
    <t>CV32 5DF</t>
  </si>
  <si>
    <t>Steve Barber</t>
  </si>
  <si>
    <t>Jordan</t>
  </si>
  <si>
    <t>jamesparker77@hotmail.com</t>
  </si>
  <si>
    <t>5 Archery Road</t>
  </si>
  <si>
    <t>Leamington spa</t>
  </si>
  <si>
    <t>Cv31 3pt</t>
  </si>
  <si>
    <t>Warks</t>
  </si>
  <si>
    <t>martin@ormerod.uk.net</t>
  </si>
  <si>
    <t>99 Rugby Road</t>
  </si>
  <si>
    <t>Milverton</t>
  </si>
  <si>
    <t>CV32 6DH</t>
  </si>
  <si>
    <t>Gary</t>
  </si>
  <si>
    <t>Griffiths</t>
  </si>
  <si>
    <t>Dean</t>
  </si>
  <si>
    <t>Moore</t>
  </si>
  <si>
    <t>Martin</t>
  </si>
  <si>
    <t>Tony</t>
  </si>
  <si>
    <t>Teague</t>
  </si>
  <si>
    <t>George</t>
  </si>
  <si>
    <t>Jade</t>
  </si>
  <si>
    <t>Kerri-Dibb</t>
  </si>
  <si>
    <t>Mum</t>
  </si>
  <si>
    <t>Martin Hughes</t>
  </si>
  <si>
    <t xml:space="preserve">Jack   </t>
  </si>
  <si>
    <t>Josh</t>
  </si>
  <si>
    <t>Dean Moore</t>
  </si>
  <si>
    <t>No'43</t>
  </si>
  <si>
    <t>Next door</t>
  </si>
  <si>
    <t>Owen King</t>
  </si>
  <si>
    <t>No' 47</t>
  </si>
  <si>
    <t>Donna</t>
  </si>
  <si>
    <t>Ian Bowers</t>
  </si>
  <si>
    <t>No' 49</t>
  </si>
  <si>
    <t>Gary Taylor</t>
  </si>
  <si>
    <t>caroline Key</t>
  </si>
  <si>
    <t>Jade Kerri-Dibb</t>
  </si>
  <si>
    <t>angela</t>
  </si>
  <si>
    <t xml:space="preserve">Lynn </t>
  </si>
  <si>
    <t>Linda</t>
  </si>
  <si>
    <t>Birkenhead</t>
  </si>
  <si>
    <t>A4 Tinteretto Calendars based on a run of 25</t>
  </si>
  <si>
    <t>6 prints @ £2 (2 mounted 4 unmounted)</t>
  </si>
  <si>
    <t>2 mount on thin card @ £2</t>
  </si>
  <si>
    <t>£5 hanging kits and fitting.</t>
  </si>
  <si>
    <t>£21 each ex delivery and VAT</t>
  </si>
  <si>
    <t>No'</t>
  </si>
  <si>
    <t>Email Address</t>
  </si>
  <si>
    <t>Feedback method</t>
  </si>
  <si>
    <t>Date Booked</t>
  </si>
  <si>
    <t>Frequency</t>
  </si>
  <si>
    <t>Event Date</t>
  </si>
  <si>
    <t>EG</t>
  </si>
  <si>
    <t>angelacox@hotmail.com</t>
  </si>
  <si>
    <t>01214761828</t>
  </si>
  <si>
    <t>From 20th Apr</t>
  </si>
  <si>
    <t>Spring</t>
  </si>
  <si>
    <t>Landscape</t>
  </si>
  <si>
    <t>Movement</t>
  </si>
  <si>
    <t>Square Mile</t>
  </si>
  <si>
    <t>Still Life</t>
  </si>
  <si>
    <t>Autumn</t>
  </si>
  <si>
    <t>B&amp;W</t>
  </si>
  <si>
    <t>Triptych</t>
  </si>
  <si>
    <t>Minimalism</t>
  </si>
  <si>
    <t>Urban Spaces</t>
  </si>
  <si>
    <t>Dice</t>
  </si>
  <si>
    <t>Reflections</t>
  </si>
  <si>
    <t>Self-Portrait</t>
  </si>
  <si>
    <t>Env Portrait</t>
  </si>
  <si>
    <t>Droplets</t>
  </si>
  <si>
    <t>winter</t>
  </si>
  <si>
    <t>07771824550</t>
  </si>
  <si>
    <t>From 15th Oct</t>
  </si>
  <si>
    <t>joannegalloway2003@yahoo.co.uk</t>
  </si>
  <si>
    <t>07974437317</t>
  </si>
  <si>
    <t>Aug 15th 2024 to Jul 15th 2025</t>
  </si>
  <si>
    <t>barford.neil@gmail.com</t>
  </si>
  <si>
    <t>Neil</t>
  </si>
  <si>
    <t>Barford</t>
  </si>
  <si>
    <t>07530694834</t>
  </si>
  <si>
    <t>From 15th March</t>
  </si>
  <si>
    <t>07850404545</t>
  </si>
  <si>
    <t>myra_little@hotmail.com</t>
  </si>
  <si>
    <t>Myra</t>
  </si>
  <si>
    <t>Little</t>
  </si>
  <si>
    <t>07483242312</t>
  </si>
  <si>
    <t>From 15th Nov 2024</t>
  </si>
  <si>
    <t xml:space="preserve">robert.andrew.gibson@gmail.com </t>
  </si>
  <si>
    <t>Gibson</t>
  </si>
  <si>
    <t>From 15th Dec to 15th Nov 2024</t>
  </si>
  <si>
    <t>Jayden.farrell87@gmail.com</t>
  </si>
  <si>
    <t xml:space="preserve">Jayden </t>
  </si>
  <si>
    <t>Farrell</t>
  </si>
  <si>
    <t xml:space="preserve">dene.caple@googlemail.com </t>
  </si>
  <si>
    <t>Dene</t>
  </si>
  <si>
    <t>Caple</t>
  </si>
  <si>
    <t>From 15th Dec 2023</t>
  </si>
  <si>
    <t xml:space="preserve">martyn.alberry@gmail.com </t>
  </si>
  <si>
    <t xml:space="preserve">Martyn </t>
  </si>
  <si>
    <t>Alberry</t>
  </si>
  <si>
    <t>07553961372</t>
  </si>
  <si>
    <t>From Feb 2024</t>
  </si>
  <si>
    <t>kelly.westwood@icloud.com</t>
  </si>
  <si>
    <t>Kelly</t>
  </si>
  <si>
    <t>Westwood</t>
  </si>
  <si>
    <t>07507563818</t>
  </si>
  <si>
    <t>b.voules@btinternet.com</t>
  </si>
  <si>
    <t xml:space="preserve">Barbara </t>
  </si>
  <si>
    <t>Voules</t>
  </si>
  <si>
    <t xml:space="preserve">07843 113310 </t>
  </si>
  <si>
    <t>07969062090</t>
  </si>
  <si>
    <t>From 15th Nov</t>
  </si>
  <si>
    <t>flax0001@gmail.com</t>
  </si>
  <si>
    <t>Flack</t>
  </si>
  <si>
    <t>07828130413</t>
  </si>
  <si>
    <t>From Oct 22 to Sep 23</t>
  </si>
  <si>
    <t>dosinski1990@outlook.com</t>
  </si>
  <si>
    <t xml:space="preserve">Daniel </t>
  </si>
  <si>
    <t>Osinski</t>
  </si>
  <si>
    <t>07388908988</t>
  </si>
  <si>
    <t>From March 15 2023</t>
  </si>
  <si>
    <t>nicky1983mills@gmail.com</t>
  </si>
  <si>
    <t>Nicky</t>
  </si>
  <si>
    <t>Mills</t>
  </si>
  <si>
    <t>07730559092</t>
  </si>
  <si>
    <t>From 15 Sep 2023</t>
  </si>
  <si>
    <t>07957365779</t>
  </si>
  <si>
    <t>07903491740</t>
  </si>
  <si>
    <t>07860728128</t>
  </si>
  <si>
    <t>From 15th Jan 2022</t>
  </si>
  <si>
    <t>From 28th Mar</t>
  </si>
  <si>
    <t>on hold</t>
  </si>
  <si>
    <t>From 15th June</t>
  </si>
  <si>
    <t>439379732</t>
  </si>
  <si>
    <t>Ftom 15th June</t>
  </si>
  <si>
    <t>rfveiga@gmail.com</t>
  </si>
  <si>
    <t xml:space="preserve">Rafa </t>
  </si>
  <si>
    <t>Veiga</t>
  </si>
  <si>
    <t>3 Months</t>
  </si>
  <si>
    <t>One Off</t>
  </si>
  <si>
    <t>From 15th Apr 2021</t>
  </si>
  <si>
    <t>07947033788</t>
  </si>
  <si>
    <t>From 16th Jan</t>
  </si>
  <si>
    <t>ON HOLD</t>
  </si>
  <si>
    <t>ON Hold</t>
  </si>
  <si>
    <t>From 17th Jul</t>
  </si>
  <si>
    <t>fjohnstubbs@icloud.com</t>
  </si>
  <si>
    <t>07792861347</t>
  </si>
  <si>
    <t>From Feb 18 to Jan19</t>
  </si>
  <si>
    <t xml:space="preserve">i.yorgov@gmail.com </t>
  </si>
  <si>
    <t>00359899849656</t>
  </si>
  <si>
    <t>10 Mar</t>
  </si>
  <si>
    <t>From 15th Mar</t>
  </si>
  <si>
    <t>yussuf.al.yamani@gmail.com</t>
  </si>
  <si>
    <t>0096598863315</t>
  </si>
  <si>
    <t>From 15th Apr</t>
  </si>
  <si>
    <t>i.wilkening@warwick.ac.uk</t>
  </si>
  <si>
    <t>07957472979</t>
  </si>
  <si>
    <t>From Feb 15th</t>
  </si>
  <si>
    <t>07946317549</t>
  </si>
  <si>
    <t>From May-18</t>
  </si>
  <si>
    <t>frank2807@gmail.com</t>
  </si>
  <si>
    <t>07968025501</t>
  </si>
  <si>
    <t>07411170250</t>
  </si>
  <si>
    <t>From 29 March</t>
  </si>
  <si>
    <t>Macro/close up</t>
  </si>
  <si>
    <t>Annual Plans</t>
  </si>
  <si>
    <t>Annual Total</t>
  </si>
  <si>
    <t>Panoramic</t>
  </si>
  <si>
    <t>Portrait</t>
  </si>
  <si>
    <t>Astrophotography</t>
  </si>
  <si>
    <t>Wildlife</t>
  </si>
  <si>
    <t>Night</t>
  </si>
  <si>
    <t>Composite</t>
  </si>
  <si>
    <t>Nature</t>
  </si>
  <si>
    <t>Sport</t>
  </si>
  <si>
    <t>Fashion</t>
  </si>
  <si>
    <t>Photo Journalism</t>
  </si>
  <si>
    <t>Documentary</t>
  </si>
  <si>
    <t xml:space="preserve">Aerial </t>
  </si>
  <si>
    <t>Product</t>
  </si>
  <si>
    <t>Conceptual/Fine Art</t>
  </si>
  <si>
    <t>Street</t>
  </si>
  <si>
    <t xml:space="preserve">Boudoir </t>
  </si>
  <si>
    <t xml:space="preserve">Urban </t>
  </si>
  <si>
    <t>Real Estate</t>
  </si>
  <si>
    <t>Monthly Plans</t>
  </si>
  <si>
    <t>Monthly Total</t>
  </si>
  <si>
    <t>Dec-14</t>
  </si>
  <si>
    <t>Jan-15</t>
  </si>
  <si>
    <t>Feb-15</t>
  </si>
  <si>
    <t>Mar-15</t>
  </si>
  <si>
    <t>Apr-15</t>
  </si>
  <si>
    <t>May-15</t>
  </si>
  <si>
    <t>Jun-15</t>
  </si>
  <si>
    <t>Jul-15</t>
  </si>
  <si>
    <t>Aug-15</t>
  </si>
  <si>
    <t>Sep-15</t>
  </si>
  <si>
    <t>Oct-15</t>
  </si>
  <si>
    <t>Nov-15</t>
  </si>
  <si>
    <t>Dec-15</t>
  </si>
  <si>
    <t>Jan-16</t>
  </si>
  <si>
    <t>Feb-16</t>
  </si>
  <si>
    <t>Mar-16</t>
  </si>
  <si>
    <t>gill.core@btinternet.com</t>
  </si>
  <si>
    <t>x</t>
  </si>
  <si>
    <t>mike1ford@hotmail.co.uk</t>
  </si>
  <si>
    <t xml:space="preserve">mhughesuk@me.com </t>
  </si>
  <si>
    <t>Mr</t>
  </si>
  <si>
    <t>Ramchander</t>
  </si>
  <si>
    <t>chrisjohnson305@btinternet.com</t>
  </si>
  <si>
    <t>janepaulmurphy@btinternet.com</t>
  </si>
  <si>
    <t>07880827475</t>
  </si>
  <si>
    <t>Jan 2017 to Dec 2017</t>
  </si>
  <si>
    <t>Dec 16 to Nov 17</t>
  </si>
  <si>
    <t>Kaysu@hotmail.com</t>
  </si>
  <si>
    <t>From Sep-17</t>
  </si>
  <si>
    <t>Nov 16 to Oct 17</t>
  </si>
  <si>
    <t>From Jun 17</t>
  </si>
  <si>
    <t>Jun 16 to May 17</t>
  </si>
  <si>
    <t>david.varo@outlook.com</t>
  </si>
  <si>
    <t>07968437123</t>
  </si>
  <si>
    <t>August 16 to Jul 17</t>
  </si>
  <si>
    <t>uklynnh@gmail.com</t>
  </si>
  <si>
    <t>07736059442</t>
  </si>
  <si>
    <t>shunafrood@gmail.com</t>
  </si>
  <si>
    <t>monthly</t>
  </si>
  <si>
    <t>42</t>
  </si>
  <si>
    <t>07940738807</t>
  </si>
  <si>
    <t>E17 9HH</t>
  </si>
  <si>
    <t>11</t>
  </si>
  <si>
    <t>Kohen</t>
  </si>
  <si>
    <t>15th May 2016</t>
  </si>
  <si>
    <t>39</t>
  </si>
  <si>
    <t>Istanbul</t>
  </si>
  <si>
    <t>karenbarber7@hotmail.com</t>
  </si>
  <si>
    <t>36</t>
  </si>
  <si>
    <t>07796810570</t>
  </si>
  <si>
    <t>cv10 8nn</t>
  </si>
  <si>
    <t>1 Brendon Way</t>
  </si>
  <si>
    <t>Jan 2016 to Dec 2016</t>
  </si>
  <si>
    <t>verbal</t>
  </si>
  <si>
    <t>Jul 15 - jun 16</t>
  </si>
  <si>
    <t>written</t>
  </si>
  <si>
    <t>Mar 15- Feb 16</t>
  </si>
  <si>
    <t>pr@patrickrobiquet.com</t>
  </si>
  <si>
    <t xml:space="preserve">07,771,940,208 </t>
  </si>
  <si>
    <t>philseymour77@gmail.com</t>
  </si>
  <si>
    <t>rachel.carrell@gmail.com</t>
  </si>
  <si>
    <t>35</t>
  </si>
  <si>
    <t>07944876572</t>
  </si>
  <si>
    <t>n65qj</t>
  </si>
  <si>
    <t>Flat 6, 23 Shepherd's Hill</t>
  </si>
  <si>
    <t>visserruurd1@hotmail.com</t>
  </si>
  <si>
    <t xml:space="preserve">ruurd </t>
  </si>
  <si>
    <t>visser &lt;</t>
  </si>
  <si>
    <t>Free for 2 months</t>
  </si>
  <si>
    <t>End Dec 15</t>
  </si>
  <si>
    <t>howardallen007@gmail.com</t>
  </si>
  <si>
    <t>Dec 2014 -Nov 2015</t>
  </si>
  <si>
    <t>56</t>
  </si>
  <si>
    <t>07891620115</t>
  </si>
  <si>
    <t>ST19 5SW</t>
  </si>
  <si>
    <t>11 Teveray Drive</t>
  </si>
  <si>
    <t>keating.sue@outlook.com</t>
  </si>
  <si>
    <t>6 month offer/verbal</t>
  </si>
  <si>
    <t>45</t>
  </si>
  <si>
    <t>01628770764</t>
  </si>
  <si>
    <t>SL6 5EA</t>
  </si>
  <si>
    <t>Harefield Road</t>
  </si>
  <si>
    <t>leslieadams1965@outlook.com</t>
  </si>
  <si>
    <t>pthurgur@gmail.com</t>
  </si>
  <si>
    <t>amandafisher95@hotmail.com</t>
  </si>
  <si>
    <t>6 month offer</t>
  </si>
  <si>
    <t>46</t>
  </si>
  <si>
    <t>07971014437</t>
  </si>
  <si>
    <t>Tw165pt</t>
  </si>
  <si>
    <t>9 Harfield road</t>
  </si>
  <si>
    <t>chrisparker1954@btinternet.com</t>
  </si>
  <si>
    <t>battisonmatt@googlemail.com</t>
  </si>
  <si>
    <t>122.50 Gift</t>
  </si>
  <si>
    <t>End May 16</t>
  </si>
  <si>
    <t>nina.dhanani@gmail.com</t>
  </si>
  <si>
    <t>Nov-14-oct 15</t>
  </si>
  <si>
    <t>07449958074</t>
  </si>
  <si>
    <t>cv3 2uj</t>
  </si>
  <si>
    <t>7</t>
  </si>
  <si>
    <t>End Jun 16</t>
  </si>
  <si>
    <t>End Feb 16</t>
  </si>
  <si>
    <t>louise@edge-creativedesign.com</t>
  </si>
  <si>
    <t>41</t>
  </si>
  <si>
    <t>07780436043</t>
  </si>
  <si>
    <t>B487PE</t>
  </si>
  <si>
    <t>60</t>
  </si>
  <si>
    <t>07905364699</t>
  </si>
  <si>
    <t>Cv82tt</t>
  </si>
  <si>
    <t>27 Garlick drive</t>
  </si>
  <si>
    <t>Alannewbold@hotmail.co.uk</t>
  </si>
  <si>
    <t>iancrowsonys@googlemail.com</t>
  </si>
  <si>
    <t>67</t>
  </si>
  <si>
    <t>07774884550</t>
  </si>
  <si>
    <t>PO5 2JJ</t>
  </si>
  <si>
    <t>19 Burgoyne Road</t>
  </si>
  <si>
    <t>bryanloraine@btinternet.com</t>
  </si>
  <si>
    <t>mike.taylor1969@gmail.com</t>
  </si>
  <si>
    <t>Michael</t>
  </si>
  <si>
    <t>Sep 14 - Aug 15</t>
  </si>
  <si>
    <t>July 15- jun 16</t>
  </si>
  <si>
    <t>adrian.gains@hotmail.com</t>
  </si>
  <si>
    <t>49</t>
  </si>
  <si>
    <t>07887540465</t>
  </si>
  <si>
    <t>CV324TB</t>
  </si>
  <si>
    <t>78 Leicester Street</t>
  </si>
  <si>
    <t>jmacsport@hotmail.com</t>
  </si>
  <si>
    <t>MacDonald</t>
  </si>
  <si>
    <t>2 Months Free - Photo Contest</t>
  </si>
  <si>
    <t>papillonsj@yahoo.com</t>
  </si>
  <si>
    <t>07986876884</t>
  </si>
  <si>
    <t>B63 3QW</t>
  </si>
  <si>
    <t>14 Hillview Close</t>
  </si>
  <si>
    <t>caroline_gee57@yahoo.co.uk</t>
  </si>
  <si>
    <t>31</t>
  </si>
  <si>
    <t>07887772455</t>
  </si>
  <si>
    <t>B95 5GF</t>
  </si>
  <si>
    <t>Iperium Consulting, 8 Ardent Court, WIlliam James Way</t>
  </si>
  <si>
    <t>vezukbabe@hotmail.com</t>
  </si>
  <si>
    <t>07456653609</t>
  </si>
  <si>
    <t>B46 3EZ</t>
  </si>
  <si>
    <t>1 FERNDALE CLOSE</t>
  </si>
  <si>
    <t>masive@totalise.co.uk</t>
  </si>
  <si>
    <t>July-14-jun 15</t>
  </si>
  <si>
    <t>noogle0904@gmail.com</t>
  </si>
  <si>
    <t>25</t>
  </si>
  <si>
    <t>07740398998</t>
  </si>
  <si>
    <t>B92 7JT</t>
  </si>
  <si>
    <t>21 Old Warwick Court, Old Warwick Road</t>
  </si>
  <si>
    <t>janetrroberts1@btinternet.com</t>
  </si>
  <si>
    <t>Mar  -14 to Feb 15</t>
  </si>
  <si>
    <t>07970419893</t>
  </si>
  <si>
    <t>B449EP</t>
  </si>
  <si>
    <t>154 Shady Lane</t>
  </si>
  <si>
    <t>rebecca.bloor77@hotmail.co.uk</t>
  </si>
  <si>
    <t>phone</t>
  </si>
  <si>
    <t>Sep 14 - cancelled Apr</t>
  </si>
  <si>
    <t>10 TYLERS GROVE</t>
  </si>
  <si>
    <t>s.chilton@blueyonder.co.uk</t>
  </si>
  <si>
    <t>07909913727</t>
  </si>
  <si>
    <t>B912JH</t>
  </si>
  <si>
    <t>50</t>
  </si>
  <si>
    <t>kajalvharia@gmail.com</t>
  </si>
  <si>
    <t>Kajal</t>
  </si>
  <si>
    <t>Haria</t>
  </si>
  <si>
    <t>32</t>
  </si>
  <si>
    <t>07834595415</t>
  </si>
  <si>
    <t>CV32 7LA</t>
  </si>
  <si>
    <t>19 New Street</t>
  </si>
  <si>
    <t>nj_ward@sky.com</t>
  </si>
  <si>
    <t>Mar-14-Feb15</t>
  </si>
  <si>
    <t>End Jan 15</t>
  </si>
  <si>
    <t>CV23 0QY</t>
  </si>
  <si>
    <t>8 Bell Lane</t>
  </si>
  <si>
    <t>mjparker@btinternet.com</t>
  </si>
  <si>
    <t>+44 441926842374</t>
  </si>
  <si>
    <t>CV35 7AW</t>
  </si>
  <si>
    <t>98, SHREWLEY COMMON</t>
  </si>
  <si>
    <t>dvavasour@iee.org</t>
  </si>
  <si>
    <t>Dunstan</t>
  </si>
  <si>
    <t>Vavasour</t>
  </si>
  <si>
    <t>B93 0DS</t>
  </si>
  <si>
    <t>1811 Warwick Road, Knowle</t>
  </si>
  <si>
    <t>Daisy161012@Gmail.com</t>
  </si>
  <si>
    <t>Elvins</t>
  </si>
  <si>
    <t>phone next time</t>
  </si>
  <si>
    <t>01/02/2014</t>
  </si>
  <si>
    <t>End Dec 14</t>
  </si>
  <si>
    <t>07779578147</t>
  </si>
  <si>
    <t>B90 2QW</t>
  </si>
  <si>
    <t>52 Neville Road</t>
  </si>
  <si>
    <t>david@iperiumconsulting.com</t>
  </si>
  <si>
    <t>Laura.franklin32@yahoo.co.uk</t>
  </si>
  <si>
    <t>lu-j1@hotmail.co.uk</t>
  </si>
  <si>
    <t>Stanford</t>
  </si>
  <si>
    <t xml:space="preserve">less paypal </t>
  </si>
  <si>
    <t>Kaceyrosebud@live.com</t>
  </si>
  <si>
    <t>benmorphet@yahoo.com</t>
  </si>
  <si>
    <t>johyg@hotmail.co.uk</t>
  </si>
  <si>
    <t>Monthly Subscribers</t>
  </si>
  <si>
    <t>Feb 2016 - jan 2017</t>
  </si>
  <si>
    <t>07765163209</t>
  </si>
  <si>
    <t>Feb 2016 to Jan 2017</t>
  </si>
  <si>
    <t>End Mar 16</t>
  </si>
  <si>
    <t>07835301502</t>
  </si>
  <si>
    <t>ian_stuart491999@yahoo.com</t>
  </si>
  <si>
    <t>52</t>
  </si>
  <si>
    <t>07909160947</t>
  </si>
  <si>
    <t>NW67QP</t>
  </si>
  <si>
    <t>Flat C, 35 Christchurch Avenue</t>
  </si>
  <si>
    <t>Ended</t>
  </si>
  <si>
    <t xml:space="preserve"> jd@highsky.demon.co.uk </t>
  </si>
  <si>
    <t xml:space="preserve"> 01564770040 </t>
  </si>
  <si>
    <t xml:space="preserve"> B93 9BT </t>
  </si>
  <si>
    <t xml:space="preserve"> 14 Bullivents Close|Bentley Heath|SOLIHULL, West Mids||UK </t>
  </si>
  <si>
    <t>janeybee47@hotmail.co.uk</t>
  </si>
  <si>
    <t>07813755298</t>
  </si>
  <si>
    <t>GL207RP</t>
  </si>
  <si>
    <t>9 Cambrian Road</t>
  </si>
  <si>
    <t>51</t>
  </si>
  <si>
    <t>07803335312</t>
  </si>
  <si>
    <t>CV35 7SU</t>
  </si>
  <si>
    <t>12 Blackwell Lane</t>
  </si>
  <si>
    <t>44</t>
  </si>
  <si>
    <t>07799622651</t>
  </si>
  <si>
    <t>CV10 0BS</t>
  </si>
  <si>
    <t>19 Ventnor Street</t>
  </si>
  <si>
    <t>Sheetal_sirpal@hotmail.com</t>
  </si>
  <si>
    <t>16/01/2014</t>
  </si>
  <si>
    <t>38</t>
  </si>
  <si>
    <t>07930331419</t>
  </si>
  <si>
    <t>B91 1sj</t>
  </si>
  <si>
    <t>3 whitehouse green</t>
  </si>
  <si>
    <t>Paul.walder@blueyonder.co.uk</t>
  </si>
  <si>
    <t>07722796909</t>
  </si>
  <si>
    <t>Tf3 1ee</t>
  </si>
  <si>
    <t>61</t>
  </si>
  <si>
    <t>Georgina.catalinotto@googlemail.com</t>
  </si>
  <si>
    <t>07793079110</t>
  </si>
  <si>
    <t>B90 1TZ</t>
  </si>
  <si>
    <t>115 Ascote Lane</t>
  </si>
  <si>
    <t>idi1979@hotmail.co.uk</t>
  </si>
  <si>
    <t>15/01/2014</t>
  </si>
  <si>
    <t>34</t>
  </si>
  <si>
    <t>07510146259</t>
  </si>
  <si>
    <t>le9 6ph</t>
  </si>
  <si>
    <t>58</t>
  </si>
  <si>
    <t>t.starkey@btconnect.com</t>
  </si>
  <si>
    <t>07740 840635</t>
  </si>
  <si>
    <t>B79 0LL</t>
  </si>
  <si>
    <t>Gelbe House, Thorpe Constantine</t>
  </si>
  <si>
    <t>elainejhall@hotmail.com</t>
  </si>
  <si>
    <t>43</t>
  </si>
  <si>
    <t>07771 684084</t>
  </si>
  <si>
    <t>B47 6HG</t>
  </si>
  <si>
    <t>35 Three Oaks Road</t>
  </si>
  <si>
    <t>Joyceejames@me.com</t>
  </si>
  <si>
    <t>55</t>
  </si>
  <si>
    <t>07799641900</t>
  </si>
  <si>
    <t>samc3019@gmail.com</t>
  </si>
  <si>
    <t>annemarieandchris@btinternet.com</t>
  </si>
  <si>
    <t>07714960039 </t>
  </si>
  <si>
    <t>March 2017 to Feb 2018</t>
  </si>
  <si>
    <t>a5h@gmx.com</t>
  </si>
  <si>
    <t>07966274421</t>
  </si>
  <si>
    <t>From May-17</t>
  </si>
  <si>
    <t>From Mar 17 to Feb 18</t>
  </si>
  <si>
    <t>dandmroberts@googlemail.com</t>
  </si>
  <si>
    <t>07766632762</t>
  </si>
  <si>
    <t>From Feb 18</t>
  </si>
  <si>
    <t>sarahmcgovern86@hotmail.com</t>
  </si>
  <si>
    <t>07803349354</t>
  </si>
  <si>
    <t>From Apr-18</t>
  </si>
  <si>
    <t>Philgnn@aol.com</t>
  </si>
  <si>
    <t>07955569546</t>
  </si>
  <si>
    <t>nick.decianti@gmail.com</t>
  </si>
  <si>
    <t xml:space="preserve">Nick </t>
  </si>
  <si>
    <t>DeCianti</t>
  </si>
  <si>
    <t>07855326654</t>
  </si>
  <si>
    <t>From Mar 18</t>
  </si>
  <si>
    <t>johnhayeshere@gmail.com</t>
  </si>
  <si>
    <t>07976736364</t>
  </si>
  <si>
    <t>From July 18</t>
  </si>
  <si>
    <t>From Feb -17</t>
  </si>
  <si>
    <t>50mm</t>
  </si>
  <si>
    <t>Landscapes</t>
  </si>
  <si>
    <t>raylene4@hotmail.com</t>
  </si>
  <si>
    <t>From Sp-18</t>
  </si>
  <si>
    <t>07456641075</t>
  </si>
  <si>
    <t>Nov 17 to Oct 19</t>
  </si>
  <si>
    <t>Workshop-Location/Theme</t>
  </si>
  <si>
    <t>Duration</t>
  </si>
  <si>
    <t>source</t>
  </si>
  <si>
    <t>Order Ref</t>
  </si>
  <si>
    <t>Reamaining</t>
  </si>
  <si>
    <t>Prefix</t>
  </si>
  <si>
    <t>First Name</t>
  </si>
  <si>
    <t>Last Name</t>
  </si>
  <si>
    <t>Age</t>
  </si>
  <si>
    <t>Mobile No'</t>
  </si>
  <si>
    <t>Post Code</t>
  </si>
  <si>
    <t>House No' Street Name</t>
  </si>
  <si>
    <t>Town</t>
  </si>
  <si>
    <t>Camera Make/Model</t>
  </si>
  <si>
    <t>yrs doing photography</t>
  </si>
  <si>
    <t>Type of Photography interested in</t>
  </si>
  <si>
    <t>Alt Email</t>
  </si>
  <si>
    <t>Accepted T&amp;Cs</t>
  </si>
  <si>
    <t>Gift Voucher expires 2st Feb 2017</t>
  </si>
  <si>
    <t>Outdoor Photograher Mag</t>
  </si>
  <si>
    <t>#00434</t>
  </si>
  <si>
    <t>ynossel@aol.com</t>
  </si>
  <si>
    <t>Ms</t>
  </si>
  <si>
    <t xml:space="preserve">Yvonne </t>
  </si>
  <si>
    <t xml:space="preserve">Nossel </t>
  </si>
  <si>
    <t>07807950641</t>
  </si>
  <si>
    <t xml:space="preserve">CB11 4NL </t>
  </si>
  <si>
    <t>Brays Barn, High Street</t>
  </si>
  <si>
    <t>Elmdon, Essex</t>
  </si>
  <si>
    <t>Gift Voucher expires 13 Dec 2016</t>
  </si>
  <si>
    <t>Phone/Card</t>
  </si>
  <si>
    <t xml:space="preserve">chrisjohnson305@btinternet.com </t>
  </si>
  <si>
    <t xml:space="preserve"> Johnson </t>
  </si>
  <si>
    <t>47</t>
  </si>
  <si>
    <t>07789061593</t>
  </si>
  <si>
    <t xml:space="preserve">B90 1RJ </t>
  </si>
  <si>
    <t xml:space="preserve">68 Lady Lane </t>
  </si>
  <si>
    <t>Shirley</t>
  </si>
  <si>
    <t>Gift Voucher expires 09 Feb 2017</t>
  </si>
  <si>
    <t>h.davies@bcguk.com</t>
  </si>
  <si>
    <t>07494225491</t>
  </si>
  <si>
    <t>1 Troste Road</t>
  </si>
  <si>
    <t>Gift Voucher expires 07 May 2017</t>
  </si>
  <si>
    <t>Recommendation</t>
  </si>
  <si>
    <t>#00541</t>
  </si>
  <si>
    <t>mark4harrison@gmail.com</t>
  </si>
  <si>
    <t>Mark</t>
  </si>
  <si>
    <t>Harrison</t>
  </si>
  <si>
    <t>07970753758</t>
  </si>
  <si>
    <t xml:space="preserve">Cv5 6Ns </t>
  </si>
  <si>
    <t>30 Boradway</t>
  </si>
  <si>
    <t>Gift Voucher expires 12 May 2017</t>
  </si>
  <si>
    <t>#00543</t>
  </si>
  <si>
    <t xml:space="preserve">pete.bell007@gmail.com </t>
  </si>
  <si>
    <t>Charis</t>
  </si>
  <si>
    <t>Boulton</t>
  </si>
  <si>
    <t>07985936005</t>
  </si>
  <si>
    <t xml:space="preserve">OX16 3HE </t>
  </si>
  <si>
    <t xml:space="preserve">92 West Street </t>
  </si>
  <si>
    <t>Banbury</t>
  </si>
  <si>
    <t>Gift Voucher expires 30 May 2017</t>
  </si>
  <si>
    <t>#00553</t>
  </si>
  <si>
    <t>nigeljjones@hotmail.co.uk</t>
  </si>
  <si>
    <t>Lorraine</t>
  </si>
  <si>
    <t>Dunn</t>
  </si>
  <si>
    <t>07788860297</t>
  </si>
  <si>
    <t>CV35 0HT</t>
  </si>
  <si>
    <t>Jessamine Villa Warwick Road</t>
  </si>
  <si>
    <t>Kineton</t>
  </si>
  <si>
    <t>Canon EOS 600D</t>
  </si>
  <si>
    <t>Gift Voucher expires 14 Jun 2017</t>
  </si>
  <si>
    <t>#00564</t>
  </si>
  <si>
    <t>martin.chambers@shaylorgroup.com</t>
  </si>
  <si>
    <t xml:space="preserve">Jan </t>
  </si>
  <si>
    <t>Shaylor</t>
  </si>
  <si>
    <t>63</t>
  </si>
  <si>
    <t>07920276844</t>
  </si>
  <si>
    <t xml:space="preserve">LL22 9RF </t>
  </si>
  <si>
    <t xml:space="preserve">Tan-y-Mynydd Trout Fishery </t>
  </si>
  <si>
    <t xml:space="preserve">Moelfre </t>
  </si>
  <si>
    <t>Manual/Phone</t>
  </si>
  <si>
    <t>59</t>
  </si>
  <si>
    <t xml:space="preserve">CV8 1ET </t>
  </si>
  <si>
    <t xml:space="preserve">26 Brookside Avenue </t>
  </si>
  <si>
    <t>Gift Voucher expires 7 Jun 2017</t>
  </si>
  <si>
    <t>#00561</t>
  </si>
  <si>
    <t xml:space="preserve">jill_lusted@live.co.uk </t>
  </si>
  <si>
    <t>Ricky</t>
  </si>
  <si>
    <t>Mandair</t>
  </si>
  <si>
    <t>07949807234</t>
  </si>
  <si>
    <t xml:space="preserve">DE12 7RN </t>
  </si>
  <si>
    <t xml:space="preserve">10 Dawkins Road </t>
  </si>
  <si>
    <t>Donisthorpe</t>
  </si>
  <si>
    <t>Gift Voucher expires 15 Jun 2017</t>
  </si>
  <si>
    <t>#00567</t>
  </si>
  <si>
    <t>48</t>
  </si>
  <si>
    <t>07753355338</t>
  </si>
  <si>
    <t xml:space="preserve">B37 </t>
  </si>
  <si>
    <t xml:space="preserve">34 Corinne Croft </t>
  </si>
  <si>
    <t>Birmingham</t>
  </si>
  <si>
    <t>Gift Voucher expires 21 Jun 2017</t>
  </si>
  <si>
    <t>#00573</t>
  </si>
  <si>
    <t xml:space="preserve">lynetteshaw@hotmail.com </t>
  </si>
  <si>
    <t>Daniel</t>
  </si>
  <si>
    <t>18</t>
  </si>
  <si>
    <t>07918107775</t>
  </si>
  <si>
    <t xml:space="preserve">CV34 6FL </t>
  </si>
  <si>
    <t xml:space="preserve">24 Miranda Drive </t>
  </si>
  <si>
    <t xml:space="preserve">Warwick, </t>
  </si>
  <si>
    <t>Gift Voucher expires 19Jun 2017</t>
  </si>
  <si>
    <t>#00571</t>
  </si>
  <si>
    <t xml:space="preserve">edenayat@gmail.com </t>
  </si>
  <si>
    <t>Mrs</t>
  </si>
  <si>
    <t>Prue</t>
  </si>
  <si>
    <t>Enayat</t>
  </si>
  <si>
    <t>07973433901</t>
  </si>
  <si>
    <t xml:space="preserve">SW12 </t>
  </si>
  <si>
    <t>Gift Voucher expires 16 Sep 2017</t>
  </si>
  <si>
    <t>#00642</t>
  </si>
  <si>
    <t xml:space="preserve">trust@covpeacehouse.org.uk </t>
  </si>
  <si>
    <t>Gift Voucher expires 27 Sep 2017</t>
  </si>
  <si>
    <t>#00649</t>
  </si>
  <si>
    <t>colinclapp@hotmail.com</t>
  </si>
  <si>
    <t>Colin</t>
  </si>
  <si>
    <t>Clapp</t>
  </si>
  <si>
    <t>07748597047</t>
  </si>
  <si>
    <t>Gift Voucher expires 8th Oct 2017</t>
  </si>
  <si>
    <t>#00658</t>
  </si>
  <si>
    <t>timlerwill@itsconstruction.co.uk</t>
  </si>
  <si>
    <t>Lerwill</t>
  </si>
  <si>
    <t>Gift Voucher expires 30th Oct 2017</t>
  </si>
  <si>
    <t>#00667</t>
  </si>
  <si>
    <t>vivdrury@icloud.com</t>
  </si>
  <si>
    <t>Jonathan</t>
  </si>
  <si>
    <t xml:space="preserve"> Riley</t>
  </si>
  <si>
    <t xml:space="preserve">Geraldine </t>
  </si>
  <si>
    <t>Riley</t>
  </si>
  <si>
    <t>Gift Voucher expires 11th Nov 2017</t>
  </si>
  <si>
    <t>#00696</t>
  </si>
  <si>
    <t>linn.ashmore@rugby.gov.uk</t>
  </si>
  <si>
    <t xml:space="preserve">Veronika </t>
  </si>
  <si>
    <t>Beckova</t>
  </si>
  <si>
    <t>Gift Voucher expires 24th Nov 2017</t>
  </si>
  <si>
    <t>#00705</t>
  </si>
  <si>
    <t xml:space="preserve">emily.payne187@gmail.com </t>
  </si>
  <si>
    <t>Tim</t>
  </si>
  <si>
    <t>Payne</t>
  </si>
  <si>
    <t>07415359272</t>
  </si>
  <si>
    <t>Gift Voucher expires 11th March 2018</t>
  </si>
  <si>
    <t>#00742</t>
  </si>
  <si>
    <t>Neale</t>
  </si>
  <si>
    <t>Gift Voucher expires 15th May 2018</t>
  </si>
  <si>
    <t>#00799</t>
  </si>
  <si>
    <t>fiona.cummings@hotmail.co.uk</t>
  </si>
  <si>
    <t>Cummings</t>
  </si>
  <si>
    <t>Gift Voucher expires 28th May 2018</t>
  </si>
  <si>
    <t>#00805</t>
  </si>
  <si>
    <t>Jon.a.hull@googlemail.com</t>
  </si>
  <si>
    <t>Hall</t>
  </si>
  <si>
    <t>07841872537</t>
  </si>
  <si>
    <t>#00798 + £85 on w-play</t>
  </si>
  <si>
    <t>karenherd91@btinternet.com</t>
  </si>
  <si>
    <t>Herd</t>
  </si>
  <si>
    <t>07948223453</t>
  </si>
  <si>
    <t>CV4 9BF</t>
  </si>
  <si>
    <t>34 PHILMONT COURT</t>
  </si>
  <si>
    <t>used £30 for 15th Feb Ken Intro Class</t>
  </si>
  <si>
    <t xml:space="preserve">Gift Voucher </t>
  </si>
  <si>
    <t>#01167</t>
  </si>
  <si>
    <t xml:space="preserve">baytreesanbob@btinternet.com </t>
  </si>
  <si>
    <t>Aulton</t>
  </si>
  <si>
    <t>72</t>
  </si>
  <si>
    <t>07811467701</t>
  </si>
  <si>
    <t>#00916</t>
  </si>
  <si>
    <t xml:space="preserve">lucy.williams@cseplc.com </t>
  </si>
  <si>
    <t>07412585357</t>
  </si>
  <si>
    <t>#01124</t>
  </si>
  <si>
    <t xml:space="preserve">katiesiddle1@hotmail.co.uk </t>
  </si>
  <si>
    <t>Stephenson</t>
  </si>
  <si>
    <t>#00812</t>
  </si>
  <si>
    <t>#01073</t>
  </si>
  <si>
    <t>John Cummins</t>
  </si>
  <si>
    <t>#00820</t>
  </si>
  <si>
    <t>#00950</t>
  </si>
  <si>
    <t>used £30</t>
  </si>
  <si>
    <t>#00819</t>
  </si>
  <si>
    <t>#00899</t>
  </si>
  <si>
    <t>#00817</t>
  </si>
  <si>
    <t>#01153</t>
  </si>
  <si>
    <t>James Newbury</t>
  </si>
  <si>
    <t>#00823</t>
  </si>
  <si>
    <t>#00147</t>
  </si>
  <si>
    <t>Andrew Bottomley</t>
  </si>
  <si>
    <t>#00828</t>
  </si>
  <si>
    <t>#00999</t>
  </si>
  <si>
    <t>#00831</t>
  </si>
  <si>
    <t>used £150</t>
  </si>
  <si>
    <t>#00838</t>
  </si>
  <si>
    <t>#01107</t>
  </si>
  <si>
    <t>Claire Finch</t>
  </si>
  <si>
    <t>#00960</t>
  </si>
  <si>
    <t>#00973</t>
  </si>
  <si>
    <t>#00984</t>
  </si>
  <si>
    <t>#01042</t>
  </si>
  <si>
    <t>#01046</t>
  </si>
  <si>
    <t>#01066</t>
  </si>
  <si>
    <t>#01477</t>
  </si>
  <si>
    <t>Phil Ogrady</t>
  </si>
  <si>
    <t>#01172</t>
  </si>
  <si>
    <t>#01180</t>
  </si>
  <si>
    <t>#01201</t>
  </si>
  <si>
    <t>Nikola Baty</t>
  </si>
  <si>
    <t>#01186</t>
  </si>
  <si>
    <t>#01252</t>
  </si>
  <si>
    <t>Con McHUgh</t>
  </si>
  <si>
    <t>#01188</t>
  </si>
  <si>
    <t>Rosie Lally</t>
  </si>
  <si>
    <t>#01189</t>
  </si>
  <si>
    <t>#01407</t>
  </si>
  <si>
    <t>Alex Davis</t>
  </si>
  <si>
    <t>#01190</t>
  </si>
  <si>
    <t>#01191</t>
  </si>
  <si>
    <t>#01193</t>
  </si>
  <si>
    <t>#01192</t>
  </si>
  <si>
    <t>#01194</t>
  </si>
  <si>
    <t>#01226</t>
  </si>
  <si>
    <t>#01196</t>
  </si>
  <si>
    <t>#00198</t>
  </si>
  <si>
    <t>#01203</t>
  </si>
  <si>
    <t>#01294</t>
  </si>
  <si>
    <t>#01463</t>
  </si>
  <si>
    <t>#01306</t>
  </si>
  <si>
    <t>#01394</t>
  </si>
  <si>
    <t>#01335</t>
  </si>
  <si>
    <t>#01422</t>
  </si>
  <si>
    <t>#01363</t>
  </si>
  <si>
    <t>#01458</t>
  </si>
  <si>
    <t>#01476</t>
  </si>
  <si>
    <t>#01465</t>
  </si>
  <si>
    <t>#01513</t>
  </si>
  <si>
    <t>#01583</t>
  </si>
  <si>
    <t>#01553</t>
  </si>
  <si>
    <t>#01959</t>
  </si>
  <si>
    <t>#01560</t>
  </si>
  <si>
    <t>#02313</t>
  </si>
  <si>
    <t>#01561</t>
  </si>
  <si>
    <t>#01565</t>
  </si>
  <si>
    <t>#01566</t>
  </si>
  <si>
    <t>#01619</t>
  </si>
  <si>
    <t>#01568</t>
  </si>
  <si>
    <t>#01569</t>
  </si>
  <si>
    <t>#01575</t>
  </si>
  <si>
    <t>#01624</t>
  </si>
  <si>
    <t>#01672</t>
  </si>
  <si>
    <t>#01646</t>
  </si>
  <si>
    <t>#01656</t>
  </si>
  <si>
    <t>Ms D Davis - Dorset - Jun</t>
  </si>
  <si>
    <t>#01663</t>
  </si>
  <si>
    <t>#01665</t>
  </si>
  <si>
    <t>#01776</t>
  </si>
  <si>
    <t>Jill Tween Batsford</t>
  </si>
  <si>
    <t>#01683</t>
  </si>
  <si>
    <t>#01684</t>
  </si>
  <si>
    <t>#01686</t>
  </si>
  <si>
    <t>#01687</t>
  </si>
  <si>
    <t>#01688</t>
  </si>
  <si>
    <t>#01695</t>
  </si>
  <si>
    <t>#01764, #02023</t>
  </si>
  <si>
    <t>#01705</t>
  </si>
  <si>
    <t>#01800</t>
  </si>
  <si>
    <t>#01801</t>
  </si>
  <si>
    <t>#01802</t>
  </si>
  <si>
    <t>#01805</t>
  </si>
  <si>
    <t>#01806</t>
  </si>
  <si>
    <t>#01995</t>
  </si>
  <si>
    <t>John Stock Peak District</t>
  </si>
  <si>
    <t>#01809</t>
  </si>
  <si>
    <t>#01994</t>
  </si>
  <si>
    <t>#01820</t>
  </si>
  <si>
    <t>#01858</t>
  </si>
  <si>
    <t>#01819</t>
  </si>
  <si>
    <t>#02024</t>
  </si>
  <si>
    <t>Stuart Hubbard Chesterton</t>
  </si>
  <si>
    <t>#01823</t>
  </si>
  <si>
    <t>#02100</t>
  </si>
  <si>
    <t>#01822</t>
  </si>
  <si>
    <t>#02123</t>
  </si>
  <si>
    <t>wales workshop</t>
  </si>
  <si>
    <t>#01821</t>
  </si>
  <si>
    <t>#01835</t>
  </si>
  <si>
    <t>#01828</t>
  </si>
  <si>
    <t>#01830</t>
  </si>
  <si>
    <t>#02142</t>
  </si>
  <si>
    <t>#01832</t>
  </si>
  <si>
    <t>#01960 + #01968</t>
  </si>
  <si>
    <t>#01846</t>
  </si>
  <si>
    <t>#02042</t>
  </si>
  <si>
    <t>#01865</t>
  </si>
  <si>
    <t>#01903</t>
  </si>
  <si>
    <t>#01906</t>
  </si>
  <si>
    <t>#01966</t>
  </si>
  <si>
    <t>#02046</t>
  </si>
  <si>
    <t>#02079</t>
  </si>
  <si>
    <t>#02115</t>
  </si>
  <si>
    <t>#02126</t>
  </si>
  <si>
    <t>#02260</t>
  </si>
  <si>
    <t>#02127</t>
  </si>
  <si>
    <t>#02135</t>
  </si>
  <si>
    <t>#02136</t>
  </si>
  <si>
    <t>#02337</t>
  </si>
  <si>
    <t>#02139</t>
  </si>
  <si>
    <t>#02140</t>
  </si>
  <si>
    <t>#02175</t>
  </si>
  <si>
    <t>#02191</t>
  </si>
  <si>
    <t>#02199</t>
  </si>
  <si>
    <t>#02225</t>
  </si>
  <si>
    <t>#02452</t>
  </si>
  <si>
    <t>#02237</t>
  </si>
  <si>
    <t>#02248</t>
  </si>
  <si>
    <t>#02361</t>
  </si>
  <si>
    <t>#02268</t>
  </si>
  <si>
    <t>#02272</t>
  </si>
  <si>
    <t>#02297</t>
  </si>
  <si>
    <t>#02935</t>
  </si>
  <si>
    <t>#02314</t>
  </si>
  <si>
    <t>#02354</t>
  </si>
  <si>
    <t>#02340</t>
  </si>
  <si>
    <t>#02369</t>
  </si>
  <si>
    <t>#02371</t>
  </si>
  <si>
    <t>#02378</t>
  </si>
  <si>
    <t>#02456</t>
  </si>
  <si>
    <t>#02388</t>
  </si>
  <si>
    <t>#02814</t>
  </si>
  <si>
    <t>#02390</t>
  </si>
  <si>
    <t>#02611</t>
  </si>
  <si>
    <t>#02394</t>
  </si>
  <si>
    <t>#02419</t>
  </si>
  <si>
    <t>#02453</t>
  </si>
  <si>
    <t>#02475</t>
  </si>
  <si>
    <t>#02457</t>
  </si>
  <si>
    <t>#02515, #2637, #02741</t>
  </si>
  <si>
    <t>#02460</t>
  </si>
  <si>
    <t>#02589</t>
  </si>
  <si>
    <t>#02465</t>
  </si>
  <si>
    <t>#02466</t>
  </si>
  <si>
    <t>#02721</t>
  </si>
  <si>
    <t>#02483</t>
  </si>
  <si>
    <t>#02696, #02723</t>
  </si>
  <si>
    <t>#02490</t>
  </si>
  <si>
    <t>#02497</t>
  </si>
  <si>
    <t>#02514</t>
  </si>
  <si>
    <t>#02505</t>
  </si>
  <si>
    <t>#02555</t>
  </si>
  <si>
    <t>#02768</t>
  </si>
  <si>
    <t>#02559</t>
  </si>
  <si>
    <t>#02578</t>
  </si>
  <si>
    <t>#02823</t>
  </si>
  <si>
    <t>#02603</t>
  </si>
  <si>
    <t>#02707</t>
  </si>
  <si>
    <t>#02640</t>
  </si>
  <si>
    <t>#02642</t>
  </si>
  <si>
    <t>#02651</t>
  </si>
  <si>
    <t>#02653</t>
  </si>
  <si>
    <t>#02685</t>
  </si>
  <si>
    <t>#02659</t>
  </si>
  <si>
    <t>#02728</t>
  </si>
  <si>
    <t>#02660</t>
  </si>
  <si>
    <t>#02663</t>
  </si>
  <si>
    <t>#02667</t>
  </si>
  <si>
    <t>#02669</t>
  </si>
  <si>
    <t>#02673</t>
  </si>
  <si>
    <t>#02979</t>
  </si>
  <si>
    <t>#02674</t>
  </si>
  <si>
    <t>#02821</t>
  </si>
  <si>
    <t>#02679</t>
  </si>
  <si>
    <t>#02709</t>
  </si>
  <si>
    <t>#02714</t>
  </si>
  <si>
    <t>#02717</t>
  </si>
  <si>
    <t>#02719</t>
  </si>
  <si>
    <t>#02811</t>
  </si>
  <si>
    <t>#02944</t>
  </si>
  <si>
    <t>#03270</t>
  </si>
  <si>
    <t>Sarah Owen</t>
  </si>
  <si>
    <t>#02871</t>
  </si>
  <si>
    <t>#02981</t>
  </si>
  <si>
    <t>#02882</t>
  </si>
  <si>
    <t>#02883</t>
  </si>
  <si>
    <t>#02896</t>
  </si>
  <si>
    <t>#03001</t>
  </si>
  <si>
    <t>#02902</t>
  </si>
  <si>
    <t>#03257</t>
  </si>
  <si>
    <t>#02911</t>
  </si>
  <si>
    <t>#02927</t>
  </si>
  <si>
    <t>#02914</t>
  </si>
  <si>
    <t>#02918</t>
  </si>
  <si>
    <t>#02922</t>
  </si>
  <si>
    <t>#03027</t>
  </si>
  <si>
    <t>#02991</t>
  </si>
  <si>
    <t>#02994</t>
  </si>
  <si>
    <t>#3010</t>
  </si>
  <si>
    <t>#03011</t>
  </si>
  <si>
    <t>#03148 #03147</t>
  </si>
  <si>
    <t>#03043</t>
  </si>
  <si>
    <t>#0344</t>
  </si>
  <si>
    <t>#03101</t>
  </si>
  <si>
    <t>#03118</t>
  </si>
  <si>
    <t>#03176</t>
  </si>
  <si>
    <t>#03178</t>
  </si>
  <si>
    <t>#03211</t>
  </si>
  <si>
    <t>#03222</t>
  </si>
  <si>
    <t>#03223</t>
  </si>
  <si>
    <t>#03260</t>
  </si>
  <si>
    <t>#03269</t>
  </si>
  <si>
    <t>#03268</t>
  </si>
  <si>
    <t>#03276</t>
  </si>
  <si>
    <t>Value Unclaimed</t>
  </si>
  <si>
    <t>5am</t>
  </si>
  <si>
    <t>7:15pm</t>
  </si>
  <si>
    <t>Davies</t>
  </si>
  <si>
    <t>Sharon</t>
  </si>
  <si>
    <t>Hill</t>
  </si>
  <si>
    <t>Lesley-Anne</t>
  </si>
  <si>
    <t>Collins</t>
  </si>
  <si>
    <t>Norman</t>
  </si>
  <si>
    <t>Lowe</t>
  </si>
  <si>
    <t>Sally</t>
  </si>
  <si>
    <t>Naville</t>
  </si>
  <si>
    <t>Tina</t>
  </si>
  <si>
    <t>Jackson</t>
  </si>
  <si>
    <t>Brain</t>
  </si>
  <si>
    <t>Thomas</t>
  </si>
  <si>
    <t xml:space="preserve">Francis </t>
  </si>
  <si>
    <t>Peckham</t>
  </si>
  <si>
    <t>Anurita</t>
  </si>
  <si>
    <t>De</t>
  </si>
  <si>
    <t>Magdalena</t>
  </si>
  <si>
    <t>Osojca</t>
  </si>
  <si>
    <t xml:space="preserve">Adriana </t>
  </si>
  <si>
    <t>Wills</t>
  </si>
  <si>
    <t>(All)</t>
  </si>
  <si>
    <t>Sum of Paid</t>
  </si>
  <si>
    <t>2.5hrs</t>
  </si>
  <si>
    <t>4hrs</t>
  </si>
  <si>
    <t>5 Days</t>
  </si>
  <si>
    <t>Ireland - Dingle</t>
  </si>
  <si>
    <t>Suffolk Coast</t>
  </si>
  <si>
    <t>Wales - Dee Valley</t>
  </si>
  <si>
    <t>Hartland Quay - Devon</t>
  </si>
  <si>
    <t xml:space="preserve">Woodland Photo Walk </t>
  </si>
  <si>
    <t>Sunflower Fields</t>
  </si>
  <si>
    <t>Count of Paid</t>
  </si>
  <si>
    <t>Paste here from customer registration form</t>
  </si>
  <si>
    <t>1-2-1's</t>
  </si>
  <si>
    <t>order Ref</t>
  </si>
  <si>
    <t>Who referred</t>
  </si>
  <si>
    <t>Event Date 1</t>
  </si>
  <si>
    <t>Event Date 2</t>
  </si>
  <si>
    <t>Event Date 3</t>
  </si>
  <si>
    <t>Event Date 4</t>
  </si>
  <si>
    <t>Event Date 5</t>
  </si>
  <si>
    <t>Event Date 6</t>
  </si>
  <si>
    <t>Miss</t>
  </si>
  <si>
    <t>Cox</t>
  </si>
  <si>
    <t>07586456123</t>
  </si>
  <si>
    <t>BP91 2HT</t>
  </si>
  <si>
    <t>22 middleton road</t>
  </si>
  <si>
    <t>solihull</t>
  </si>
  <si>
    <t>canon EOS 5D</t>
  </si>
  <si>
    <t>landscapes &amp; general</t>
  </si>
  <si>
    <t>Marion Cox</t>
  </si>
  <si>
    <t>07817453641</t>
  </si>
  <si>
    <t>#00052</t>
  </si>
  <si>
    <t>Local 1-2-1 Tuition</t>
  </si>
  <si>
    <t>latishadhir@gmail.com</t>
  </si>
  <si>
    <t>Latisha</t>
  </si>
  <si>
    <t>Sharma</t>
  </si>
  <si>
    <t>07742787958</t>
  </si>
  <si>
    <t>WV8 1GF</t>
  </si>
  <si>
    <t>29 Old Farm Dr</t>
  </si>
  <si>
    <t>Codsall</t>
  </si>
  <si>
    <t>#00079</t>
  </si>
  <si>
    <t>Exisiting</t>
  </si>
  <si>
    <t>37</t>
  </si>
  <si>
    <t>07866614574</t>
  </si>
  <si>
    <t>Codsall, WV8 1GF</t>
  </si>
  <si>
    <t>Sony DSC-HX50</t>
  </si>
  <si>
    <t>&gt;3</t>
  </si>
  <si>
    <t>Landscapes, Macro, Street Photography, Other</t>
  </si>
  <si>
    <t>I confiirm I accept the terms and conditions by placing this booking</t>
  </si>
  <si>
    <t>#000105</t>
  </si>
  <si>
    <t>k.ward.mccloskey@googlemail.com</t>
  </si>
  <si>
    <t xml:space="preserve">07896311197 </t>
  </si>
  <si>
    <t>36 High Street</t>
  </si>
  <si>
    <t>#00167</t>
  </si>
  <si>
    <t>LR 1-2-1 Tuition</t>
  </si>
  <si>
    <t>gjralph@tesco.net</t>
  </si>
  <si>
    <t>Geoff</t>
  </si>
  <si>
    <t>Ralph</t>
  </si>
  <si>
    <t>68</t>
  </si>
  <si>
    <t>07591156396</t>
  </si>
  <si>
    <t>CV32 6RU</t>
  </si>
  <si>
    <t>8 Range Meadow Close</t>
  </si>
  <si>
    <t>cliff@technologist.com</t>
  </si>
  <si>
    <t>Cliff</t>
  </si>
  <si>
    <t>Young</t>
  </si>
  <si>
    <t>07912090365</t>
  </si>
  <si>
    <t>10 Range Meadow Close</t>
  </si>
  <si>
    <t>Direct</t>
  </si>
  <si>
    <t>hcadman@me.com</t>
  </si>
  <si>
    <t>Cadman</t>
  </si>
  <si>
    <t>07712429149</t>
  </si>
  <si>
    <t>cv358nb</t>
  </si>
  <si>
    <t>High Acres</t>
  </si>
  <si>
    <t>Claverdon</t>
  </si>
  <si>
    <t>Canon</t>
  </si>
  <si>
    <t>&lt;1</t>
  </si>
  <si>
    <t>"Portraits", "Wildlife", "Creative/Abstract"</t>
  </si>
  <si>
    <t>#00203</t>
  </si>
  <si>
    <t>User897519@aol.com</t>
  </si>
  <si>
    <t>Sheila</t>
  </si>
  <si>
    <t>Billingham</t>
  </si>
  <si>
    <t>70</t>
  </si>
  <si>
    <t>07968874095</t>
  </si>
  <si>
    <t>CV7 7GL</t>
  </si>
  <si>
    <t>60 Kelsey Ln</t>
  </si>
  <si>
    <t>Balsall Common</t>
  </si>
  <si>
    <t>#00213</t>
  </si>
  <si>
    <t>mrs</t>
  </si>
  <si>
    <t>07817991944</t>
  </si>
  <si>
    <t>cv23 9js</t>
  </si>
  <si>
    <t>old station house,main st</t>
  </si>
  <si>
    <t>Birdingbury. Rugby</t>
  </si>
  <si>
    <t>canon 600 d</t>
  </si>
  <si>
    <t>#00205</t>
  </si>
  <si>
    <t>1-2-1 on LR6</t>
  </si>
  <si>
    <t>SOLIHULL</t>
  </si>
  <si>
    <t>CANON 600D</t>
  </si>
  <si>
    <t>"Landscapes", "Sports", "Wildlife", "Street Photography", "Creative/Abstract"</t>
  </si>
  <si>
    <t>#00207</t>
  </si>
  <si>
    <t>1-2-1 on composition</t>
  </si>
  <si>
    <t>#00230</t>
  </si>
  <si>
    <t>simonwalkergdp1@btinternet.com</t>
  </si>
  <si>
    <t>Walker</t>
  </si>
  <si>
    <t>07774862787</t>
  </si>
  <si>
    <t>b48 7bp</t>
  </si>
  <si>
    <t>aqueduct lane</t>
  </si>
  <si>
    <t>alvechurch</t>
  </si>
  <si>
    <t>#00224</t>
  </si>
  <si>
    <t>#00217</t>
  </si>
  <si>
    <t>steveparrack@yahoo.co.uk</t>
  </si>
  <si>
    <t xml:space="preserve">Stephen </t>
  </si>
  <si>
    <t>Parrack</t>
  </si>
  <si>
    <t>64</t>
  </si>
  <si>
    <t xml:space="preserve">0121 706 1435 </t>
  </si>
  <si>
    <t>B92 7AE</t>
  </si>
  <si>
    <t>224 Warwick Rd</t>
  </si>
  <si>
    <t>Olton</t>
  </si>
  <si>
    <t>07968894002</t>
  </si>
  <si>
    <t>CV37 0RT</t>
  </si>
  <si>
    <t>8 Hurdlers Ln</t>
  </si>
  <si>
    <t>Snitterfield</t>
  </si>
  <si>
    <t>#00216</t>
  </si>
  <si>
    <t>07901822607</t>
  </si>
  <si>
    <t>Mk18 5BD</t>
  </si>
  <si>
    <t>16 Brookside</t>
  </si>
  <si>
    <t>Lillingstone Lovell, Bucks</t>
  </si>
  <si>
    <t>#00257</t>
  </si>
  <si>
    <t>#00220</t>
  </si>
  <si>
    <t>ruth.tandy@btinternet.com</t>
  </si>
  <si>
    <t>Tandy</t>
  </si>
  <si>
    <t>07920715917</t>
  </si>
  <si>
    <t>Cv230fh</t>
  </si>
  <si>
    <t>7 fennel close</t>
  </si>
  <si>
    <t>#00323</t>
  </si>
  <si>
    <t>06662612565</t>
  </si>
  <si>
    <t>#00377</t>
  </si>
  <si>
    <t>8hrs</t>
  </si>
  <si>
    <t>1-2-1 - basics and camera</t>
  </si>
  <si>
    <t xml:space="preserve">c.caborn@yahoo.co.uk </t>
  </si>
  <si>
    <t xml:space="preserve">Colin </t>
  </si>
  <si>
    <t>Caborn</t>
  </si>
  <si>
    <t>07841164241</t>
  </si>
  <si>
    <t>MK420TB</t>
  </si>
  <si>
    <t>253 Old Harrowden Road</t>
  </si>
  <si>
    <t>Bedford</t>
  </si>
  <si>
    <t>#00306</t>
  </si>
  <si>
    <t>Gift Voucher - basics</t>
  </si>
  <si>
    <t>existing</t>
  </si>
  <si>
    <t>simon.warriner013@btinternet.com</t>
  </si>
  <si>
    <t>Warriner</t>
  </si>
  <si>
    <t>07970910195</t>
  </si>
  <si>
    <t>#00498</t>
  </si>
  <si>
    <t>1-2-1 Charlecote Park</t>
  </si>
  <si>
    <t>google</t>
  </si>
  <si>
    <t>bedebe@hotmail.com</t>
  </si>
  <si>
    <t xml:space="preserve">Brian </t>
  </si>
  <si>
    <t xml:space="preserve">Brewster </t>
  </si>
  <si>
    <t>08789815987</t>
  </si>
  <si>
    <t xml:space="preserve">BL9 8EN </t>
  </si>
  <si>
    <t xml:space="preserve">27 Burndale Drive </t>
  </si>
  <si>
    <t>Bury</t>
  </si>
  <si>
    <t>#00527</t>
  </si>
  <si>
    <t>9:30am</t>
  </si>
  <si>
    <t xml:space="preserve">tbinch@merrickbinch.co.uk </t>
  </si>
  <si>
    <t xml:space="preserve">Trevor </t>
  </si>
  <si>
    <t xml:space="preserve">Binch </t>
  </si>
  <si>
    <t>07932585745</t>
  </si>
  <si>
    <t xml:space="preserve">LE10 3JD </t>
  </si>
  <si>
    <t>greg.sant@sky.com</t>
  </si>
  <si>
    <t>Greg</t>
  </si>
  <si>
    <t>Sant</t>
  </si>
  <si>
    <t xml:space="preserve"> 07773336357 </t>
  </si>
  <si>
    <t xml:space="preserve">CV57LG </t>
  </si>
  <si>
    <t>29 Eastern Green Road</t>
  </si>
  <si>
    <t>10am</t>
  </si>
  <si>
    <t>paulinekerr@fsmail.net</t>
  </si>
  <si>
    <t>Pauline</t>
  </si>
  <si>
    <t>Kerr</t>
  </si>
  <si>
    <t>07826 324896</t>
  </si>
  <si>
    <t xml:space="preserve">9:30am </t>
  </si>
  <si>
    <t>2 x 2hr 1-2-1's</t>
  </si>
  <si>
    <t>johnnywilde85@hotmail.co.uk</t>
  </si>
  <si>
    <t>Wilde</t>
  </si>
  <si>
    <t>'07989960874</t>
  </si>
  <si>
    <t>#00686</t>
  </si>
  <si>
    <t>Camera work settings</t>
  </si>
  <si>
    <t xml:space="preserve">stuart.walters@ob-mc.co.uk </t>
  </si>
  <si>
    <t xml:space="preserve">Stuart </t>
  </si>
  <si>
    <t xml:space="preserve">Walters </t>
  </si>
  <si>
    <t>07798930482</t>
  </si>
  <si>
    <t xml:space="preserve">B91 1LX </t>
  </si>
  <si>
    <t xml:space="preserve">52 Winterbourne Road </t>
  </si>
  <si>
    <t>humairap9@gmail.com</t>
  </si>
  <si>
    <t>Humaira</t>
  </si>
  <si>
    <t>Parvez</t>
  </si>
  <si>
    <t>14 F 2 Limestone house difc</t>
  </si>
  <si>
    <t>Dubai</t>
  </si>
  <si>
    <t>Fuji XT 1</t>
  </si>
  <si>
    <t>I confirm I accept the terms and conditions by placing this booking</t>
  </si>
  <si>
    <t xml:space="preserve">jan@nomadians.co.uk </t>
  </si>
  <si>
    <t>07540331590</t>
  </si>
  <si>
    <t>CV37 0rs</t>
  </si>
  <si>
    <t>2 Coopers Close</t>
  </si>
  <si>
    <t>Stratford upon avon</t>
  </si>
  <si>
    <t>#00710</t>
  </si>
  <si>
    <t xml:space="preserve">lauraecharles@hotmail.com </t>
  </si>
  <si>
    <t>Charles</t>
  </si>
  <si>
    <t>07944100388</t>
  </si>
  <si>
    <t>Le17 5hq</t>
  </si>
  <si>
    <t>Dunton Road</t>
  </si>
  <si>
    <t xml:space="preserve">Lutterworth, </t>
  </si>
  <si>
    <t>#00734</t>
  </si>
  <si>
    <t>leeclarke12@aol.com</t>
  </si>
  <si>
    <t>Lee</t>
  </si>
  <si>
    <t>Clarke</t>
  </si>
  <si>
    <t>54</t>
  </si>
  <si>
    <t>07710507950</t>
  </si>
  <si>
    <t>CV5 9FJ</t>
  </si>
  <si>
    <t>246 Hawkes Mill Lane</t>
  </si>
  <si>
    <t>#00735</t>
  </si>
  <si>
    <t>2hrs</t>
  </si>
  <si>
    <t xml:space="preserve">amymorris100@gmail.com </t>
  </si>
  <si>
    <t>Amy</t>
  </si>
  <si>
    <t>Morris</t>
  </si>
  <si>
    <t>07769332278</t>
  </si>
  <si>
    <t>B93 9RA</t>
  </si>
  <si>
    <t>32 Moorfield Avenue, Knowle</t>
  </si>
  <si>
    <t>Knowle</t>
  </si>
  <si>
    <t>#00746</t>
  </si>
  <si>
    <t>info@simongking.com</t>
  </si>
  <si>
    <t>King</t>
  </si>
  <si>
    <t>53</t>
  </si>
  <si>
    <t>07855304783</t>
  </si>
  <si>
    <t>NP44 3JJ</t>
  </si>
  <si>
    <t>25 John Fielding Gardens</t>
  </si>
  <si>
    <t>Cwmbran</t>
  </si>
  <si>
    <t>#00768</t>
  </si>
  <si>
    <t>24</t>
  </si>
  <si>
    <t>07557766387</t>
  </si>
  <si>
    <t>philwebster92@gmail.com</t>
  </si>
  <si>
    <t>Webster</t>
  </si>
  <si>
    <t>07964670219</t>
  </si>
  <si>
    <t>CV325AA</t>
  </si>
  <si>
    <t>Flat 3, 19 Dormer Place</t>
  </si>
  <si>
    <t>LEAMINGTON SPA</t>
  </si>
  <si>
    <t>Canon 60D</t>
  </si>
  <si>
    <t>Date and session specifics to be confirmed as discussed (Arbitrary date selected above to allow form submission) . Invoice for £200 has been sent to Jaguar Land Rover in conjunction with their employee learning scheme. Remaining cost of lesson will be covered directly by myself.</t>
  </si>
  <si>
    <t>#00814</t>
  </si>
  <si>
    <t>#00818</t>
  </si>
  <si>
    <t>#00888</t>
  </si>
  <si>
    <t xml:space="preserve">info@mattnuttallphotography.co.uk </t>
  </si>
  <si>
    <t xml:space="preserve">Matt </t>
  </si>
  <si>
    <t>Nuttall</t>
  </si>
  <si>
    <t>07793818021</t>
  </si>
  <si>
    <t>BL8 3PE</t>
  </si>
  <si>
    <t>28 Cann Street</t>
  </si>
  <si>
    <t>#00898</t>
  </si>
  <si>
    <t xml:space="preserve">seelypix@gmail.com </t>
  </si>
  <si>
    <t>76</t>
  </si>
  <si>
    <t>WR10 3HT</t>
  </si>
  <si>
    <t>11 Parkwood</t>
  </si>
  <si>
    <t>Pershore</t>
  </si>
  <si>
    <t>#00925</t>
  </si>
  <si>
    <t xml:space="preserve">robertjsmith@btinternet.com </t>
  </si>
  <si>
    <t>07772846158</t>
  </si>
  <si>
    <t>B93 8EF</t>
  </si>
  <si>
    <t>30 Rodborough Road</t>
  </si>
  <si>
    <t>#00966</t>
  </si>
  <si>
    <t xml:space="preserve">Anne </t>
  </si>
  <si>
    <t>07940178743</t>
  </si>
  <si>
    <t>Berkswell</t>
  </si>
  <si>
    <t>#00998</t>
  </si>
  <si>
    <t xml:space="preserve">tim.newcombe123@btinternet.com </t>
  </si>
  <si>
    <t xml:space="preserve">Tim </t>
  </si>
  <si>
    <t>Newcombe</t>
  </si>
  <si>
    <t>07970037325</t>
  </si>
  <si>
    <t>CV35 0QJ</t>
  </si>
  <si>
    <t>Pillerton Hersey</t>
  </si>
  <si>
    <t>#01016</t>
  </si>
  <si>
    <t xml:space="preserve">dandmroberts@googlemail.com </t>
  </si>
  <si>
    <t>GL53 9LJ</t>
  </si>
  <si>
    <t>8 Southfield Rise</t>
  </si>
  <si>
    <t>Cheltenham</t>
  </si>
  <si>
    <t>#00941</t>
  </si>
  <si>
    <t>janie.chapman13@btinternet.com</t>
  </si>
  <si>
    <t xml:space="preserve">Janie </t>
  </si>
  <si>
    <t>Chapman</t>
  </si>
  <si>
    <t>07960929845</t>
  </si>
  <si>
    <t>NN7 3JX</t>
  </si>
  <si>
    <t>39 Winston Close</t>
  </si>
  <si>
    <t>Northampton</t>
  </si>
  <si>
    <t>#01037</t>
  </si>
  <si>
    <t>alantaylor1409@gmail.com</t>
  </si>
  <si>
    <t>CV3 6JX</t>
  </si>
  <si>
    <t>41Baginton Road</t>
  </si>
  <si>
    <t>#01045</t>
  </si>
  <si>
    <t>#01048</t>
  </si>
  <si>
    <t>#01050</t>
  </si>
  <si>
    <t>07469932296</t>
  </si>
  <si>
    <t>GL569RG</t>
  </si>
  <si>
    <t>6 Church Farm Lane</t>
  </si>
  <si>
    <t>Aston Magna</t>
  </si>
  <si>
    <t>daniel.robb@live.co.uk</t>
  </si>
  <si>
    <t>27</t>
  </si>
  <si>
    <t>07464548407</t>
  </si>
  <si>
    <t>NN4 9QZ</t>
  </si>
  <si>
    <t>8 Keystone</t>
  </si>
  <si>
    <t>#01067</t>
  </si>
  <si>
    <t>#01076</t>
  </si>
  <si>
    <t>07549013266</t>
  </si>
  <si>
    <t>B90 1RJ</t>
  </si>
  <si>
    <t>68 Lady Lane</t>
  </si>
  <si>
    <t>#01083</t>
  </si>
  <si>
    <t>#01099</t>
  </si>
  <si>
    <t xml:space="preserve">francis.peckham@gmail.com </t>
  </si>
  <si>
    <t>07772331677</t>
  </si>
  <si>
    <t>SW10 9HB</t>
  </si>
  <si>
    <t>46 A Redcliffe Gardens</t>
  </si>
  <si>
    <t>London</t>
  </si>
  <si>
    <t xml:space="preserve">funsizeclaire@hotmail.co.uk </t>
  </si>
  <si>
    <t>Claire</t>
  </si>
  <si>
    <t>Finch/Townend</t>
  </si>
  <si>
    <t>07833404232</t>
  </si>
  <si>
    <t>CV31 1BQ</t>
  </si>
  <si>
    <t>42 Leam Terrace</t>
  </si>
  <si>
    <t>#001139</t>
  </si>
  <si>
    <t xml:space="preserve">shereekennedy@icloud.com </t>
  </si>
  <si>
    <t>Sharee</t>
  </si>
  <si>
    <t>Kennedy</t>
  </si>
  <si>
    <t>07886122165</t>
  </si>
  <si>
    <t>B92 9DD</t>
  </si>
  <si>
    <t>61 Rangoon Road</t>
  </si>
  <si>
    <t>#01143</t>
  </si>
  <si>
    <t xml:space="preserve">indi@cambabest.co.uk </t>
  </si>
  <si>
    <t xml:space="preserve">Indi </t>
  </si>
  <si>
    <t>Pnaiser</t>
  </si>
  <si>
    <t>30</t>
  </si>
  <si>
    <t>07706160499</t>
  </si>
  <si>
    <t>B9 4PY</t>
  </si>
  <si>
    <t>Cambab Venetia Road</t>
  </si>
  <si>
    <t>Bordesley Green</t>
  </si>
  <si>
    <t>#01162</t>
  </si>
  <si>
    <t>2 x 2hrs</t>
  </si>
  <si>
    <t xml:space="preserve">vnaddo@btinternet.com </t>
  </si>
  <si>
    <t>Propert</t>
  </si>
  <si>
    <t>07790901125</t>
  </si>
  <si>
    <t>CV10 0RE</t>
  </si>
  <si>
    <t>34 Wakeford Close</t>
  </si>
  <si>
    <t>Nuneaton</t>
  </si>
  <si>
    <t>#01185</t>
  </si>
  <si>
    <t>#01210</t>
  </si>
  <si>
    <t xml:space="preserve">kenneth_hk1@hotmail.com </t>
  </si>
  <si>
    <t>Dr</t>
  </si>
  <si>
    <t xml:space="preserve">kenneth </t>
  </si>
  <si>
    <t>cheung</t>
  </si>
  <si>
    <t>Australia</t>
  </si>
  <si>
    <t>#01243</t>
  </si>
  <si>
    <t xml:space="preserve">jgox@btinternet.com </t>
  </si>
  <si>
    <t>07773414777</t>
  </si>
  <si>
    <t>#01290</t>
  </si>
  <si>
    <t>#01314</t>
  </si>
  <si>
    <t xml:space="preserve">john-perks@sky.com </t>
  </si>
  <si>
    <t>Perks</t>
  </si>
  <si>
    <t>07812053939</t>
  </si>
  <si>
    <t>Cv77fx</t>
  </si>
  <si>
    <t>27 meeting house lane</t>
  </si>
  <si>
    <t>#01322</t>
  </si>
  <si>
    <t>Riordan</t>
  </si>
  <si>
    <t>65</t>
  </si>
  <si>
    <t>07958419181</t>
  </si>
  <si>
    <t>CV4 7HD</t>
  </si>
  <si>
    <t>2 heritage court</t>
  </si>
  <si>
    <t>#01339</t>
  </si>
  <si>
    <t>#01341</t>
  </si>
  <si>
    <t xml:space="preserve">mobrad7@gmail.com </t>
  </si>
  <si>
    <t>Mo</t>
  </si>
  <si>
    <t>Bradley</t>
  </si>
  <si>
    <t>66</t>
  </si>
  <si>
    <t>07884438053</t>
  </si>
  <si>
    <t>B74 2QT</t>
  </si>
  <si>
    <t>36 clarry drive, Four oaks</t>
  </si>
  <si>
    <t>Sutton Coldfield</t>
  </si>
  <si>
    <t>alancross9937@gmail.com</t>
  </si>
  <si>
    <t xml:space="preserve">Mr </t>
  </si>
  <si>
    <t>Cross</t>
  </si>
  <si>
    <t>90</t>
  </si>
  <si>
    <t>CV7 7FR</t>
  </si>
  <si>
    <t>12 Balsall Street East</t>
  </si>
  <si>
    <t>#01364</t>
  </si>
  <si>
    <t xml:space="preserve">alex.prior.sampson@gmail.com </t>
  </si>
  <si>
    <t>Alex</t>
  </si>
  <si>
    <t>Sampson</t>
  </si>
  <si>
    <t>07900588819</t>
  </si>
  <si>
    <t>E18 1JS</t>
  </si>
  <si>
    <t>13 Essex Road</t>
  </si>
  <si>
    <t>sheilacoughlan1958@gmail.com</t>
  </si>
  <si>
    <t xml:space="preserve">Sheila </t>
  </si>
  <si>
    <t>Coughlan</t>
  </si>
  <si>
    <t>07453947504</t>
  </si>
  <si>
    <t>CV31 1JB</t>
  </si>
  <si>
    <t>3 Rushmore Terrace</t>
  </si>
  <si>
    <t>#01389</t>
  </si>
  <si>
    <t xml:space="preserve">neill.smith33@hotmail.co.uk </t>
  </si>
  <si>
    <t>07500080486</t>
  </si>
  <si>
    <t>CV23 8UA</t>
  </si>
  <si>
    <t>5A Rugby Road</t>
  </si>
  <si>
    <t>#01398</t>
  </si>
  <si>
    <t xml:space="preserve">emma_moxon1986@hotmail.co.uk </t>
  </si>
  <si>
    <t>07535 543146</t>
  </si>
  <si>
    <t>CV31 2TG</t>
  </si>
  <si>
    <t>56 Montgomery Road</t>
  </si>
  <si>
    <t>Direct PayPal</t>
  </si>
  <si>
    <t>dreamsjoinery@gmail.com</t>
  </si>
  <si>
    <t>Lewis</t>
  </si>
  <si>
    <t>07957332743</t>
  </si>
  <si>
    <t>B91 2lr</t>
  </si>
  <si>
    <t>19 redlands road</t>
  </si>
  <si>
    <t>#01418</t>
  </si>
  <si>
    <t xml:space="preserve">tojgly@gmail.com </t>
  </si>
  <si>
    <t>Asker</t>
  </si>
  <si>
    <t xml:space="preserve"> Jeukendrup</t>
  </si>
  <si>
    <t>07824398438</t>
  </si>
  <si>
    <t>B48 7QZ</t>
  </si>
  <si>
    <t>Rowney Green Lane</t>
  </si>
  <si>
    <t xml:space="preserve">Rowney Green, </t>
  </si>
  <si>
    <t>#01449</t>
  </si>
  <si>
    <t xml:space="preserve">billrlove@mac.com </t>
  </si>
  <si>
    <t xml:space="preserve">William </t>
  </si>
  <si>
    <t>Love</t>
  </si>
  <si>
    <t>07484138912</t>
  </si>
  <si>
    <t>B14 7EY</t>
  </si>
  <si>
    <t>55 Institute Road</t>
  </si>
  <si>
    <t>Kings Heath</t>
  </si>
  <si>
    <t>#01453</t>
  </si>
  <si>
    <t xml:space="preserve">martparkes@me.com </t>
  </si>
  <si>
    <t>Martine</t>
  </si>
  <si>
    <t>Parks</t>
  </si>
  <si>
    <t>07572429829</t>
  </si>
  <si>
    <t>DY3 4BA</t>
  </si>
  <si>
    <t>4 Brick Kiln Way</t>
  </si>
  <si>
    <t>Dudley</t>
  </si>
  <si>
    <t>#01461</t>
  </si>
  <si>
    <t>2 hrs</t>
  </si>
  <si>
    <t>cv370rs</t>
  </si>
  <si>
    <t xml:space="preserve">chrisb02@live.co.uk </t>
  </si>
  <si>
    <t>mr</t>
  </si>
  <si>
    <t xml:space="preserve">Christopher </t>
  </si>
  <si>
    <t>Burnard</t>
  </si>
  <si>
    <t>07772843145</t>
  </si>
  <si>
    <t>CV116TT</t>
  </si>
  <si>
    <t>26A, Turnberry Drive</t>
  </si>
  <si>
    <t>#01469</t>
  </si>
  <si>
    <t xml:space="preserve">amandajpercival@hotmail.com </t>
  </si>
  <si>
    <t>Percivil</t>
  </si>
  <si>
    <t>07792003944</t>
  </si>
  <si>
    <t>B90 1RB</t>
  </si>
  <si>
    <t>139 Rumbush Lane</t>
  </si>
  <si>
    <t xml:space="preserve">dianasrichards@hotmail.com </t>
  </si>
  <si>
    <t>Richards</t>
  </si>
  <si>
    <t>07979814547</t>
  </si>
  <si>
    <t>david.mcguire36@yahoo.co.uk</t>
  </si>
  <si>
    <t xml:space="preserve">David </t>
  </si>
  <si>
    <t>McGuire</t>
  </si>
  <si>
    <t>07894073125</t>
  </si>
  <si>
    <t xml:space="preserve">B90 4DP </t>
  </si>
  <si>
    <t xml:space="preserve">10 Charlecote Croft </t>
  </si>
  <si>
    <t xml:space="preserve">Jennifer </t>
  </si>
  <si>
    <t>#01544</t>
  </si>
  <si>
    <t xml:space="preserve">lizz1@hotmail.co.uk </t>
  </si>
  <si>
    <t>Sean</t>
  </si>
  <si>
    <t>Dewhurst</t>
  </si>
  <si>
    <t>#01547</t>
  </si>
  <si>
    <t>#01567</t>
  </si>
  <si>
    <t xml:space="preserve">am.nuria@yahoo.co.uk </t>
  </si>
  <si>
    <t xml:space="preserve">Nuria </t>
  </si>
  <si>
    <t>Alonso</t>
  </si>
  <si>
    <t>07788775975</t>
  </si>
  <si>
    <t>CV3 6HU</t>
  </si>
  <si>
    <t>10 Hiron Croft</t>
  </si>
  <si>
    <t>#01576</t>
  </si>
  <si>
    <t xml:space="preserve">nicoledejong@hotmail.co.uk </t>
  </si>
  <si>
    <t xml:space="preserve">Ray </t>
  </si>
  <si>
    <t>de Jong</t>
  </si>
  <si>
    <t>07855469735</t>
  </si>
  <si>
    <t>#01579</t>
  </si>
  <si>
    <t xml:space="preserve">chris@rharrop.f9.co.uk </t>
  </si>
  <si>
    <t>Christine</t>
  </si>
  <si>
    <t>07914988012</t>
  </si>
  <si>
    <t>OX49 5JW</t>
  </si>
  <si>
    <t>Oxford</t>
  </si>
  <si>
    <t>#01582</t>
  </si>
  <si>
    <t xml:space="preserve">knpearce@hotmail.com </t>
  </si>
  <si>
    <t xml:space="preserve">Kirsten </t>
  </si>
  <si>
    <t>#01587</t>
  </si>
  <si>
    <t xml:space="preserve">snavelien@gmail.com </t>
  </si>
  <si>
    <t>Evans</t>
  </si>
  <si>
    <t>07834386970</t>
  </si>
  <si>
    <t>Le17 4bp</t>
  </si>
  <si>
    <t>18 Riverside Road</t>
  </si>
  <si>
    <t>#01590</t>
  </si>
  <si>
    <t xml:space="preserve">tonyteague@btinternet.com </t>
  </si>
  <si>
    <t>69</t>
  </si>
  <si>
    <t>07831582824</t>
  </si>
  <si>
    <t>#01604</t>
  </si>
  <si>
    <t xml:space="preserve">dennis_jeffrey@hotmail.co.uk </t>
  </si>
  <si>
    <t>Dennis</t>
  </si>
  <si>
    <t>07921265315</t>
  </si>
  <si>
    <t>SL66JP</t>
  </si>
  <si>
    <t>5 Parkside</t>
  </si>
  <si>
    <t xml:space="preserve">Maidenhead, </t>
  </si>
  <si>
    <t>#01608</t>
  </si>
  <si>
    <t>#01617</t>
  </si>
  <si>
    <t>#01655</t>
  </si>
  <si>
    <t>Stratford Upon Avon</t>
  </si>
  <si>
    <t>#01660</t>
  </si>
  <si>
    <t xml:space="preserve">clarelouise@john-lewis.com </t>
  </si>
  <si>
    <t>Clare</t>
  </si>
  <si>
    <t>07854057528</t>
  </si>
  <si>
    <t>WR6 6BY</t>
  </si>
  <si>
    <t>Stone Cottage, The Hill</t>
  </si>
  <si>
    <t>Worcester</t>
  </si>
  <si>
    <t>#01651</t>
  </si>
  <si>
    <t>chrisbrownoakcottage@virginmedia.com</t>
  </si>
  <si>
    <t>07752050781</t>
  </si>
  <si>
    <t>Watford</t>
  </si>
  <si>
    <t>#01681</t>
  </si>
  <si>
    <t>2 x 1hr</t>
  </si>
  <si>
    <t>#01711</t>
  </si>
  <si>
    <t xml:space="preserve">alistair_willis@yahoo.co.uk </t>
  </si>
  <si>
    <t>Alistair</t>
  </si>
  <si>
    <t>Willis</t>
  </si>
  <si>
    <t>07910195549</t>
  </si>
  <si>
    <t>B14 7ER</t>
  </si>
  <si>
    <t>119 Addison Road</t>
  </si>
  <si>
    <t>Birmimgham</t>
  </si>
  <si>
    <t xml:space="preserve">Georgina </t>
  </si>
  <si>
    <t>Thorley</t>
  </si>
  <si>
    <t>07835331344</t>
  </si>
  <si>
    <t>GL56 0TL</t>
  </si>
  <si>
    <t>Loxley House</t>
  </si>
  <si>
    <t>Moreton On Marsh</t>
  </si>
  <si>
    <t>#01730</t>
  </si>
  <si>
    <t>zydrune22@yahoo.com</t>
  </si>
  <si>
    <t xml:space="preserve">Suzie </t>
  </si>
  <si>
    <t>Darbutaite</t>
  </si>
  <si>
    <t>29</t>
  </si>
  <si>
    <t>07415547222</t>
  </si>
  <si>
    <t>nn171nf</t>
  </si>
  <si>
    <t>9 east avenue corby</t>
  </si>
  <si>
    <t>#01758</t>
  </si>
  <si>
    <t xml:space="preserve">johnleech@me.com </t>
  </si>
  <si>
    <t>Emma</t>
  </si>
  <si>
    <t>Leech</t>
  </si>
  <si>
    <t>07968150083</t>
  </si>
  <si>
    <t>Cv35 8pp</t>
  </si>
  <si>
    <t>3 Arden Glade</t>
  </si>
  <si>
    <t>#01764</t>
  </si>
  <si>
    <t xml:space="preserve">nigeljbailey@tiscali.co.uk </t>
  </si>
  <si>
    <t>Nigel</t>
  </si>
  <si>
    <t>Bailey</t>
  </si>
  <si>
    <t>07469951071</t>
  </si>
  <si>
    <t>cv49th</t>
  </si>
  <si>
    <t>26 Tilehurst Drive</t>
  </si>
  <si>
    <t>#01765</t>
  </si>
  <si>
    <t xml:space="preserve">m.d.vaness@gmail.com </t>
  </si>
  <si>
    <t>Monica</t>
  </si>
  <si>
    <t>Vaness</t>
  </si>
  <si>
    <t>07736413176</t>
  </si>
  <si>
    <t>WR9 7PX</t>
  </si>
  <si>
    <t>10 Richardson Close</t>
  </si>
  <si>
    <t>Wychbold</t>
  </si>
  <si>
    <t>#01768</t>
  </si>
  <si>
    <t>2x 1hr</t>
  </si>
  <si>
    <t xml:space="preserve">kyak_anja@icloud.com </t>
  </si>
  <si>
    <t xml:space="preserve">Hiroshi </t>
  </si>
  <si>
    <t>Nishikawa</t>
  </si>
  <si>
    <t>07802422617</t>
  </si>
  <si>
    <t>B1 1 RG</t>
  </si>
  <si>
    <t>118 Royal arch apartments, Wharfside Street</t>
  </si>
  <si>
    <t>steve@lettoch.com</t>
  </si>
  <si>
    <t>Steven</t>
  </si>
  <si>
    <t>Rawson</t>
  </si>
  <si>
    <t>01796472108</t>
  </si>
  <si>
    <t>carniodanieleros@google.com</t>
  </si>
  <si>
    <t>Carnio</t>
  </si>
  <si>
    <t>+39 3471172441</t>
  </si>
  <si>
    <t>#01808</t>
  </si>
  <si>
    <t xml:space="preserve">samreid70@yahoo.co.uk </t>
  </si>
  <si>
    <t>Reid</t>
  </si>
  <si>
    <t>07754784179</t>
  </si>
  <si>
    <t>B93 8EE</t>
  </si>
  <si>
    <t>41 Rodborough Rd</t>
  </si>
  <si>
    <t>#01816</t>
  </si>
  <si>
    <t xml:space="preserve">justin.meaden@esurv.co.uk </t>
  </si>
  <si>
    <t>Justin</t>
  </si>
  <si>
    <t>07553070300</t>
  </si>
  <si>
    <t>E4 9HX</t>
  </si>
  <si>
    <t>120 Coolgardie Avenue</t>
  </si>
  <si>
    <t>qbagh@outlook.com</t>
  </si>
  <si>
    <t>Sara</t>
  </si>
  <si>
    <t>Wakil</t>
  </si>
  <si>
    <t>07480524398</t>
  </si>
  <si>
    <t>Tw15 1ue</t>
  </si>
  <si>
    <t>43 ashford road</t>
  </si>
  <si>
    <t>Surrey ashford</t>
  </si>
  <si>
    <t>#01929</t>
  </si>
  <si>
    <t xml:space="preserve">w.wheeler@btinternet.com </t>
  </si>
  <si>
    <t xml:space="preserve">Wayne </t>
  </si>
  <si>
    <t>Wheeler</t>
  </si>
  <si>
    <t>07850259649</t>
  </si>
  <si>
    <t>wv1 3eg</t>
  </si>
  <si>
    <t>107 Albion Street</t>
  </si>
  <si>
    <t>Wolverhampton</t>
  </si>
  <si>
    <t>#01950</t>
  </si>
  <si>
    <t xml:space="preserve">nishajha@doctors.net.uk </t>
  </si>
  <si>
    <t>Nisha a</t>
  </si>
  <si>
    <t>Jh</t>
  </si>
  <si>
    <t>07852926579</t>
  </si>
  <si>
    <t>CV32 4RT</t>
  </si>
  <si>
    <t>18 Guy street</t>
  </si>
  <si>
    <t>#01973</t>
  </si>
  <si>
    <t xml:space="preserve">staceykania@hotmail.co.uk </t>
  </si>
  <si>
    <t>Stacey</t>
  </si>
  <si>
    <t>Kania</t>
  </si>
  <si>
    <t>07747827965</t>
  </si>
  <si>
    <t>ST3 5XN</t>
  </si>
  <si>
    <t>6 Berryfield Grove</t>
  </si>
  <si>
    <t>Stoke On Trent</t>
  </si>
  <si>
    <t>#01976</t>
  </si>
  <si>
    <t xml:space="preserve">aqefamalik@hotmail.co.uk </t>
  </si>
  <si>
    <t xml:space="preserve">Aqefa </t>
  </si>
  <si>
    <t>Malik</t>
  </si>
  <si>
    <t>07904110712</t>
  </si>
  <si>
    <t>B26 1SD</t>
  </si>
  <si>
    <t>154 Barrows Lane</t>
  </si>
  <si>
    <t>Yardley</t>
  </si>
  <si>
    <t>#01993</t>
  </si>
  <si>
    <t xml:space="preserve">headoffice@incredibleeggs.co.uk </t>
  </si>
  <si>
    <t>07790050674</t>
  </si>
  <si>
    <t>#02017</t>
  </si>
  <si>
    <t>5 x 2hrs</t>
  </si>
  <si>
    <t xml:space="preserve">quentmelhuish@gmail.com </t>
  </si>
  <si>
    <t xml:space="preserve">Quentin </t>
  </si>
  <si>
    <t>Melhuish</t>
  </si>
  <si>
    <t>07873890383</t>
  </si>
  <si>
    <t>CV3 5LJ</t>
  </si>
  <si>
    <t>8 The Park Paling</t>
  </si>
  <si>
    <t>#02019</t>
  </si>
  <si>
    <t>#02027</t>
  </si>
  <si>
    <t xml:space="preserve">maria_19@hotmail.co.uk </t>
  </si>
  <si>
    <t>Maria</t>
  </si>
  <si>
    <t>Iqbal</t>
  </si>
  <si>
    <t>07891133043</t>
  </si>
  <si>
    <t>B11 4PG</t>
  </si>
  <si>
    <t>65 Beach Road</t>
  </si>
  <si>
    <t>Sparkhill</t>
  </si>
  <si>
    <t>#02034</t>
  </si>
  <si>
    <t xml:space="preserve">annewatkinson@talk21.com </t>
  </si>
  <si>
    <t>#02040</t>
  </si>
  <si>
    <t xml:space="preserve">clhannis@hotmail.co.uk </t>
  </si>
  <si>
    <t>Hannis</t>
  </si>
  <si>
    <t>07933239528</t>
  </si>
  <si>
    <t>astjn4@aol.com</t>
  </si>
  <si>
    <t>Astle</t>
  </si>
  <si>
    <t>07809016219</t>
  </si>
  <si>
    <t>DE21 6TB</t>
  </si>
  <si>
    <t>162 Albert Road</t>
  </si>
  <si>
    <t>Derby</t>
  </si>
  <si>
    <t>#02134</t>
  </si>
  <si>
    <t xml:space="preserve">yvonne.sharman@plenahealth.co.uk </t>
  </si>
  <si>
    <t xml:space="preserve">Lyn (den) </t>
  </si>
  <si>
    <t>Sharman</t>
  </si>
  <si>
    <t>79</t>
  </si>
  <si>
    <t>07973462718</t>
  </si>
  <si>
    <t>CV34 4DB</t>
  </si>
  <si>
    <t>2 Castle Close</t>
  </si>
  <si>
    <t>jeffreybalyliss@gmail.com</t>
  </si>
  <si>
    <t xml:space="preserve">Bernie </t>
  </si>
  <si>
    <t>Bayliss</t>
  </si>
  <si>
    <t>07528789979</t>
  </si>
  <si>
    <t>#02159</t>
  </si>
  <si>
    <t xml:space="preserve">mkpayton@sky.com </t>
  </si>
  <si>
    <t>Payton</t>
  </si>
  <si>
    <t>07792640004</t>
  </si>
  <si>
    <t>B91 3JR</t>
  </si>
  <si>
    <t>67 Lovelace Avenue</t>
  </si>
  <si>
    <t xml:space="preserve">alex1962uk@yahoo.co.uk </t>
  </si>
  <si>
    <t>07970385403</t>
  </si>
  <si>
    <t>CV37 9FY</t>
  </si>
  <si>
    <t>8 Shottery Green</t>
  </si>
  <si>
    <t>#02254</t>
  </si>
  <si>
    <t xml:space="preserve">tholton101@gmail.com </t>
  </si>
  <si>
    <t>Terry</t>
  </si>
  <si>
    <t>Holton</t>
  </si>
  <si>
    <t>07841574698</t>
  </si>
  <si>
    <t>CV23 9DY</t>
  </si>
  <si>
    <t>3 Raffles Place</t>
  </si>
  <si>
    <t>#02362</t>
  </si>
  <si>
    <t>julesjoanne99@gmail.com</t>
  </si>
  <si>
    <t>Julie</t>
  </si>
  <si>
    <t>#02427</t>
  </si>
  <si>
    <t>Craig Morley</t>
  </si>
  <si>
    <t xml:space="preserve">kwisemo1@gmail.com </t>
  </si>
  <si>
    <t>Craig</t>
  </si>
  <si>
    <t>Morley</t>
  </si>
  <si>
    <t>18105983030</t>
  </si>
  <si>
    <t>USA</t>
  </si>
  <si>
    <t>#02442</t>
  </si>
  <si>
    <t xml:space="preserve">sophiehelen07@hotmail.co.uk </t>
  </si>
  <si>
    <t>Sophie</t>
  </si>
  <si>
    <t>Bates</t>
  </si>
  <si>
    <t>07535700991</t>
  </si>
  <si>
    <t>NN11 6UE</t>
  </si>
  <si>
    <t>4 Plowden Close</t>
  </si>
  <si>
    <t>Daventry</t>
  </si>
  <si>
    <t>#02443</t>
  </si>
  <si>
    <t xml:space="preserve">nickie.wood@hotmail.com </t>
  </si>
  <si>
    <t>Nickie</t>
  </si>
  <si>
    <t>Wood</t>
  </si>
  <si>
    <t>07929574004</t>
  </si>
  <si>
    <t>B73 6UE</t>
  </si>
  <si>
    <t>18 Coppice View Road</t>
  </si>
  <si>
    <t>#02560</t>
  </si>
  <si>
    <t>6 x 1hr</t>
  </si>
  <si>
    <t>#02636</t>
  </si>
  <si>
    <t xml:space="preserve">jonnevs1966@gmail.com </t>
  </si>
  <si>
    <t>57</t>
  </si>
  <si>
    <t>07783928974</t>
  </si>
  <si>
    <t>CV82GD</t>
  </si>
  <si>
    <t>Flat 9 2 Stoneleigh Road</t>
  </si>
  <si>
    <t>#02641</t>
  </si>
  <si>
    <t>4 x 1hr</t>
  </si>
  <si>
    <t xml:space="preserve">b.voules@btinternet.com </t>
  </si>
  <si>
    <t>Barbara</t>
  </si>
  <si>
    <t>73</t>
  </si>
  <si>
    <t>07843113310</t>
  </si>
  <si>
    <t>BA4 4HX</t>
  </si>
  <si>
    <t>34 Walnut Grove</t>
  </si>
  <si>
    <t>Shepton Mallet</t>
  </si>
  <si>
    <t>#02698</t>
  </si>
  <si>
    <t>4 x2hrs</t>
  </si>
  <si>
    <t xml:space="preserve">lyn.bowker@yahoo.com </t>
  </si>
  <si>
    <t>Lyn</t>
  </si>
  <si>
    <t>Bowker</t>
  </si>
  <si>
    <t>07878057840</t>
  </si>
  <si>
    <t>CV3 6EA</t>
  </si>
  <si>
    <t>108 Green Lane</t>
  </si>
  <si>
    <t>#02749</t>
  </si>
  <si>
    <t xml:space="preserve">danielle.warwick@aol.co.uk </t>
  </si>
  <si>
    <t>Danielle</t>
  </si>
  <si>
    <t>07477505054</t>
  </si>
  <si>
    <t>CV34 4TZ</t>
  </si>
  <si>
    <t>50 Birch Meadow Close</t>
  </si>
  <si>
    <t>#02751</t>
  </si>
  <si>
    <t xml:space="preserve">bhu_bansal@hotmail.com </t>
  </si>
  <si>
    <t xml:space="preserve">Bhupinder </t>
  </si>
  <si>
    <t>Bansal</t>
  </si>
  <si>
    <t>07957234732</t>
  </si>
  <si>
    <t>B49 5LS</t>
  </si>
  <si>
    <t>The Cedars, Worcester Road</t>
  </si>
  <si>
    <t>Alcester</t>
  </si>
  <si>
    <t>#02766</t>
  </si>
  <si>
    <t xml:space="preserve">jimmy.concannon1@gmail.com </t>
  </si>
  <si>
    <t>Jimmy</t>
  </si>
  <si>
    <t>Concannon</t>
  </si>
  <si>
    <t>07774112960</t>
  </si>
  <si>
    <t>CV5 9EF</t>
  </si>
  <si>
    <t>235 Browns Lane</t>
  </si>
  <si>
    <t>#02797</t>
  </si>
  <si>
    <t xml:space="preserve">h.twomey@warwick.ac.uk </t>
  </si>
  <si>
    <t xml:space="preserve"> Anderson</t>
  </si>
  <si>
    <t>07975752100</t>
  </si>
  <si>
    <t>#02803</t>
  </si>
  <si>
    <t xml:space="preserve">kirstylilley2903@gmail.com </t>
  </si>
  <si>
    <t>Kirsty</t>
  </si>
  <si>
    <t>Lilley</t>
  </si>
  <si>
    <t>07852251805</t>
  </si>
  <si>
    <t>Gl56 0FJ</t>
  </si>
  <si>
    <t>33 Kestrel Way</t>
  </si>
  <si>
    <t>Moreton-in-Marsh</t>
  </si>
  <si>
    <t>#02806</t>
  </si>
  <si>
    <t xml:space="preserve">23kk01@gmail.com </t>
  </si>
  <si>
    <t>Kate</t>
  </si>
  <si>
    <t>Irwin</t>
  </si>
  <si>
    <t>07707654667</t>
  </si>
  <si>
    <t>CV6 1DH</t>
  </si>
  <si>
    <t>2 Ralph Road</t>
  </si>
  <si>
    <t>#02846</t>
  </si>
  <si>
    <t xml:space="preserve">msue91771@gmail.com </t>
  </si>
  <si>
    <t>Susan</t>
  </si>
  <si>
    <t>Dickman</t>
  </si>
  <si>
    <t>07919842474</t>
  </si>
  <si>
    <t>B91 3YS</t>
  </si>
  <si>
    <t>26 Chipstone Close</t>
  </si>
  <si>
    <t>#02869</t>
  </si>
  <si>
    <t>jackieandnoel@hotmail.co.uk</t>
  </si>
  <si>
    <t>Jacqueline</t>
  </si>
  <si>
    <t>Walsh</t>
  </si>
  <si>
    <t>07775602040</t>
  </si>
  <si>
    <t>CV33 9RL</t>
  </si>
  <si>
    <t>10, Savages Close, Bishops Tachbrook</t>
  </si>
  <si>
    <t>#02875</t>
  </si>
  <si>
    <t>albanamarina12@outlook.com</t>
  </si>
  <si>
    <t>Nikoleta</t>
  </si>
  <si>
    <t>Jorgo</t>
  </si>
  <si>
    <t>07830788171</t>
  </si>
  <si>
    <t>B31 4ET</t>
  </si>
  <si>
    <t>11 Manderville House</t>
  </si>
  <si>
    <t>5 x 1.5hrs</t>
  </si>
  <si>
    <t>sandradawkes64@yahoo.co.uk</t>
  </si>
  <si>
    <t>Dawkes</t>
  </si>
  <si>
    <t>1 x 2hrs</t>
  </si>
  <si>
    <t>lizmartin44@live.co.uk</t>
  </si>
  <si>
    <t>Liz</t>
  </si>
  <si>
    <t>07805276068</t>
  </si>
  <si>
    <t xml:space="preserve">johnlmgilmour@gmail.com </t>
  </si>
  <si>
    <t>Gilmour</t>
  </si>
  <si>
    <t>07774766677</t>
  </si>
  <si>
    <t>LD7 1AA</t>
  </si>
  <si>
    <t>Wlcywm Street</t>
  </si>
  <si>
    <t>Powys</t>
  </si>
  <si>
    <t>jaysapna747@gmail.com</t>
  </si>
  <si>
    <t>Sapa</t>
  </si>
  <si>
    <t>Patni</t>
  </si>
  <si>
    <t>07738069907</t>
  </si>
  <si>
    <t>B92 0BZ</t>
  </si>
  <si>
    <t>24 Diddington Lane</t>
  </si>
  <si>
    <t xml:space="preserve">graceoliverhome@gmail.com </t>
  </si>
  <si>
    <t>Grace</t>
  </si>
  <si>
    <t>Oliver</t>
  </si>
  <si>
    <t>07805679109</t>
  </si>
  <si>
    <t>DY8 3AY</t>
  </si>
  <si>
    <t>43 Mere Road</t>
  </si>
  <si>
    <t>Stourbridge</t>
  </si>
  <si>
    <t xml:space="preserve">guillaume.lesoin@gmail.com </t>
  </si>
  <si>
    <t>Beucherie</t>
  </si>
  <si>
    <t>07845051037</t>
  </si>
  <si>
    <t>6 x 1hr Zoom</t>
  </si>
  <si>
    <t xml:space="preserve">matthew@drpartridge.com </t>
  </si>
  <si>
    <t xml:space="preserve"> Partridge</t>
  </si>
  <si>
    <t>07475425254</t>
  </si>
  <si>
    <t>georgecherryarts@gmail.com</t>
  </si>
  <si>
    <t>Cherry</t>
  </si>
  <si>
    <t>net</t>
  </si>
  <si>
    <t>From Date</t>
  </si>
  <si>
    <t>To Date</t>
  </si>
  <si>
    <t>Booking Ref</t>
  </si>
  <si>
    <t>Zoom 3 x 1hr</t>
  </si>
  <si>
    <t>IIY#3620895578371vgs</t>
  </si>
  <si>
    <t>ndinu1@jaguarlandrover.com</t>
  </si>
  <si>
    <t>#03171</t>
  </si>
  <si>
    <t>jshillad@jaguarlandrover.com</t>
  </si>
  <si>
    <t>07943503380</t>
  </si>
  <si>
    <t>3WK Beginners Course</t>
  </si>
  <si>
    <t>3wks</t>
  </si>
  <si>
    <t>IIY#1295854328371aMn</t>
  </si>
  <si>
    <t>Rochester</t>
  </si>
  <si>
    <t>drochest@jaguarlandrover.com</t>
  </si>
  <si>
    <t>IIY#4951943858371awi</t>
  </si>
  <si>
    <t>Richard</t>
  </si>
  <si>
    <t>rhill12@jaguarlandrover.com</t>
  </si>
  <si>
    <t>IIY#5175394858371ofg</t>
  </si>
  <si>
    <t xml:space="preserve">Chelsea </t>
  </si>
  <si>
    <t>Anderson</t>
  </si>
  <si>
    <t>cander13@jaguarlandrover.com</t>
  </si>
  <si>
    <t>no show</t>
  </si>
  <si>
    <t>IIY#4797774168371tSB</t>
  </si>
  <si>
    <t xml:space="preserve">Cheryl </t>
  </si>
  <si>
    <t>Laverick</t>
  </si>
  <si>
    <t>claveri1@jaguarlandrover.com</t>
  </si>
  <si>
    <t>07581306990</t>
  </si>
  <si>
    <t>IIY#9793493480471ZwA</t>
  </si>
  <si>
    <t>fdebelli@jaguarlandrover.com</t>
  </si>
  <si>
    <t>07920715136</t>
  </si>
  <si>
    <t>IIY#9658346990471xVO</t>
  </si>
  <si>
    <t>valagbe@jaguarlandrover.com</t>
  </si>
  <si>
    <t>07501810705</t>
  </si>
  <si>
    <t>IIY#4415640591471Brv</t>
  </si>
  <si>
    <t>bpoline1@jaguarlandrover.com</t>
  </si>
  <si>
    <t>5WK Beginners Course</t>
  </si>
  <si>
    <t>5wks</t>
  </si>
  <si>
    <t>#02934</t>
  </si>
  <si>
    <t>OConnor</t>
  </si>
  <si>
    <t xml:space="preserve">rfoc123@aol.com </t>
  </si>
  <si>
    <t>07971209705</t>
  </si>
  <si>
    <t>CV77DD</t>
  </si>
  <si>
    <t>Reaves Green Barn</t>
  </si>
  <si>
    <t>IIY#7396680729371dNI</t>
  </si>
  <si>
    <t xml:space="preserve">Nandeep </t>
  </si>
  <si>
    <t>Bhambra</t>
  </si>
  <si>
    <t>nbhambr2@jaguarlandrover.com</t>
  </si>
  <si>
    <t>IIY#2757828598371meV</t>
  </si>
  <si>
    <t xml:space="preserve">Rajkumar </t>
  </si>
  <si>
    <t>Nagappan Pillai</t>
  </si>
  <si>
    <t>rnagappa@jaguarlandrover.com</t>
  </si>
  <si>
    <t>IIY#5483395752471PKS</t>
  </si>
  <si>
    <t>psubram7@jaguarlandrover.com</t>
  </si>
  <si>
    <t>07393070907</t>
  </si>
  <si>
    <t>3WK Lightroom Course</t>
  </si>
  <si>
    <t>IIY#9784390621471qeW</t>
  </si>
  <si>
    <t>jlawre17@jaguarlandrover.com</t>
  </si>
  <si>
    <t>07427 2325537</t>
  </si>
  <si>
    <t>IIY#2473345521471eH6</t>
  </si>
  <si>
    <t>plewis49@jaguarlandrover.com</t>
  </si>
  <si>
    <t>07811453907</t>
  </si>
  <si>
    <t>paul.lewis982@googlemail.com</t>
  </si>
  <si>
    <t>IIY#3699288992471NzB</t>
  </si>
  <si>
    <t>asiddesh@jaguarlandrover.com</t>
  </si>
  <si>
    <t>IIY#2528443773471wYf</t>
  </si>
  <si>
    <t>IIY#13653510134717Oa</t>
  </si>
  <si>
    <t>glingan1@jaguarlandrover.com</t>
  </si>
  <si>
    <t>07776684187</t>
  </si>
  <si>
    <t>IIY#36355007393718jX</t>
  </si>
  <si>
    <t>Casey</t>
  </si>
  <si>
    <t>cclark11@jaguarlandrover.com</t>
  </si>
  <si>
    <t>IIY#3337168549371BqW</t>
  </si>
  <si>
    <t>Aoife</t>
  </si>
  <si>
    <t>Doyle</t>
  </si>
  <si>
    <t>adoyle6@jaguarlandrover.com</t>
  </si>
  <si>
    <t>IIY#6654429899371evK</t>
  </si>
  <si>
    <t>arastog1@jaguarlandrover.com</t>
  </si>
  <si>
    <t>IIY#5221971400471t4J</t>
  </si>
  <si>
    <t>abalasu4@jaguarlandrover.com</t>
  </si>
  <si>
    <t>IIY#9738428143471tZb</t>
  </si>
  <si>
    <t>oolaniya@jaguarlandrover.com</t>
  </si>
  <si>
    <t>07414751507</t>
  </si>
  <si>
    <t>IIY#9870547483471jV5</t>
  </si>
  <si>
    <t>nalam1@jaguarlandrover.com</t>
  </si>
  <si>
    <t>07706655509</t>
  </si>
  <si>
    <t>#03004</t>
  </si>
  <si>
    <t>Callum</t>
  </si>
  <si>
    <t>Windle</t>
  </si>
  <si>
    <t xml:space="preserve">callumw99@hotmail.com </t>
  </si>
  <si>
    <t>07450895718</t>
  </si>
  <si>
    <t>IIY#5427554140471vik</t>
  </si>
  <si>
    <t>sprasa11@jaguarlandrover.com</t>
  </si>
  <si>
    <t>IIY#7198650770471ilF</t>
  </si>
  <si>
    <t>sherle@jaguarlandrover.com</t>
  </si>
  <si>
    <t>IIY#5621191922471ypm</t>
  </si>
  <si>
    <t>pgadag2@jaguarlandrover.com</t>
  </si>
  <si>
    <t>IIY#2113796132471ovn</t>
  </si>
  <si>
    <t>ahiggi21@jaguarlandrover.com</t>
  </si>
  <si>
    <t xml:space="preserve">0780 921 3080 </t>
  </si>
  <si>
    <t>IIY#3200851700471DL3</t>
  </si>
  <si>
    <t>pebosel1@jaguarlandrover.com</t>
  </si>
  <si>
    <t>IIY#8224552124471WYa</t>
  </si>
  <si>
    <t>bgeorge4@jaguarlandrover.com</t>
  </si>
  <si>
    <t>IIY#3962909142471NDK</t>
  </si>
  <si>
    <t>jwymer@jaguarlandrover.com</t>
  </si>
  <si>
    <t>07867 375 288</t>
  </si>
  <si>
    <t>IIY#68387487424710jI</t>
  </si>
  <si>
    <t>syarlag4@jaguarlandrover.com</t>
  </si>
  <si>
    <t>IIY#4542116652471zwM</t>
  </si>
  <si>
    <t>skutumbe@jaguarlandrover.com</t>
  </si>
  <si>
    <t>07714291597</t>
  </si>
  <si>
    <t>IIY#0796680842471faH</t>
  </si>
  <si>
    <t>cmurray1@jaguarlandrover.com</t>
  </si>
  <si>
    <t>IIY#07887863434717s6</t>
  </si>
  <si>
    <t>bvanzeel@jaguarlandrover.com</t>
  </si>
  <si>
    <t>IIY#3553765443471X2k</t>
  </si>
  <si>
    <t>kkuttan@jaguarlandrover.com</t>
  </si>
  <si>
    <t>Catherine</t>
  </si>
  <si>
    <t>cat_nufc@hotmail.com</t>
  </si>
  <si>
    <t>07469975744</t>
  </si>
  <si>
    <t>#03038</t>
  </si>
  <si>
    <t>Chengetai Clifford</t>
  </si>
  <si>
    <t>Katsande</t>
  </si>
  <si>
    <t>CliffordKatsande@yahoo.com</t>
  </si>
  <si>
    <t>19</t>
  </si>
  <si>
    <t>07958560094</t>
  </si>
  <si>
    <t>IIY#4049880282471dvq</t>
  </si>
  <si>
    <t>etasdele@jaguarlandrover.com</t>
  </si>
  <si>
    <t>07469043497</t>
  </si>
  <si>
    <t>IIY#7792819582471KRP</t>
  </si>
  <si>
    <t>nsolank2@jaguarlandrover.com</t>
  </si>
  <si>
    <t>IIY#91554410034718Cq</t>
  </si>
  <si>
    <t>msuryan1@jaguarlandrover.com</t>
  </si>
  <si>
    <t>IIY#1735343713471DzY</t>
  </si>
  <si>
    <t>cgedrim@jaguarlandrover.com</t>
  </si>
  <si>
    <t>Goolge</t>
  </si>
  <si>
    <t>#03028</t>
  </si>
  <si>
    <t>Yumna</t>
  </si>
  <si>
    <t xml:space="preserve"> Iqbal</t>
  </si>
  <si>
    <t>yumnaiqbal12@gmail.com</t>
  </si>
  <si>
    <t>07767981555</t>
  </si>
  <si>
    <t>#02572</t>
  </si>
  <si>
    <t>Wilson</t>
  </si>
  <si>
    <t xml:space="preserve">info@atmos.productions </t>
  </si>
  <si>
    <t>07946821466</t>
  </si>
  <si>
    <t>#03042</t>
  </si>
  <si>
    <t>Dianne</t>
  </si>
  <si>
    <t>Morgan</t>
  </si>
  <si>
    <t xml:space="preserve">diannemorgan1000@gmail.com </t>
  </si>
  <si>
    <t>07854367856</t>
  </si>
  <si>
    <t>CV327HJ</t>
  </si>
  <si>
    <t>IIY#3049932194571n9k</t>
  </si>
  <si>
    <t>bwhyte2@jaguarlandrover.com</t>
  </si>
  <si>
    <t>07891930649</t>
  </si>
  <si>
    <t>whyteb2010@aol.co.uk</t>
  </si>
  <si>
    <t>cancelled 3rd Nov</t>
  </si>
  <si>
    <t>IIY#7756327143471GDx</t>
  </si>
  <si>
    <t>spati145@jaguarlandrover.com</t>
  </si>
  <si>
    <t>07510923740</t>
  </si>
  <si>
    <t>cancelled 3rd Nov, illness, needs to pay £50 admin fee to rebook</t>
  </si>
  <si>
    <t>2510030121</t>
  </si>
  <si>
    <t xml:space="preserve"> jonnevs1966@gmail.com</t>
  </si>
  <si>
    <t>#03142</t>
  </si>
  <si>
    <t>Simpson</t>
  </si>
  <si>
    <t xml:space="preserve">laura.las.simpson@gmail.com </t>
  </si>
  <si>
    <t>28</t>
  </si>
  <si>
    <t>07786566877</t>
  </si>
  <si>
    <t>#03154</t>
  </si>
  <si>
    <t xml:space="preserve">gr3gory.ford@gmail.com </t>
  </si>
  <si>
    <t>07878463385</t>
  </si>
  <si>
    <t>#03163</t>
  </si>
  <si>
    <t>susan.rollason@btinternet.com</t>
  </si>
  <si>
    <t>07403593471</t>
  </si>
  <si>
    <t>debmoffs@icloud.com</t>
  </si>
  <si>
    <t xml:space="preserve">2512092621 </t>
  </si>
  <si>
    <t>Marie</t>
  </si>
  <si>
    <t>Rushworth</t>
  </si>
  <si>
    <t>Marie.Rushworth.1@warwick.ac.uk</t>
  </si>
  <si>
    <t>07984598960</t>
  </si>
  <si>
    <t>#03177</t>
  </si>
  <si>
    <t>lastorders429@gmail.com</t>
  </si>
  <si>
    <t>75</t>
  </si>
  <si>
    <t>07922957906</t>
  </si>
  <si>
    <t>#03210</t>
  </si>
  <si>
    <t>makalaw2017@gmail.com</t>
  </si>
  <si>
    <t>07931981705</t>
  </si>
  <si>
    <t>#03218</t>
  </si>
  <si>
    <t xml:space="preserve">roberttaylor020@btinternet.com </t>
  </si>
  <si>
    <t>07771945440</t>
  </si>
  <si>
    <t>moved her from 4 Feb due to not enough booked</t>
  </si>
  <si>
    <t>#03194</t>
  </si>
  <si>
    <t>heleburnett@gmail.com</t>
  </si>
  <si>
    <t>07988799732</t>
  </si>
  <si>
    <t>#03216</t>
  </si>
  <si>
    <t>js1972@live.com</t>
  </si>
  <si>
    <t>07714845070</t>
  </si>
  <si>
    <t>#03197</t>
  </si>
  <si>
    <t>mick.harrott@btinternet.com</t>
  </si>
  <si>
    <t>07854679655</t>
  </si>
  <si>
    <t>Paul Bailey</t>
  </si>
  <si>
    <t>emailed on 27 Jan, dad died so will switch to new date</t>
  </si>
  <si>
    <t>#03188</t>
  </si>
  <si>
    <t xml:space="preserve">heidihi50@hotmail.com </t>
  </si>
  <si>
    <t>07795186192</t>
  </si>
  <si>
    <t>#03288</t>
  </si>
  <si>
    <t xml:space="preserve">helen_skilton@hotmail.com </t>
  </si>
  <si>
    <t>07542248339</t>
  </si>
  <si>
    <t>IIY#4430697505771GqG</t>
  </si>
  <si>
    <t>gcaus1@jaguarlandrover.com</t>
  </si>
  <si>
    <t>07442249662</t>
  </si>
  <si>
    <t>IIY#056134920577120b</t>
  </si>
  <si>
    <t>kbains5@jaguarlandrover.com</t>
  </si>
  <si>
    <t>07930 282858</t>
  </si>
  <si>
    <t>IIY#248719956577127F</t>
  </si>
  <si>
    <t>Brain Dsouza</t>
  </si>
  <si>
    <t>bdsouza1@jaguarlandrover.com</t>
  </si>
  <si>
    <t>07887116121</t>
  </si>
  <si>
    <t xml:space="preserve">martin_morris@talk21.com </t>
  </si>
  <si>
    <t>07881828840</t>
  </si>
  <si>
    <t>#03272</t>
  </si>
  <si>
    <t xml:space="preserve">mjd98670@gmail.com </t>
  </si>
  <si>
    <t>07870755007</t>
  </si>
  <si>
    <t>#03200</t>
  </si>
  <si>
    <t>Green</t>
  </si>
  <si>
    <t>sue.familygreen@googlemail.com</t>
  </si>
  <si>
    <t>07799634078</t>
  </si>
  <si>
    <t>#03242</t>
  </si>
  <si>
    <t>mahmood@esmail-architects.co.uk</t>
  </si>
  <si>
    <t>07717841239</t>
  </si>
  <si>
    <t>#03255</t>
  </si>
  <si>
    <t>Clay</t>
  </si>
  <si>
    <t xml:space="preserve">kate.clay901@gmail.com </t>
  </si>
  <si>
    <t>07985277457</t>
  </si>
  <si>
    <t>Kuner</t>
  </si>
  <si>
    <t>sarahkuner@gmail.com</t>
  </si>
  <si>
    <t>07956837394</t>
  </si>
  <si>
    <t>Harmit</t>
  </si>
  <si>
    <t>IIY#3516265085771TY7</t>
  </si>
  <si>
    <t>Number of Participants</t>
  </si>
  <si>
    <t>Number of Workshops</t>
  </si>
  <si>
    <t>1 day</t>
  </si>
  <si>
    <t>31 st Dec</t>
  </si>
  <si>
    <t>per month</t>
  </si>
  <si>
    <t>Tue 11th Jan</t>
  </si>
  <si>
    <t>Tue 18th Jan</t>
  </si>
  <si>
    <t>Exposure</t>
  </si>
  <si>
    <t>Tue 25th Jan</t>
  </si>
  <si>
    <t>Camera Settings</t>
  </si>
  <si>
    <t>Tue 1st Feb</t>
  </si>
  <si>
    <t>Composition</t>
  </si>
  <si>
    <t>Tue 8th Feb</t>
  </si>
  <si>
    <t>Equipment needed</t>
  </si>
  <si>
    <t>Time/Package</t>
  </si>
  <si>
    <t>All Day</t>
  </si>
  <si>
    <t>6hrs</t>
  </si>
  <si>
    <t>#02647</t>
  </si>
  <si>
    <t>Gutteridge</t>
  </si>
  <si>
    <t xml:space="preserve">lucyg71@hotmail.com </t>
  </si>
  <si>
    <t>07488347840</t>
  </si>
  <si>
    <t>Le10 0wg</t>
  </si>
  <si>
    <t>50 Florian way</t>
  </si>
  <si>
    <t>Hinckley</t>
  </si>
  <si>
    <t>Lavender Sunset</t>
  </si>
  <si>
    <t>#02503</t>
  </si>
  <si>
    <t>Fin</t>
  </si>
  <si>
    <t>findlay.simpson@btinternet.com</t>
  </si>
  <si>
    <t>07402172844</t>
  </si>
  <si>
    <t>GL7 1RG</t>
  </si>
  <si>
    <t>16 St Peter’s Road</t>
  </si>
  <si>
    <t>Cirencester</t>
  </si>
  <si>
    <t>mailto:barford.neil@gmail.com</t>
  </si>
  <si>
    <t xml:space="preserve">Woodland Walk </t>
  </si>
  <si>
    <t>#02888</t>
  </si>
  <si>
    <t xml:space="preserve">jeremytroth@btinternet.com </t>
  </si>
  <si>
    <t>07592 725533</t>
  </si>
  <si>
    <t>B91 2PS</t>
  </si>
  <si>
    <t>Flat 2 Monarchs Gate</t>
  </si>
  <si>
    <t>#02855</t>
  </si>
  <si>
    <t>Jin</t>
  </si>
  <si>
    <t>Zhang</t>
  </si>
  <si>
    <t xml:space="preserve">jinzh@hotmail.com </t>
  </si>
  <si>
    <t>07486909998</t>
  </si>
  <si>
    <t>CV8 1FG</t>
  </si>
  <si>
    <t>2 Towers Close</t>
  </si>
  <si>
    <t>#02921</t>
  </si>
  <si>
    <t>Jay</t>
  </si>
  <si>
    <t xml:space="preserve">mikejaye@btinternet.com </t>
  </si>
  <si>
    <t>07841987147</t>
  </si>
  <si>
    <t>CV47 1PD</t>
  </si>
  <si>
    <t>10 Bridge End</t>
  </si>
  <si>
    <t>Southam</t>
  </si>
  <si>
    <t>#02928</t>
  </si>
  <si>
    <t xml:space="preserve">Anant </t>
  </si>
  <si>
    <t>Bhatia</t>
  </si>
  <si>
    <t xml:space="preserve">anant.bhatia92@gmail.com </t>
  </si>
  <si>
    <t>33</t>
  </si>
  <si>
    <t xml:space="preserve">07548537910 </t>
  </si>
  <si>
    <t>CV34 5JQ</t>
  </si>
  <si>
    <t>37 Jones Road</t>
  </si>
  <si>
    <t>Charlecote or Coventry</t>
  </si>
  <si>
    <t>IIY#4221637508371yeO</t>
  </si>
  <si>
    <t>Andrew</t>
  </si>
  <si>
    <t>Lockwood</t>
  </si>
  <si>
    <t>alockwo3@jaguarlandrover.com</t>
  </si>
  <si>
    <t>7lockwood@googlemail.com</t>
  </si>
  <si>
    <t>Peak District - Padley / Bolhill</t>
  </si>
  <si>
    <t>#02794</t>
  </si>
  <si>
    <t>LE13 0EH</t>
  </si>
  <si>
    <t>19 winster crescent</t>
  </si>
  <si>
    <t>melton mowbray</t>
  </si>
  <si>
    <t>#02892</t>
  </si>
  <si>
    <t>Cantley</t>
  </si>
  <si>
    <t xml:space="preserve">steve.cantlay@gmail.com </t>
  </si>
  <si>
    <t>62</t>
  </si>
  <si>
    <t>07843386841</t>
  </si>
  <si>
    <t>CH62 8BH</t>
  </si>
  <si>
    <t>185 Raeburn Avenue</t>
  </si>
  <si>
    <t>Eastham</t>
  </si>
  <si>
    <t>#02945</t>
  </si>
  <si>
    <t>Proctor</t>
  </si>
  <si>
    <t>proctor.nigelp@googlemail.com</t>
  </si>
  <si>
    <t>07756200968</t>
  </si>
  <si>
    <t>hp7 9bx</t>
  </si>
  <si>
    <t>56, Hundred Acres Lane</t>
  </si>
  <si>
    <t>Amersham</t>
  </si>
  <si>
    <t>#02949</t>
  </si>
  <si>
    <t>#02958</t>
  </si>
  <si>
    <t>Shelly</t>
  </si>
  <si>
    <t>Soo</t>
  </si>
  <si>
    <t xml:space="preserve">shellysoo@ymail.com </t>
  </si>
  <si>
    <t xml:space="preserve">07711402504 </t>
  </si>
  <si>
    <t>LA2 0EN</t>
  </si>
  <si>
    <t>1 Sandside Cottages</t>
  </si>
  <si>
    <t>Lancaster</t>
  </si>
  <si>
    <t>Woodland Walk - Oakley Wood</t>
  </si>
  <si>
    <t>IIY-#3222657371-#479</t>
  </si>
  <si>
    <t>Holly</t>
  </si>
  <si>
    <t>Pownall</t>
  </si>
  <si>
    <t>hpownall@jaguarlandrover.com</t>
  </si>
  <si>
    <t>07928921163</t>
  </si>
  <si>
    <t>IIY-#6465897371-#479</t>
  </si>
  <si>
    <t xml:space="preserve">Mya </t>
  </si>
  <si>
    <t>Sharda</t>
  </si>
  <si>
    <t>msharda@jaguarlandrover.com</t>
  </si>
  <si>
    <t>07985238383</t>
  </si>
  <si>
    <t>#02874</t>
  </si>
  <si>
    <t>Cannings</t>
  </si>
  <si>
    <t>cannings57@gmail.com</t>
  </si>
  <si>
    <t>07410 702848</t>
  </si>
  <si>
    <t>SP2 9GH</t>
  </si>
  <si>
    <t>10 Good Lane</t>
  </si>
  <si>
    <t xml:space="preserve">Salisbury, </t>
  </si>
  <si>
    <t>#02953</t>
  </si>
  <si>
    <t>Joshua</t>
  </si>
  <si>
    <t>Hyde</t>
  </si>
  <si>
    <t>Joshua.hyde8@gmail.com</t>
  </si>
  <si>
    <t>07967131830</t>
  </si>
  <si>
    <t>B30 2HN</t>
  </si>
  <si>
    <t>66 York Close</t>
  </si>
  <si>
    <t>IIY#7182105608371uD7</t>
  </si>
  <si>
    <t>Brady</t>
  </si>
  <si>
    <t>abrady3@jaguarlandrover.com</t>
  </si>
  <si>
    <t>07875 331868</t>
  </si>
  <si>
    <t xml:space="preserve">Siddharth </t>
  </si>
  <si>
    <t>Manickavasagam</t>
  </si>
  <si>
    <t>smanicka@jaguarlandrover.com</t>
  </si>
  <si>
    <t>07585841144</t>
  </si>
  <si>
    <t>IIY#6572405319371DHZ</t>
  </si>
  <si>
    <t xml:space="preserve">Artemiy </t>
  </si>
  <si>
    <t>Brukhno</t>
  </si>
  <si>
    <t>abrukhno@jaguarlandrover.com</t>
  </si>
  <si>
    <t>07305936914</t>
  </si>
  <si>
    <t>IIY#5479251089371mvv</t>
  </si>
  <si>
    <t>Page</t>
  </si>
  <si>
    <t>ppage1@jaguarlandrover.com</t>
  </si>
  <si>
    <t>07477972560</t>
  </si>
  <si>
    <t>#02959</t>
  </si>
  <si>
    <t>Madigan</t>
  </si>
  <si>
    <t xml:space="preserve">jam.madigan2015@outlook.com </t>
  </si>
  <si>
    <t>07860419365</t>
  </si>
  <si>
    <t>CV23 8XT</t>
  </si>
  <si>
    <t>7 Middle Street</t>
  </si>
  <si>
    <t>IIY#4692912189371IEB</t>
  </si>
  <si>
    <t>rnaraya8@jaguarlandrover.com</t>
  </si>
  <si>
    <t>07884919061</t>
  </si>
  <si>
    <t>#02817</t>
  </si>
  <si>
    <t>Jack</t>
  </si>
  <si>
    <t>Rollins</t>
  </si>
  <si>
    <t xml:space="preserve">me_jack_360@hotmail.co.uk </t>
  </si>
  <si>
    <t>07783481989</t>
  </si>
  <si>
    <t>DY8 3QE</t>
  </si>
  <si>
    <t>59 King Street</t>
  </si>
  <si>
    <t>IIY#2553684608371E1l</t>
  </si>
  <si>
    <t>IIY#6795259228371Hqn</t>
  </si>
  <si>
    <t>Prew</t>
  </si>
  <si>
    <t>rprew@jaguarlandrover.com</t>
  </si>
  <si>
    <t>07368360521</t>
  </si>
  <si>
    <t>IIY#2167705328371tdr</t>
  </si>
  <si>
    <t xml:space="preserve">Shilpa </t>
  </si>
  <si>
    <t>Dhanapal</t>
  </si>
  <si>
    <t>sdhanap1@jaguarlandrover.com</t>
  </si>
  <si>
    <t>07423786046</t>
  </si>
  <si>
    <t>#02865</t>
  </si>
  <si>
    <t>Bawn</t>
  </si>
  <si>
    <t xml:space="preserve">timkeb@outlook.com </t>
  </si>
  <si>
    <t>07743708871</t>
  </si>
  <si>
    <t>NN126BJ</t>
  </si>
  <si>
    <t>16 Poplar Close</t>
  </si>
  <si>
    <t>Towcester</t>
  </si>
  <si>
    <t>#02877</t>
  </si>
  <si>
    <t>Tom</t>
  </si>
  <si>
    <t>McClure</t>
  </si>
  <si>
    <t xml:space="preserve">tommcclure200@gmail.com </t>
  </si>
  <si>
    <t>07817949461</t>
  </si>
  <si>
    <t>LE3 0UF</t>
  </si>
  <si>
    <t>58 Dorchester Road</t>
  </si>
  <si>
    <t>Leicester</t>
  </si>
  <si>
    <t>#02796</t>
  </si>
  <si>
    <t xml:space="preserve">barford.neil@gmail.com </t>
  </si>
  <si>
    <t>Melton Mowbray</t>
  </si>
  <si>
    <t>IIY#6240780418371m3H</t>
  </si>
  <si>
    <t>07974 213736</t>
  </si>
  <si>
    <t>IIY#0477954338371Qdu</t>
  </si>
  <si>
    <t>Phillips</t>
  </si>
  <si>
    <t>kphill46@jaguarlandrover.com</t>
  </si>
  <si>
    <t xml:space="preserve">07821 028 750 </t>
  </si>
  <si>
    <t>IIY#4408849488371hvG</t>
  </si>
  <si>
    <t xml:space="preserve">Arun </t>
  </si>
  <si>
    <t>Ambrose</t>
  </si>
  <si>
    <t>aambros1@jaguarlandrover.com</t>
  </si>
  <si>
    <t>#02973</t>
  </si>
  <si>
    <t>Cheryl</t>
  </si>
  <si>
    <t xml:space="preserve"> Laverick</t>
  </si>
  <si>
    <t xml:space="preserve">cheryl.laverick@gmail.com </t>
  </si>
  <si>
    <t>CV32 6EB</t>
  </si>
  <si>
    <t>287 Rugby Road</t>
  </si>
  <si>
    <t>IIY#9950205633471uyj</t>
  </si>
  <si>
    <t>cjandu@jaguarlandrover.com</t>
  </si>
  <si>
    <t>07469 036740</t>
  </si>
  <si>
    <t>IIY#7801083032471Tf2</t>
  </si>
  <si>
    <t>jkitajev@jaguarlandrover.com</t>
  </si>
  <si>
    <t>07429249126</t>
  </si>
  <si>
    <t>IIY#0974925092471MQq</t>
  </si>
  <si>
    <t>IIY#0574177513471qol</t>
  </si>
  <si>
    <t>pgalbrai@jaguarlandrover.com</t>
  </si>
  <si>
    <t>07981525715</t>
  </si>
  <si>
    <t>IIY#8268734733471H4k</t>
  </si>
  <si>
    <t>nkarupp2@jaguarlandrover.com</t>
  </si>
  <si>
    <t>07909809811</t>
  </si>
  <si>
    <t>IIY#9753245243471kIB</t>
  </si>
  <si>
    <t>rmohan4@jaguarlandrover.com</t>
  </si>
  <si>
    <t>07776901094</t>
  </si>
  <si>
    <t>IIY#3206382243471D1U</t>
  </si>
  <si>
    <t>awrigh54@jaguarlandrover.com</t>
  </si>
  <si>
    <t>IIY#9670497824471Efi</t>
  </si>
  <si>
    <t>Blubebell Woodlands</t>
  </si>
  <si>
    <t>IIY#9345509232471CU1</t>
  </si>
  <si>
    <t>skalirav@jaguarlandrover.com</t>
  </si>
  <si>
    <t>07459115146</t>
  </si>
  <si>
    <t>2502091003</t>
  </si>
  <si>
    <t>Geraint</t>
  </si>
  <si>
    <t>geraintgeester@gmail.com</t>
  </si>
  <si>
    <t>07803600862</t>
  </si>
  <si>
    <t>Whitehouse</t>
  </si>
  <si>
    <t>john.s.whitehouse@gmail.com</t>
  </si>
  <si>
    <t>07908557412</t>
  </si>
  <si>
    <t>WR11 8NQ</t>
  </si>
  <si>
    <t>16 Village Street</t>
  </si>
  <si>
    <t xml:space="preserve">Evesham, </t>
  </si>
  <si>
    <t>IIY#8045430942471xTk</t>
  </si>
  <si>
    <t>boguz@jaguarlandrover.com</t>
  </si>
  <si>
    <t>07377227533</t>
  </si>
  <si>
    <t>IIY#46295894434711B9</t>
  </si>
  <si>
    <t>myavani1@jaguarlandrover.com</t>
  </si>
  <si>
    <t>07384 439410</t>
  </si>
  <si>
    <t>AM -05:45 - 09:45</t>
  </si>
  <si>
    <t>#02963</t>
  </si>
  <si>
    <t>Cole</t>
  </si>
  <si>
    <t>jencosphotos@gmail.com</t>
  </si>
  <si>
    <t>07429530796</t>
  </si>
  <si>
    <t>NN3 7DY</t>
  </si>
  <si>
    <t>12 Dickens Close</t>
  </si>
  <si>
    <t>Moulton</t>
  </si>
  <si>
    <t>PM -11:00 - 15:00</t>
  </si>
  <si>
    <t>#02917</t>
  </si>
  <si>
    <t>Genner</t>
  </si>
  <si>
    <t>carolinejenner54@gmail.com</t>
  </si>
  <si>
    <t>07803508039</t>
  </si>
  <si>
    <t>BR1 3RN</t>
  </si>
  <si>
    <t>27 Heathfield Road</t>
  </si>
  <si>
    <t>Bromley</t>
  </si>
  <si>
    <t>IIY#7801083032471sir</t>
  </si>
  <si>
    <t>IIY#6441672752471R51</t>
  </si>
  <si>
    <t>sleong2@jaguarlandrover.com</t>
  </si>
  <si>
    <t>07377179839</t>
  </si>
  <si>
    <t>#02977</t>
  </si>
  <si>
    <t>Peter</t>
  </si>
  <si>
    <t>Rubon</t>
  </si>
  <si>
    <t>peter.rubin2311@outlook.com</t>
  </si>
  <si>
    <t>07880481034</t>
  </si>
  <si>
    <t>OX128JX</t>
  </si>
  <si>
    <t>Jasmine Cottage</t>
  </si>
  <si>
    <t>Oxon</t>
  </si>
  <si>
    <t>#02988</t>
  </si>
  <si>
    <t>Alec</t>
  </si>
  <si>
    <t>Finnemore</t>
  </si>
  <si>
    <t xml:space="preserve">alecf1@gmail.com </t>
  </si>
  <si>
    <t>07872551996</t>
  </si>
  <si>
    <t>GU16 9TN</t>
  </si>
  <si>
    <t>27 Habershon Drive</t>
  </si>
  <si>
    <t>Frimley</t>
  </si>
  <si>
    <t>IIY#2381720600471a7C</t>
  </si>
  <si>
    <t>phought3@jaguarlandrover.com</t>
  </si>
  <si>
    <t>IIY#0746450282471ITH</t>
  </si>
  <si>
    <t>shurcomb@jaguarlandrover.com</t>
  </si>
  <si>
    <t>07791989593</t>
  </si>
  <si>
    <t>IIY#5226143214471mok</t>
  </si>
  <si>
    <t>oshachar@jaguarlandrover.com</t>
  </si>
  <si>
    <t>07500158099</t>
  </si>
  <si>
    <t>IIY#85380587814718vd</t>
  </si>
  <si>
    <t>dselvar1@jaguarlandrover.com</t>
  </si>
  <si>
    <t>07818716697</t>
  </si>
  <si>
    <t>IIY#8704112003471LKP</t>
  </si>
  <si>
    <t>jcolema1@jaguarlandrover.com</t>
  </si>
  <si>
    <t>#02950</t>
  </si>
  <si>
    <t>Lee Ann</t>
  </si>
  <si>
    <t>Higgins</t>
  </si>
  <si>
    <t xml:space="preserve">leedevee@hotmail.co.uk </t>
  </si>
  <si>
    <t>07780921160</t>
  </si>
  <si>
    <t>HP13 6JY</t>
  </si>
  <si>
    <t>26 The Crescent</t>
  </si>
  <si>
    <t>High Wycombe</t>
  </si>
  <si>
    <t>PM -10:30 - 14:30</t>
  </si>
  <si>
    <t>#02982</t>
  </si>
  <si>
    <t>Pat</t>
  </si>
  <si>
    <t>Gowdie</t>
  </si>
  <si>
    <t xml:space="preserve">pat.gowdie@btinternet.com </t>
  </si>
  <si>
    <t>07545099194</t>
  </si>
  <si>
    <t>EN1 2QZ</t>
  </si>
  <si>
    <t>70 Amberley road</t>
  </si>
  <si>
    <t>#02971</t>
  </si>
  <si>
    <t>Ruth</t>
  </si>
  <si>
    <t>Roach</t>
  </si>
  <si>
    <t xml:space="preserve">rar_5423@hotmail.com </t>
  </si>
  <si>
    <t>77</t>
  </si>
  <si>
    <t>07954177745</t>
  </si>
  <si>
    <t>CV37 6TT</t>
  </si>
  <si>
    <t>8 Swallow Close</t>
  </si>
  <si>
    <t>Stratford-Upon_Avon</t>
  </si>
  <si>
    <t>#02964</t>
  </si>
  <si>
    <t xml:space="preserve">bradleyrj22@gmail.com </t>
  </si>
  <si>
    <t>07834628296</t>
  </si>
  <si>
    <t>CV23 8AN</t>
  </si>
  <si>
    <t>37 Onley Park</t>
  </si>
  <si>
    <t>Refeeral</t>
  </si>
  <si>
    <t>#02887</t>
  </si>
  <si>
    <t xml:space="preserve">Julie </t>
  </si>
  <si>
    <t>Halstead</t>
  </si>
  <si>
    <t>julie@partsworldgroup.com</t>
  </si>
  <si>
    <t>07889112511</t>
  </si>
  <si>
    <t>CV35 0TP</t>
  </si>
  <si>
    <t>5 Orchard Close</t>
  </si>
  <si>
    <t>#02925</t>
  </si>
  <si>
    <t>Minton</t>
  </si>
  <si>
    <t xml:space="preserve">bobandval@bobminton.plus.com </t>
  </si>
  <si>
    <t>74</t>
  </si>
  <si>
    <t>07792335240</t>
  </si>
  <si>
    <t>WS9 8RF</t>
  </si>
  <si>
    <t>31 NORFOLK CRESCENT</t>
  </si>
  <si>
    <t>walsall</t>
  </si>
  <si>
    <t>#02967</t>
  </si>
  <si>
    <t>Iggy</t>
  </si>
  <si>
    <t>Losa</t>
  </si>
  <si>
    <t xml:space="preserve">suddeniglo@gmail.com </t>
  </si>
  <si>
    <t>07933275817</t>
  </si>
  <si>
    <t>SK10 3RH</t>
  </si>
  <si>
    <t>44 BRAMPTON AVENUE</t>
  </si>
  <si>
    <t>MACCLESFIELD</t>
  </si>
  <si>
    <t>IIY#8829411243471p2K</t>
  </si>
  <si>
    <t>krastogi@jaguarlandrover.com</t>
  </si>
  <si>
    <t>IIY#8826971710471VHQ</t>
  </si>
  <si>
    <t>jjames8@jaguarlandrover.com</t>
  </si>
  <si>
    <t>07393753963</t>
  </si>
  <si>
    <t>jojames081@gmail.com</t>
  </si>
  <si>
    <t xml:space="preserve">Martin </t>
  </si>
  <si>
    <t>Cooke</t>
  </si>
  <si>
    <t xml:space="preserve">martincooke191@gmail.com </t>
  </si>
  <si>
    <t>07748181340</t>
  </si>
  <si>
    <t>LE12 9SY</t>
  </si>
  <si>
    <t>14 Church Lane</t>
  </si>
  <si>
    <t>Loughborough</t>
  </si>
  <si>
    <t>#02975</t>
  </si>
  <si>
    <t xml:space="preserve">Elizabeth </t>
  </si>
  <si>
    <t>liz_lewis@blueyonder.co.uk</t>
  </si>
  <si>
    <t>07794537299</t>
  </si>
  <si>
    <t>B31 4RP</t>
  </si>
  <si>
    <t>10 Kingswood Road</t>
  </si>
  <si>
    <t>Northfield</t>
  </si>
  <si>
    <t>#02987</t>
  </si>
  <si>
    <t>colin.stubbs1961.cs@gmail.com</t>
  </si>
  <si>
    <t>07949390692</t>
  </si>
  <si>
    <t>B63 3HJ</t>
  </si>
  <si>
    <t>44 Bromsgrove Road</t>
  </si>
  <si>
    <t>Halesowen</t>
  </si>
  <si>
    <t>IIY#1344999328371X2g</t>
  </si>
  <si>
    <t xml:space="preserve">Gwyn </t>
  </si>
  <si>
    <t>gjones56@jaguarlandrover.com</t>
  </si>
  <si>
    <t>07538552560</t>
  </si>
  <si>
    <t>IIY#0645729122471xv6</t>
  </si>
  <si>
    <t>izaproud@jaguarlandrover.com</t>
  </si>
  <si>
    <t>07729001782</t>
  </si>
  <si>
    <t>AM/PM -10:30 - 14:30</t>
  </si>
  <si>
    <t>2411293189</t>
  </si>
  <si>
    <t>Dawn</t>
  </si>
  <si>
    <t>Towers</t>
  </si>
  <si>
    <t>dawntowers@btopenworld.com</t>
  </si>
  <si>
    <t>07804158046</t>
  </si>
  <si>
    <t>IIY#95222122224710gJ</t>
  </si>
  <si>
    <t>mstroe5@jaguarlandrover.com</t>
  </si>
  <si>
    <t>IIY#287904267047181P</t>
  </si>
  <si>
    <t>snagpur3@jaguarlandrover.com</t>
  </si>
  <si>
    <t>07721150970</t>
  </si>
  <si>
    <t>IIY#9318014092471dbI</t>
  </si>
  <si>
    <t>rmutu1@jaguarlandrover.com</t>
  </si>
  <si>
    <t>#02693</t>
  </si>
  <si>
    <t xml:space="preserve">joannegalloway2003@yahoo.co.uk </t>
  </si>
  <si>
    <t>B91 2HW</t>
  </si>
  <si>
    <t>177 Lode Lane</t>
  </si>
  <si>
    <t>IIY#42113263493712CT</t>
  </si>
  <si>
    <t>Black</t>
  </si>
  <si>
    <t>gblack1@jaguarlandrover.com</t>
  </si>
  <si>
    <t>IIY#6631926799371S30</t>
  </si>
  <si>
    <t>dnicho11@jaguarlandrover.com</t>
  </si>
  <si>
    <t>07956833926</t>
  </si>
  <si>
    <t>IIY#2547509228371kQg</t>
  </si>
  <si>
    <t>ahutchco@jaguarlandrover.com</t>
  </si>
  <si>
    <t>07757001352</t>
  </si>
  <si>
    <t>IIY#6752526349371NxU</t>
  </si>
  <si>
    <t>jpeggs@jaguarlandrover.com</t>
  </si>
  <si>
    <t>Millisons Wood</t>
  </si>
  <si>
    <t>IIY#5855109739371bcK</t>
  </si>
  <si>
    <t xml:space="preserve">Lee </t>
  </si>
  <si>
    <t>lkelly5@jaguarlandrover.com</t>
  </si>
  <si>
    <t>IIY#4588109739371X4x</t>
  </si>
  <si>
    <t xml:space="preserve">Aniko </t>
  </si>
  <si>
    <t>Kovacs</t>
  </si>
  <si>
    <t>akovac17@jaguarlandrover.com</t>
  </si>
  <si>
    <t>IIY#81030724493715su</t>
  </si>
  <si>
    <t>ppawar9@jaguarlandrover.com</t>
  </si>
  <si>
    <t>IIY#4412234739371jO9</t>
  </si>
  <si>
    <t>mchaaba1@jaguarlandrover.com</t>
  </si>
  <si>
    <t>IIY#7904133259371qIr</t>
  </si>
  <si>
    <t>tsonmez@jaguarlandrover.com</t>
  </si>
  <si>
    <t>IIY#5772028243471qmh</t>
  </si>
  <si>
    <t>IIY#4990439243471YoC</t>
  </si>
  <si>
    <t>rcriste1@jaguarlandrover.com</t>
  </si>
  <si>
    <t>IIY-#3222657371-#463</t>
  </si>
  <si>
    <t>IIY#4537313578371xNs</t>
  </si>
  <si>
    <t>pfarring@jaguarlandrover.com</t>
  </si>
  <si>
    <t>IIY#0030572449371ikL</t>
  </si>
  <si>
    <t xml:space="preserve">Nicholas Guntrip </t>
  </si>
  <si>
    <t>Hook</t>
  </si>
  <si>
    <t>nguntrip@jaguarlandrover.com</t>
  </si>
  <si>
    <t>IIY#3213924701471IWE</t>
  </si>
  <si>
    <t>ekuznet1@jaguarlandrover.com</t>
  </si>
  <si>
    <t>#02942</t>
  </si>
  <si>
    <t>Fahy</t>
  </si>
  <si>
    <t>kxrcool24@gmail.com</t>
  </si>
  <si>
    <t>07917101237</t>
  </si>
  <si>
    <t>CV3 5ND</t>
  </si>
  <si>
    <t>109 Arnold Avenue</t>
  </si>
  <si>
    <t>5pm 0 7pm</t>
  </si>
  <si>
    <t xml:space="preserve">Timothy </t>
  </si>
  <si>
    <t>Reeve</t>
  </si>
  <si>
    <t>fryingtonite@yahoo.com</t>
  </si>
  <si>
    <t>07715704690</t>
  </si>
  <si>
    <t>B75 7HG</t>
  </si>
  <si>
    <t>305 Rectory Road</t>
  </si>
  <si>
    <t>Was on Fairy Glen -He did on his own after last cancellation</t>
  </si>
  <si>
    <t>#02688</t>
  </si>
  <si>
    <t>Vincent</t>
  </si>
  <si>
    <t xml:space="preserve">mvinc74503@aol.com </t>
  </si>
  <si>
    <t>07968979511</t>
  </si>
  <si>
    <t>GL6 8EF</t>
  </si>
  <si>
    <t>drey house, randalls green</t>
  </si>
  <si>
    <t>Gloucs</t>
  </si>
  <si>
    <t>IIY#9172752670471l8k</t>
  </si>
  <si>
    <t>awilli60@jaguarlandrover.com</t>
  </si>
  <si>
    <t>07979343797</t>
  </si>
  <si>
    <t>IIY#51747526704712sd</t>
  </si>
  <si>
    <t>jsipple@jaguarlandrover.com</t>
  </si>
  <si>
    <t>07780 222546</t>
  </si>
  <si>
    <t>IIY#7684720211471ow8</t>
  </si>
  <si>
    <t>vayik@jaguarlandrover.com</t>
  </si>
  <si>
    <t>07931420120</t>
  </si>
  <si>
    <t>exisiting</t>
  </si>
  <si>
    <t>#02038</t>
  </si>
  <si>
    <t>LE17 4AP</t>
  </si>
  <si>
    <t>33 Station Road</t>
  </si>
  <si>
    <t>IIY#8875517639371dMl</t>
  </si>
  <si>
    <t xml:space="preserve">Charlotte </t>
  </si>
  <si>
    <t>Brooks</t>
  </si>
  <si>
    <t>cbrooks3@jaguarlandrover.com</t>
  </si>
  <si>
    <t>IIY#4692912189371FFL</t>
  </si>
  <si>
    <t>IIY#6433940310471ai8</t>
  </si>
  <si>
    <t>abegum8@jaguarlandrover.com</t>
  </si>
  <si>
    <t>IIY#76190615704717Bu</t>
  </si>
  <si>
    <t>kporte38@jaguarlandrover.com</t>
  </si>
  <si>
    <t>07900935410</t>
  </si>
  <si>
    <t>IIY#7684720211471voQ</t>
  </si>
  <si>
    <t>#02984</t>
  </si>
  <si>
    <t xml:space="preserve">andrewevansclarke@gmail.com </t>
  </si>
  <si>
    <t>07834188918</t>
  </si>
  <si>
    <t>B60 1JF</t>
  </si>
  <si>
    <t>1 Southmead Drive</t>
  </si>
  <si>
    <t>Bromsgrove</t>
  </si>
  <si>
    <t>IIY#3542408521471SdL</t>
  </si>
  <si>
    <t>nlakshm1@jaguarlandrover.com</t>
  </si>
  <si>
    <t>IIY#6417108331471ZVj</t>
  </si>
  <si>
    <t>ehernand@jaguarlandrover.com</t>
  </si>
  <si>
    <t>IIY#4022261721471rXd</t>
  </si>
  <si>
    <t>fsagdic1@jaguarlandrover.com</t>
  </si>
  <si>
    <t>074256621107</t>
  </si>
  <si>
    <t>#02864</t>
  </si>
  <si>
    <t>Keir</t>
  </si>
  <si>
    <t>Tyson</t>
  </si>
  <si>
    <t>k.rosstyson2@gmail.com</t>
  </si>
  <si>
    <t>07583548682</t>
  </si>
  <si>
    <t>CV23 9DL</t>
  </si>
  <si>
    <t>11 Garratt Close</t>
  </si>
  <si>
    <t>IIY#2260666122471YAE</t>
  </si>
  <si>
    <t>IIY#4151414452471iLl</t>
  </si>
  <si>
    <t>iburns1@jaguarlandrover.com</t>
  </si>
  <si>
    <t xml:space="preserve">07881-260433 </t>
  </si>
  <si>
    <t>IIY#77471918034710nw</t>
  </si>
  <si>
    <t>aarce@jaguarlandrover.com</t>
  </si>
  <si>
    <t>07341705046</t>
  </si>
  <si>
    <t>IIY#67958750424717Z8</t>
  </si>
  <si>
    <t>snarine1@jaguarlandrover.com</t>
  </si>
  <si>
    <t>07483246020</t>
  </si>
  <si>
    <t>IIY#3098058243471XTv</t>
  </si>
  <si>
    <t>aalexa1@jaguarlandrover.com</t>
  </si>
  <si>
    <t xml:space="preserve">07469517496 </t>
  </si>
  <si>
    <t>Padley And Bolehill</t>
  </si>
  <si>
    <t>2401090722</t>
  </si>
  <si>
    <t xml:space="preserve">Sabina </t>
  </si>
  <si>
    <t>Badiani</t>
  </si>
  <si>
    <t>sabina_004@hotmail.com</t>
  </si>
  <si>
    <t>IIY#8988287613471NiN</t>
  </si>
  <si>
    <t>ltasker@jaguarlandrover.com</t>
  </si>
  <si>
    <t>IIY#3737889129371bUM</t>
  </si>
  <si>
    <t>pjacks36@jaguarlandrover.com</t>
  </si>
  <si>
    <t>07400153771</t>
  </si>
  <si>
    <t>pjacks1969@gmail.com</t>
  </si>
  <si>
    <t>IIY#2883343192471ats</t>
  </si>
  <si>
    <t>mtosi1@jaguarlandrover.com</t>
  </si>
  <si>
    <t>07923853807</t>
  </si>
  <si>
    <t>IIY#5657288143471Moe</t>
  </si>
  <si>
    <t>rhoar1@jaguarlandrover.com</t>
  </si>
  <si>
    <t>07870 170847</t>
  </si>
  <si>
    <t xml:space="preserve">Gillian </t>
  </si>
  <si>
    <t xml:space="preserve">gilliantaylor92@gmail.com </t>
  </si>
  <si>
    <t>07584850331</t>
  </si>
  <si>
    <t>Cv23 0ls</t>
  </si>
  <si>
    <t>25 Broad Street</t>
  </si>
  <si>
    <t>Brinklow</t>
  </si>
  <si>
    <t>IIY#5463948343471pKo</t>
  </si>
  <si>
    <t>skhante@jaguarlandrover.com</t>
  </si>
  <si>
    <t>07424383215</t>
  </si>
  <si>
    <t>Owen</t>
  </si>
  <si>
    <t>d.h.o@btinternet.com</t>
  </si>
  <si>
    <t>07970699712</t>
  </si>
  <si>
    <t>B93 8JP</t>
  </si>
  <si>
    <t>96 KNOWLE WOOD ROAD</t>
  </si>
  <si>
    <t>IIY#9849544343471XS0</t>
  </si>
  <si>
    <t>jcarras1@jaguarlandrover.com</t>
  </si>
  <si>
    <t>07837179945</t>
  </si>
  <si>
    <t>IIY#6307468761471O4c</t>
  </si>
  <si>
    <t>rfloyd3@jaguarlandrover.com</t>
  </si>
  <si>
    <t>07722 445355</t>
  </si>
  <si>
    <t>IIY#1425089912471xHh</t>
  </si>
  <si>
    <t>gmoys@jaguarlandrover.com</t>
  </si>
  <si>
    <t>07597716914</t>
  </si>
  <si>
    <t>IIY#3166518642471ZHH</t>
  </si>
  <si>
    <t>pvaishn1@jaguarlandrover.com</t>
  </si>
  <si>
    <t>447887076922</t>
  </si>
  <si>
    <t>IIY#26373647424712a7</t>
  </si>
  <si>
    <t>srickar3@jaguarlandrover.com</t>
  </si>
  <si>
    <t>07469021178</t>
  </si>
  <si>
    <t>saz.rickards@gmail.com</t>
  </si>
  <si>
    <t>IIY#65903731824710Nr</t>
  </si>
  <si>
    <t>ddemori@jaguarlandrover.com</t>
  </si>
  <si>
    <t>IIY#8993165182471If5</t>
  </si>
  <si>
    <t>rcalvet1@jaguarlandrover.com</t>
  </si>
  <si>
    <t>07563022218</t>
  </si>
  <si>
    <t>IIY#367673681347190K</t>
  </si>
  <si>
    <t>smarti19@jaguarlandrover.com</t>
  </si>
  <si>
    <t>07813070376</t>
  </si>
  <si>
    <t>11:00 - 13:30</t>
  </si>
  <si>
    <t>IIY#8534084518371fc3</t>
  </si>
  <si>
    <t>Gwyn</t>
  </si>
  <si>
    <t xml:space="preserve">contact@gwyn.me.uk </t>
  </si>
  <si>
    <t>IIY#7962710892471vkI</t>
  </si>
  <si>
    <t>ijohnson@jaguarlandrover.com</t>
  </si>
  <si>
    <t>07851 499798</t>
  </si>
  <si>
    <t>IIY#8810649803471fU8</t>
  </si>
  <si>
    <t>ckong2@jaguarlandrover.com</t>
  </si>
  <si>
    <t>07714457110</t>
  </si>
  <si>
    <t>Lavender Fields</t>
  </si>
  <si>
    <t>5th or 19th</t>
  </si>
  <si>
    <t>IIY#0879679678371Efw</t>
  </si>
  <si>
    <t>Goodwn</t>
  </si>
  <si>
    <t>egoodwin@jaguarlandrover.com</t>
  </si>
  <si>
    <t>Sat 5th July
Sat 19th July</t>
  </si>
  <si>
    <t>IIY#77506642193714Zq</t>
  </si>
  <si>
    <t xml:space="preserve">Miles </t>
  </si>
  <si>
    <t>Pixley</t>
  </si>
  <si>
    <t>mpixley@jaguarlandrover.com</t>
  </si>
  <si>
    <t>Lavender Fields Cancelled 4 July</t>
  </si>
  <si>
    <t>IIY#7780039770471rma</t>
  </si>
  <si>
    <t>lwood3@jaguarlandrover.com</t>
  </si>
  <si>
    <t xml:space="preserve">07342 026 099 </t>
  </si>
  <si>
    <t>IIY#8952708990471IZP</t>
  </si>
  <si>
    <t>bedmon12@jaguarlandrover.com</t>
  </si>
  <si>
    <t>07717530638</t>
  </si>
  <si>
    <t>IIY#8468137971471Sbv</t>
  </si>
  <si>
    <t>gmorga28@jaguarlandrover.com</t>
  </si>
  <si>
    <t>07980 576114</t>
  </si>
  <si>
    <t>#02970</t>
  </si>
  <si>
    <t>IIY#1344999328371uqF</t>
  </si>
  <si>
    <t>IIY#2988327719371tFP</t>
  </si>
  <si>
    <t xml:space="preserve">Edward </t>
  </si>
  <si>
    <t>Andrews</t>
  </si>
  <si>
    <t>eandrew1@jaguarlandrover.com</t>
  </si>
  <si>
    <t>(0) 7384 456 081</t>
  </si>
  <si>
    <t>Cov or Charlecote</t>
  </si>
  <si>
    <t>IIY#3512671600471kw5</t>
  </si>
  <si>
    <t>vfrankla@jaguarlandrover.com</t>
  </si>
  <si>
    <t>IIY#7684720211471Vdu</t>
  </si>
  <si>
    <t>Burnham on Sea  Sunset</t>
  </si>
  <si>
    <t>18:15  20:45</t>
  </si>
  <si>
    <t>IIY#8053961089371dJx</t>
  </si>
  <si>
    <t>?  Hasn’t responded to multiple emails</t>
  </si>
  <si>
    <t>IIY#8902050543471mkd</t>
  </si>
  <si>
    <t>sdeeley3@jaguarlandrover.com</t>
  </si>
  <si>
    <t>sophie.deeley@gmail.com</t>
  </si>
  <si>
    <t>11th or 19th</t>
  </si>
  <si>
    <t>IIY#7065645061471Odp</t>
  </si>
  <si>
    <t>anelson9@jaguarlandrover.com</t>
  </si>
  <si>
    <t>Heathers Peaks - Sunset</t>
  </si>
  <si>
    <t>IIY#7483762903471NB9</t>
  </si>
  <si>
    <t>nmorley1@jaguarlandrover.com</t>
  </si>
  <si>
    <t>007870504187</t>
  </si>
  <si>
    <t>#02968</t>
  </si>
  <si>
    <t>#03030</t>
  </si>
  <si>
    <t>Bill</t>
  </si>
  <si>
    <t>Peet</t>
  </si>
  <si>
    <t xml:space="preserve">bill@peets.uk </t>
  </si>
  <si>
    <t xml:space="preserve">07757656282 </t>
  </si>
  <si>
    <t>NG16 6AU</t>
  </si>
  <si>
    <t>Selston</t>
  </si>
  <si>
    <t>#03040</t>
  </si>
  <si>
    <t>Carter</t>
  </si>
  <si>
    <t>fionajcarter2@gmail.com</t>
  </si>
  <si>
    <t>07786858215</t>
  </si>
  <si>
    <t>BS35 1EG</t>
  </si>
  <si>
    <t>Bristol</t>
  </si>
  <si>
    <t>Heathers Peaks - Sunrise</t>
  </si>
  <si>
    <t>IIY#7700160724471FXW</t>
  </si>
  <si>
    <t>jtapp2@jaguarlandrover.com</t>
  </si>
  <si>
    <t>IIY#7889097803471wFx</t>
  </si>
  <si>
    <t>tstartin@jaguarlandrover.com</t>
  </si>
  <si>
    <t>IIY#4458074143471XIS</t>
  </si>
  <si>
    <t>IIY#8268734733471APq</t>
  </si>
  <si>
    <t>#03049</t>
  </si>
  <si>
    <t>sbremner@jaguarlandrover.com</t>
  </si>
  <si>
    <t>07725 886827</t>
  </si>
  <si>
    <t>#03050</t>
  </si>
  <si>
    <t xml:space="preserve">paul.carey1136@btinternet.com </t>
  </si>
  <si>
    <t>07543748269</t>
  </si>
  <si>
    <t>Mandy</t>
  </si>
  <si>
    <t xml:space="preserve">mandywatts189@hotmail.co.uk </t>
  </si>
  <si>
    <t>07718782168</t>
  </si>
  <si>
    <t>KT15 3BE</t>
  </si>
  <si>
    <t>52 Lindsay Road</t>
  </si>
  <si>
    <t>Surrey</t>
  </si>
  <si>
    <t>IIY#5290088443471Nqs</t>
  </si>
  <si>
    <t>abhatia4@jaguarlandrover.com</t>
  </si>
  <si>
    <t>07548537910</t>
  </si>
  <si>
    <t>Was booked on Apr workshop</t>
  </si>
  <si>
    <t>IIY#8232208460471diA</t>
  </si>
  <si>
    <t>ahartwe1@jaguarlandrover.com</t>
  </si>
  <si>
    <t>07760 665 695</t>
  </si>
  <si>
    <t>IIY#7303862523471kLO</t>
  </si>
  <si>
    <t>mdavie32@jaguarlandrover.com</t>
  </si>
  <si>
    <t>07811 657790</t>
  </si>
  <si>
    <t>IIY#3293641613471Qtj</t>
  </si>
  <si>
    <t>#02995</t>
  </si>
  <si>
    <t>cadwitney@gmail.com</t>
  </si>
  <si>
    <t>07403678681</t>
  </si>
  <si>
    <t>OX28 6DP</t>
  </si>
  <si>
    <t>15A Burford Road</t>
  </si>
  <si>
    <t>Witney</t>
  </si>
  <si>
    <t>#03003</t>
  </si>
  <si>
    <t>Pyta</t>
  </si>
  <si>
    <t>dave.pyta@gmail.com</t>
  </si>
  <si>
    <t>07473977771</t>
  </si>
  <si>
    <t>118 Shorncliffe Road</t>
  </si>
  <si>
    <t>#03048</t>
  </si>
  <si>
    <t>Rich</t>
  </si>
  <si>
    <t>McClaughry</t>
  </si>
  <si>
    <t>richiemack32@hotmail.com</t>
  </si>
  <si>
    <t>07722911620</t>
  </si>
  <si>
    <t>#02936</t>
  </si>
  <si>
    <t>Kitteringham</t>
  </si>
  <si>
    <t>johnkitteringham@hotmail.co.uk</t>
  </si>
  <si>
    <t>71</t>
  </si>
  <si>
    <t>07792361028</t>
  </si>
  <si>
    <t>SG14 2DE</t>
  </si>
  <si>
    <t>106 Fordwich Rise</t>
  </si>
  <si>
    <t>Hertford</t>
  </si>
  <si>
    <t>Lake District + Thu Night</t>
  </si>
  <si>
    <t>#03009</t>
  </si>
  <si>
    <t>IIY#18711039744712sU</t>
  </si>
  <si>
    <t>IIY#9629774212471Kvv</t>
  </si>
  <si>
    <t>07597 716 914</t>
  </si>
  <si>
    <t>#03068</t>
  </si>
  <si>
    <t xml:space="preserve">sandradawkes64@yahoo.co.uk </t>
  </si>
  <si>
    <t>07748518508</t>
  </si>
  <si>
    <t>#03078</t>
  </si>
  <si>
    <t>Gillian</t>
  </si>
  <si>
    <t>Perry</t>
  </si>
  <si>
    <t xml:space="preserve">gillian@igapsolutions.com </t>
  </si>
  <si>
    <t>07778034191</t>
  </si>
  <si>
    <t>#03109</t>
  </si>
  <si>
    <t>Bevan</t>
  </si>
  <si>
    <t xml:space="preserve">james-bevan@hotmail.co.uk </t>
  </si>
  <si>
    <t>07577165210</t>
  </si>
  <si>
    <t>#03111</t>
  </si>
  <si>
    <t>Gallagher</t>
  </si>
  <si>
    <t xml:space="preserve">handmade205@gmail.com </t>
  </si>
  <si>
    <t>07956252762</t>
  </si>
  <si>
    <t>Husband coming so charde double occupancy</t>
  </si>
  <si>
    <t>#03014</t>
  </si>
  <si>
    <t xml:space="preserve">Constance </t>
  </si>
  <si>
    <t>Miller</t>
  </si>
  <si>
    <t xml:space="preserve">connie_fm@hotmail.com </t>
  </si>
  <si>
    <t>Canada</t>
  </si>
  <si>
    <t>Wife coming so charde double occupancy</t>
  </si>
  <si>
    <t>#03025</t>
  </si>
  <si>
    <t xml:space="preserve">Bassam </t>
  </si>
  <si>
    <t>Aljazi</t>
  </si>
  <si>
    <t>bassam.aljazy@gmail.com</t>
  </si>
  <si>
    <t>plus thu night</t>
  </si>
  <si>
    <t>#03071</t>
  </si>
  <si>
    <t>Derek</t>
  </si>
  <si>
    <t>Butt</t>
  </si>
  <si>
    <t>pdbutt7@ntlworld.com</t>
  </si>
  <si>
    <t>07747568482</t>
  </si>
  <si>
    <t>IIY#5320443613471uIJ</t>
  </si>
  <si>
    <t>cgladde2@jaguarlandrover.com</t>
  </si>
  <si>
    <t>07809219162</t>
  </si>
  <si>
    <t>IIY#4621938243471Otp</t>
  </si>
  <si>
    <t>IIY#1923829243471SLC</t>
  </si>
  <si>
    <t xml:space="preserve">Ileana Sandoiu </t>
  </si>
  <si>
    <t>isandoi1@jaguarlandrover.com</t>
  </si>
  <si>
    <t>07557049237</t>
  </si>
  <si>
    <t>Piles Coppice</t>
  </si>
  <si>
    <t>IIY#4020416750471SVj</t>
  </si>
  <si>
    <t>aramajay@jaguarlandrover.com</t>
  </si>
  <si>
    <t>IIY#7486900011471UWB</t>
  </si>
  <si>
    <t>nsoni1@jaguarlandrover.com</t>
  </si>
  <si>
    <t>IIY#3479900011471Na7</t>
  </si>
  <si>
    <t>mdivaka1@jaguarlandrover.com</t>
  </si>
  <si>
    <t>07721872484</t>
  </si>
  <si>
    <t>IIY#2607704831471tfz</t>
  </si>
  <si>
    <t>iakten@jaguarlandrover.com</t>
  </si>
  <si>
    <t>IIY#2532450001471abV</t>
  </si>
  <si>
    <t>bconnol1@jaguarlandrover.com</t>
  </si>
  <si>
    <t>07912 010 453</t>
  </si>
  <si>
    <t>IIY#6858743431471Ak0</t>
  </si>
  <si>
    <t>graghava@jaguarlandrover.com</t>
  </si>
  <si>
    <t>7hrs</t>
  </si>
  <si>
    <t>IIY#4345421642471txD</t>
  </si>
  <si>
    <t>jsymond2@jaguarlandrover.com</t>
  </si>
  <si>
    <t>07470 204488</t>
  </si>
  <si>
    <t>2501300334</t>
  </si>
  <si>
    <t>Bernadette</t>
  </si>
  <si>
    <t>Hart</t>
  </si>
  <si>
    <t>bernadettehart0@gmail.com</t>
  </si>
  <si>
    <t>07803 528139</t>
  </si>
  <si>
    <t>#02906</t>
  </si>
  <si>
    <t>Rob</t>
  </si>
  <si>
    <t>rob_j_mac@hotmail.com</t>
  </si>
  <si>
    <t>07853382840</t>
  </si>
  <si>
    <t>S10 3TQ</t>
  </si>
  <si>
    <t>21 Clarendon Road,</t>
  </si>
  <si>
    <t>Sheffield</t>
  </si>
  <si>
    <t>jswinde1@jaguarlandrover.com</t>
  </si>
  <si>
    <t>07552 286602</t>
  </si>
  <si>
    <t>#03134</t>
  </si>
  <si>
    <t>#03031</t>
  </si>
  <si>
    <t>Kimberley</t>
  </si>
  <si>
    <t xml:space="preserve"> Sneyd</t>
  </si>
  <si>
    <t xml:space="preserve">bimblebury@gmail.com </t>
  </si>
  <si>
    <t>07872047610</t>
  </si>
  <si>
    <t>Ws7 4tw</t>
  </si>
  <si>
    <t>Staffordshire</t>
  </si>
  <si>
    <t>cancelled 23 Oct</t>
  </si>
  <si>
    <t>All Day - 08:00 - 15:30</t>
  </si>
  <si>
    <t>IIY#3213562932471t0T</t>
  </si>
  <si>
    <t>ykalbhor@jaguarlandrover.com</t>
  </si>
  <si>
    <t>IIY#6809706543471pls</t>
  </si>
  <si>
    <t>prachidc@jaguarlandrover.com</t>
  </si>
  <si>
    <t>07821 196 093</t>
  </si>
  <si>
    <t>AM -08:00 - 11:30</t>
  </si>
  <si>
    <t>3.5hrs</t>
  </si>
  <si>
    <t>2503250955</t>
  </si>
  <si>
    <t>Chance</t>
  </si>
  <si>
    <t>tim.bigcorp@gmail.com</t>
  </si>
  <si>
    <t>07858048754</t>
  </si>
  <si>
    <t>IIY#2482064703471hCz</t>
  </si>
  <si>
    <t>fjerome@jaguarlandrover.com</t>
  </si>
  <si>
    <t>07977 493463</t>
  </si>
  <si>
    <t>#03044</t>
  </si>
  <si>
    <t>Mustoe</t>
  </si>
  <si>
    <t>barbaramustoe@gmail.com</t>
  </si>
  <si>
    <t>07789005773</t>
  </si>
  <si>
    <t>PM -12:00 - 15:30 + tripod</t>
  </si>
  <si>
    <t xml:space="preserve">2501241204 </t>
  </si>
  <si>
    <t>Worgan</t>
  </si>
  <si>
    <t>Worgan928@btinternet.com</t>
  </si>
  <si>
    <t>0792 3100361</t>
  </si>
  <si>
    <t>Cancelled on day</t>
  </si>
  <si>
    <t>PM -12:00 - 15:30</t>
  </si>
  <si>
    <t>#03008</t>
  </si>
  <si>
    <t xml:space="preserve">Jill </t>
  </si>
  <si>
    <t>Cockerton</t>
  </si>
  <si>
    <t xml:space="preserve">jill_bowman@hotmail.com </t>
  </si>
  <si>
    <t>07734153110</t>
  </si>
  <si>
    <t>N20 8AS</t>
  </si>
  <si>
    <t>IIY#4628289894571Z9y</t>
  </si>
  <si>
    <t>lbishop5@jaguarlandrover.com</t>
  </si>
  <si>
    <t>07384 520 100</t>
  </si>
  <si>
    <t>IIY#20985856914718fT</t>
  </si>
  <si>
    <t>rharri37@jaguarlandrover.com</t>
  </si>
  <si>
    <t>07921367201</t>
  </si>
  <si>
    <t>rakeefe86@gmail.com</t>
  </si>
  <si>
    <t>IIY#4713470681471OGb</t>
  </si>
  <si>
    <t>swebber2@jaguarlandrover.com</t>
  </si>
  <si>
    <t>07773771798</t>
  </si>
  <si>
    <t>No Show</t>
  </si>
  <si>
    <t>IIY#7351059982471A2N</t>
  </si>
  <si>
    <t>teagles2@jaguarlandrover.com</t>
  </si>
  <si>
    <t>07878644776</t>
  </si>
  <si>
    <t>swservice@pm.me</t>
  </si>
  <si>
    <t>IIY#5540443343471j9h</t>
  </si>
  <si>
    <t>pbell6@jaguarlandrover.com</t>
  </si>
  <si>
    <t>07796676612</t>
  </si>
  <si>
    <t>Cancelled 17 Oct</t>
  </si>
  <si>
    <t>IIY#4581929794471aOr</t>
  </si>
  <si>
    <t>IIY#6590373182471oSO</t>
  </si>
  <si>
    <t>Batsford + Tripod</t>
  </si>
  <si>
    <t>PM -12:00 - 15:30 + Tripod</t>
  </si>
  <si>
    <t>2502100957</t>
  </si>
  <si>
    <t>Samuel</t>
  </si>
  <si>
    <t>samuel.carter1906@gmail.com</t>
  </si>
  <si>
    <t>07854119536</t>
  </si>
  <si>
    <t>IIY#0900389443471E7H</t>
  </si>
  <si>
    <t>rfreema1@jaguarlandrover.com</t>
  </si>
  <si>
    <t>07572 267 363</t>
  </si>
  <si>
    <t>IIY#52261432144718Dv</t>
  </si>
  <si>
    <t>#02998</t>
  </si>
  <si>
    <t>emma_thomas1992@hotmail.co.uk</t>
  </si>
  <si>
    <t>07792628692</t>
  </si>
  <si>
    <t>GL205TB</t>
  </si>
  <si>
    <t>#03072</t>
  </si>
  <si>
    <t>melanievalentine@hotmail.co.uk</t>
  </si>
  <si>
    <t>07772233680</t>
  </si>
  <si>
    <t>IIY#8074526005571yLP</t>
  </si>
  <si>
    <t>cfrankl4@jaguarlandrover.com</t>
  </si>
  <si>
    <t>07971 330910</t>
  </si>
  <si>
    <t>IIY#33320829265711VE</t>
  </si>
  <si>
    <t>sshailap@jaguarlandrover.com</t>
  </si>
  <si>
    <t>IIY#7274622558571Vfc</t>
  </si>
  <si>
    <t>dkanaka1@jaguarlandrover.com</t>
  </si>
  <si>
    <t>07776043600</t>
  </si>
  <si>
    <t>IIY#8408345399571mU6</t>
  </si>
  <si>
    <t>sworledg@jaguarlandrover.com</t>
  </si>
  <si>
    <t>07850 975 261</t>
  </si>
  <si>
    <t>simonworledge@icloud.com</t>
  </si>
  <si>
    <t>will book in 2026</t>
  </si>
  <si>
    <t>#03017</t>
  </si>
  <si>
    <t>Jennie</t>
  </si>
  <si>
    <t>Gavin</t>
  </si>
  <si>
    <t>jgavin9999@icloud.com</t>
  </si>
  <si>
    <t>07901781996</t>
  </si>
  <si>
    <t>Twyford</t>
  </si>
  <si>
    <t>2412235312</t>
  </si>
  <si>
    <t>Caoline</t>
  </si>
  <si>
    <t>Durk</t>
  </si>
  <si>
    <t>caroline@durk.org.uk</t>
  </si>
  <si>
    <t>07751166468</t>
  </si>
  <si>
    <t>OneVision</t>
  </si>
  <si>
    <t>#03013</t>
  </si>
  <si>
    <t>Harvey</t>
  </si>
  <si>
    <t xml:space="preserve">philanthonyharvey@gmail.com </t>
  </si>
  <si>
    <t>07989199718</t>
  </si>
  <si>
    <t>GL11 5TL</t>
  </si>
  <si>
    <t>4 Weavers Drive</t>
  </si>
  <si>
    <t>Dursley</t>
  </si>
  <si>
    <t>#02881</t>
  </si>
  <si>
    <t>Price</t>
  </si>
  <si>
    <t xml:space="preserve">julierossiter@btinternet.com </t>
  </si>
  <si>
    <t>07894608600</t>
  </si>
  <si>
    <t>CV35 7HW</t>
  </si>
  <si>
    <t>2 Haseley Grange</t>
  </si>
  <si>
    <t>Haseley</t>
  </si>
  <si>
    <t>#03037</t>
  </si>
  <si>
    <t>steve172smith@btinternet.com</t>
  </si>
  <si>
    <t>07722144975</t>
  </si>
  <si>
    <t>BN2 1FZ</t>
  </si>
  <si>
    <t>Brighton</t>
  </si>
  <si>
    <t>#03076</t>
  </si>
  <si>
    <t xml:space="preserve">andy.haslam62@gmail.com </t>
  </si>
  <si>
    <t>07961995107</t>
  </si>
  <si>
    <t>IIY#9172752670471ior</t>
  </si>
  <si>
    <t>IIY#5174752670471JS8</t>
  </si>
  <si>
    <t>Woodland Photography Walk | Kenilworth | Crackley Woods</t>
  </si>
  <si>
    <t>IIY#5659702298371g0y</t>
  </si>
  <si>
    <t>Andrei</t>
  </si>
  <si>
    <t xml:space="preserve"> Giubalca</t>
  </si>
  <si>
    <t>agiubalc@jaguarlandrover.com</t>
  </si>
  <si>
    <t>IIY#3220620832471DLP</t>
  </si>
  <si>
    <t>erop@jaguarlandrover.com</t>
  </si>
  <si>
    <t>IIY#75652969324711GQ</t>
  </si>
  <si>
    <t>laguile1@jaguarlandrover.com</t>
  </si>
  <si>
    <t>IIY#1769015832471HTo</t>
  </si>
  <si>
    <t>imontoy1@jaguarlandrover.com</t>
  </si>
  <si>
    <t>IIY#6439645742471LCf</t>
  </si>
  <si>
    <t>IIY#06952245524718yN</t>
  </si>
  <si>
    <t>bbedse1@jaguarlandrover.com</t>
  </si>
  <si>
    <t>07405278486</t>
  </si>
  <si>
    <t>IIY#0409268762471xFS</t>
  </si>
  <si>
    <t>mgore2@jaguarlandrover.com</t>
  </si>
  <si>
    <t>07769 756135</t>
  </si>
  <si>
    <t>IIY#4040941431471LXv</t>
  </si>
  <si>
    <t>sunderw2@jaguarlandrover.com</t>
  </si>
  <si>
    <t>IIY#49186122824714Ck</t>
  </si>
  <si>
    <t>rramasa3@jaguarlandrover.com</t>
  </si>
  <si>
    <t>cancelled 22 Oct</t>
  </si>
  <si>
    <t>IIY#9857966882471lEn</t>
  </si>
  <si>
    <t>lnannfe1@jaguarlandrover.com</t>
  </si>
  <si>
    <t>07766 057706</t>
  </si>
  <si>
    <t>IIY#11726341924715uo</t>
  </si>
  <si>
    <t>fbrasac1@jaguarlandrover.com</t>
  </si>
  <si>
    <t>07542499347</t>
  </si>
  <si>
    <t>IIY#5427535092471L7E</t>
  </si>
  <si>
    <t>IIY#1146234982471lz3</t>
  </si>
  <si>
    <t>smalarva@jaguarlandrover.com</t>
  </si>
  <si>
    <t>IIY#2815506982471mdv</t>
  </si>
  <si>
    <t>bilgu@jaguarlandrover.com</t>
  </si>
  <si>
    <t>007385799944</t>
  </si>
  <si>
    <t>IIY#5914532292471BEp</t>
  </si>
  <si>
    <t>gneog@jaguarlandrover.com</t>
  </si>
  <si>
    <t>07587556164</t>
  </si>
  <si>
    <t>IIY#3479052992471N4M</t>
  </si>
  <si>
    <t>aalyazji@jaguarlandrover.com</t>
  </si>
  <si>
    <t>IIY#1518136992471caE</t>
  </si>
  <si>
    <t>arajabi@jaguarlandrover.com</t>
  </si>
  <si>
    <t>07480225869</t>
  </si>
  <si>
    <t>IIY#6099052992471MUw</t>
  </si>
  <si>
    <t>aalbadra@jaguarlandrover.com</t>
  </si>
  <si>
    <t>IIY#1496711803471tEs</t>
  </si>
  <si>
    <t>tbrannan@jaguarlandrover.com</t>
  </si>
  <si>
    <t>IIY#5801500803471dsY</t>
  </si>
  <si>
    <t>pscarisb@jaguarlandrover.com</t>
  </si>
  <si>
    <t>IIY#1280108603471nR8</t>
  </si>
  <si>
    <t>IIY#1960487903471V5t</t>
  </si>
  <si>
    <t>athoma44@jaguarlandrover.com</t>
  </si>
  <si>
    <t>IIY#0845999413471FEC</t>
  </si>
  <si>
    <t>mstruthe@jaguarlandrover.com</t>
  </si>
  <si>
    <t>IIY#4900262713471EM3</t>
  </si>
  <si>
    <t>bhardul1@jaguarlandrover.com</t>
  </si>
  <si>
    <t>IIY#6904749043471aQA</t>
  </si>
  <si>
    <t>ddinu3@jaguarlandrover.com</t>
  </si>
  <si>
    <t>IIY#0629919143471usS</t>
  </si>
  <si>
    <t>07792202254</t>
  </si>
  <si>
    <t>Swithced from woodland masterclass as it was cancelled, so has further credit of £60 to use</t>
  </si>
  <si>
    <t>#03131</t>
  </si>
  <si>
    <t xml:space="preserve">snowfall33@outlook.com </t>
  </si>
  <si>
    <t>07951978091</t>
  </si>
  <si>
    <t>#03149</t>
  </si>
  <si>
    <t xml:space="preserve">klp01827@gmail.com </t>
  </si>
  <si>
    <t xml:space="preserve">07850172273 </t>
  </si>
  <si>
    <t>Woodland Photography Walk |Solihull| Hay Woods</t>
  </si>
  <si>
    <t>IIY#1260831143471Qcd</t>
  </si>
  <si>
    <t>djadhav4@jaguarlandrover.com</t>
  </si>
  <si>
    <t>07818943144</t>
  </si>
  <si>
    <t>IIY#0332317043471Nhb</t>
  </si>
  <si>
    <t>vthakar1@jaguarlandrover.com</t>
  </si>
  <si>
    <t>07442783313</t>
  </si>
  <si>
    <t>IIY#7864011723471Tz9</t>
  </si>
  <si>
    <t>ssander2@jaguarlandrover.com</t>
  </si>
  <si>
    <t>07384 538 185</t>
  </si>
  <si>
    <t>IIY#4434617143471kDz</t>
  </si>
  <si>
    <t>tmendes1@jaguarlandrover.com</t>
  </si>
  <si>
    <t>IIY#6283455742471uhg</t>
  </si>
  <si>
    <t>cancelled 28 Nov</t>
  </si>
  <si>
    <t>IIY#5693288733471hk6</t>
  </si>
  <si>
    <t>ssaha7@jaguarlandrover.com</t>
  </si>
  <si>
    <t>IIY#0089144982471f4Z</t>
  </si>
  <si>
    <t>IIY#8268734733471qZc</t>
  </si>
  <si>
    <t>IIY#1740441823471nPv</t>
  </si>
  <si>
    <t>thalpin@jaguarlandrover.com</t>
  </si>
  <si>
    <t>IIY#8827864143471ON4</t>
  </si>
  <si>
    <t>kvyas@jaguarlandrover.com</t>
  </si>
  <si>
    <t>Tile Hill Nature Reserve</t>
  </si>
  <si>
    <t>IIY#1972921143471gvC</t>
  </si>
  <si>
    <t>IIY#0685913364471PcF</t>
  </si>
  <si>
    <t>rsaund22@jaguarlandrover.com</t>
  </si>
  <si>
    <t>07504800422</t>
  </si>
  <si>
    <t>IIY#1416370723471OyW</t>
  </si>
  <si>
    <t>dcoe@jaguarlandrover.com</t>
  </si>
  <si>
    <t>IIY#7239156633471Gz2</t>
  </si>
  <si>
    <t>ytao2@jaguarlandrover.com</t>
  </si>
  <si>
    <t>#03058</t>
  </si>
  <si>
    <t>jeremytroth1@gmail.com</t>
  </si>
  <si>
    <t>IIY#7266631733471Lb3</t>
  </si>
  <si>
    <t>ilong@jaguarlandrover.com</t>
  </si>
  <si>
    <t>The Secrets of Woodland Photography</t>
  </si>
  <si>
    <t>#02648</t>
  </si>
  <si>
    <t>Alvin</t>
  </si>
  <si>
    <t>Roussel</t>
  </si>
  <si>
    <t xml:space="preserve">alvin.roussel@gmail.com </t>
  </si>
  <si>
    <t>07415517384</t>
  </si>
  <si>
    <t>CV344SP</t>
  </si>
  <si>
    <t>22 Northgate Street</t>
  </si>
  <si>
    <t>IIY#6564685005571zfQ</t>
  </si>
  <si>
    <t>paulj4981@gmail.com</t>
  </si>
  <si>
    <t>#03160</t>
  </si>
  <si>
    <t>Martin Millington</t>
  </si>
  <si>
    <t>clare_walton@yahoo.co.uk</t>
  </si>
  <si>
    <t>07818617343</t>
  </si>
  <si>
    <t>IIY#08355222334715UW</t>
  </si>
  <si>
    <t>bdubb@jaguarlandrover.com</t>
  </si>
  <si>
    <t>0)7795 670707</t>
  </si>
  <si>
    <t>IIY#5430706043471WI7</t>
  </si>
  <si>
    <t>tsahinto@jaguarlandrover.com</t>
  </si>
  <si>
    <t>#03185</t>
  </si>
  <si>
    <t>bianca95pitis@gmail.com</t>
  </si>
  <si>
    <t>07835210212</t>
  </si>
  <si>
    <t>#03195</t>
  </si>
  <si>
    <t>sue@headycommunications.com</t>
  </si>
  <si>
    <t>07855950705</t>
  </si>
  <si>
    <t>#03202</t>
  </si>
  <si>
    <t>Aron</t>
  </si>
  <si>
    <t>Grant</t>
  </si>
  <si>
    <t xml:space="preserve">stefflaa@hotmail.co.uk </t>
  </si>
  <si>
    <t>07896984583</t>
  </si>
  <si>
    <t>#03220</t>
  </si>
  <si>
    <t>#03060</t>
  </si>
  <si>
    <t xml:space="preserve">george@tergou.com.au </t>
  </si>
  <si>
    <t>2511305388</t>
  </si>
  <si>
    <t>2601061207</t>
  </si>
  <si>
    <t>Allison</t>
  </si>
  <si>
    <t>Poole</t>
  </si>
  <si>
    <t>allisonpoole@btinternet.com</t>
  </si>
  <si>
    <t>07791691231</t>
  </si>
  <si>
    <t>#03203</t>
  </si>
  <si>
    <t>Stamp</t>
  </si>
  <si>
    <t>chris63stamp@gmail.com</t>
  </si>
  <si>
    <t>07740401983</t>
  </si>
  <si>
    <t>#03217</t>
  </si>
  <si>
    <t>Sofia</t>
  </si>
  <si>
    <t>Garza</t>
  </si>
  <si>
    <t xml:space="preserve">sofia.gza@gmail.com </t>
  </si>
  <si>
    <t>Mexico</t>
  </si>
  <si>
    <t>#03166</t>
  </si>
  <si>
    <t>Keting</t>
  </si>
  <si>
    <t>paulrkeating@gmail.com</t>
  </si>
  <si>
    <t>07949812941</t>
  </si>
  <si>
    <t>#03173</t>
  </si>
  <si>
    <t>Miles</t>
  </si>
  <si>
    <t>Huckle</t>
  </si>
  <si>
    <t>mileshuckle@gmail.com</t>
  </si>
  <si>
    <t>07779029067</t>
  </si>
  <si>
    <t>broke his arm so credit given as couldn’t do 23 apr anayway</t>
  </si>
  <si>
    <t>#03239</t>
  </si>
  <si>
    <t>#03247</t>
  </si>
  <si>
    <t xml:space="preserve">mcmahonmike1984@gmail.com </t>
  </si>
  <si>
    <t>07725648984</t>
  </si>
  <si>
    <t>#03266</t>
  </si>
  <si>
    <t>Neil Lewis</t>
  </si>
  <si>
    <t>neillewis004@mac.com</t>
  </si>
  <si>
    <t>07367405550</t>
  </si>
  <si>
    <t>#03248</t>
  </si>
  <si>
    <t>#03259</t>
  </si>
  <si>
    <t xml:space="preserve">ruthmartin839@btinternet.com </t>
  </si>
  <si>
    <t>07792254260</t>
  </si>
  <si>
    <t>IIY#3029527246771lOl</t>
  </si>
  <si>
    <t>David Sadler</t>
  </si>
  <si>
    <t>dsadler4@jaguarlandrover.com</t>
  </si>
  <si>
    <t>07812 780177</t>
  </si>
  <si>
    <t>#03237</t>
  </si>
  <si>
    <t xml:space="preserve">julietta.juras@protonmail.com </t>
  </si>
  <si>
    <t>07946602555</t>
  </si>
  <si>
    <t>#03204</t>
  </si>
  <si>
    <t>Caitriona Alexander</t>
  </si>
  <si>
    <t>Alexander</t>
  </si>
  <si>
    <t>cathanly@ymail.com</t>
  </si>
  <si>
    <t>07717702824</t>
  </si>
  <si>
    <t>paid 1 day for 25 but split over two days</t>
  </si>
  <si>
    <t>IIY#2913981525571C0X</t>
  </si>
  <si>
    <t>msmit260@jaguarlandrover.com</t>
  </si>
  <si>
    <t>07752198332</t>
  </si>
  <si>
    <t>IIY#3430806185771yfH</t>
  </si>
  <si>
    <t>Mihail Radkov</t>
  </si>
  <si>
    <t>mradkov1@jaguarlandrover.com</t>
  </si>
  <si>
    <t>07476685235</t>
  </si>
  <si>
    <t>#03183</t>
  </si>
  <si>
    <t>Victoria Webb</t>
  </si>
  <si>
    <t>Webb</t>
  </si>
  <si>
    <t>Owenwebb24@hotmail.com</t>
  </si>
  <si>
    <t>07967664829</t>
  </si>
  <si>
    <t>Exiting</t>
  </si>
  <si>
    <t>#03207</t>
  </si>
  <si>
    <t xml:space="preserve">07974437317 </t>
  </si>
  <si>
    <t>#03232</t>
  </si>
  <si>
    <t>sarah.paula.joyce@gmail.com</t>
  </si>
  <si>
    <t>07791041544</t>
  </si>
  <si>
    <t>#03238</t>
  </si>
  <si>
    <t xml:space="preserve">myra_little@hotmail.com </t>
  </si>
  <si>
    <t>#03231</t>
  </si>
  <si>
    <t>cctrim4@aol.com</t>
  </si>
  <si>
    <t>IIY#27750844057719lH</t>
  </si>
  <si>
    <t>Louise Potter</t>
  </si>
  <si>
    <t>lpotter8@jaguarlandrover.com</t>
  </si>
  <si>
    <t>07900930631</t>
  </si>
  <si>
    <t>#03256</t>
  </si>
  <si>
    <t>Emma Shakesheff</t>
  </si>
  <si>
    <t>em_shakesheff@hotmail.co.uk</t>
  </si>
  <si>
    <t>40</t>
  </si>
  <si>
    <t>07707726434</t>
  </si>
  <si>
    <t>#03263</t>
  </si>
  <si>
    <t>Dave Sharp</t>
  </si>
  <si>
    <t>sharpdh13@gmail.com</t>
  </si>
  <si>
    <t>07989205936</t>
  </si>
  <si>
    <t>#03267</t>
  </si>
  <si>
    <t xml:space="preserve">les_page2003@yahoo.co.uk </t>
  </si>
  <si>
    <t>07980809323</t>
  </si>
  <si>
    <t>#03179</t>
  </si>
  <si>
    <t>Shearwood</t>
  </si>
  <si>
    <t>richard@shearwood.org.uk</t>
  </si>
  <si>
    <t>07983375833</t>
  </si>
  <si>
    <t>#03234</t>
  </si>
  <si>
    <t>Pearl</t>
  </si>
  <si>
    <t xml:space="preserve">pearltricia47@gmail.com </t>
  </si>
  <si>
    <t>07973417176</t>
  </si>
  <si>
    <t>#03213</t>
  </si>
  <si>
    <t>Philpott</t>
  </si>
  <si>
    <t xml:space="preserve">kathryn.philpott@icloud.com </t>
  </si>
  <si>
    <t>07454110027</t>
  </si>
  <si>
    <t xml:space="preserve">FAIRY GLEN and Fairy Falls </t>
  </si>
  <si>
    <t>3hrs</t>
  </si>
  <si>
    <t>#03147</t>
  </si>
  <si>
    <t>simonwhitehouse6@gmail.com</t>
  </si>
  <si>
    <t>07946864179</t>
  </si>
  <si>
    <t>Jo</t>
  </si>
  <si>
    <t>#03212</t>
  </si>
  <si>
    <t>Miachel White</t>
  </si>
  <si>
    <t>United States</t>
  </si>
  <si>
    <t>00mjwhite@bsu.edu</t>
  </si>
  <si>
    <t>Gwen White</t>
  </si>
  <si>
    <t>One bedroom as husband and wife</t>
  </si>
  <si>
    <t>#03209</t>
  </si>
  <si>
    <t>IIY#6414240857571WLc</t>
  </si>
  <si>
    <t>Farrington</t>
  </si>
  <si>
    <t>2511273861</t>
  </si>
  <si>
    <t>McDonald</t>
  </si>
  <si>
    <t>smcdonald589@gmail.com</t>
  </si>
  <si>
    <t>07792805622</t>
  </si>
  <si>
    <t>Peak District Photography Workshops Padley Gorge + Tripod</t>
  </si>
  <si>
    <t>#03175</t>
  </si>
  <si>
    <t>Laurice Karen</t>
  </si>
  <si>
    <t>Cabais</t>
  </si>
  <si>
    <t>ckarenlaurice@gmail.com</t>
  </si>
  <si>
    <t>07802345004</t>
  </si>
  <si>
    <t>Lisa</t>
  </si>
  <si>
    <t>l.vincent@hotmail.co.uk</t>
  </si>
  <si>
    <t>07934673812</t>
  </si>
  <si>
    <t>2511200136</t>
  </si>
  <si>
    <t>d_clarke@fastmail.fm</t>
  </si>
  <si>
    <t>07342058814</t>
  </si>
  <si>
    <t>2604040178</t>
  </si>
  <si>
    <t>Elizabeth</t>
  </si>
  <si>
    <t>Newall</t>
  </si>
  <si>
    <t>e_newall@yahoo.co.uk</t>
  </si>
  <si>
    <t>07866122155</t>
  </si>
  <si>
    <t>;2604060617</t>
  </si>
  <si>
    <t>Sturgess</t>
  </si>
  <si>
    <t>neilst24@icloud.com</t>
  </si>
  <si>
    <t>07795213620</t>
  </si>
  <si>
    <t>Peak District - Padley &amp; Bolehill</t>
  </si>
  <si>
    <t>2 Day</t>
  </si>
  <si>
    <t>IIY#8212997615571kCu</t>
  </si>
  <si>
    <t>cwhitta1@jaguarlandrover.com</t>
  </si>
  <si>
    <t>07473 068150</t>
  </si>
  <si>
    <t>colin.whittaker89@gmail.com</t>
  </si>
  <si>
    <t>IIY#4906362443471QzR</t>
  </si>
  <si>
    <t>Claudia Mathers</t>
  </si>
  <si>
    <t>cmather6@jaguarlandrover.com</t>
  </si>
  <si>
    <t>Transferred from Batsdford when rained off</t>
  </si>
  <si>
    <t>Sezincote Gardens</t>
  </si>
  <si>
    <t>#03130</t>
  </si>
  <si>
    <t>salome@sylimited.com</t>
  </si>
  <si>
    <t>07793739081</t>
  </si>
  <si>
    <t>#03129</t>
  </si>
  <si>
    <t>lindsay_j_best@hotmail.com</t>
  </si>
  <si>
    <t>07811212041</t>
  </si>
  <si>
    <t>Transferred from Urban Arch 16 Apr</t>
  </si>
  <si>
    <t>#03199</t>
  </si>
  <si>
    <t>Pitt</t>
  </si>
  <si>
    <t xml:space="preserve">dlpitt@btinternet.com </t>
  </si>
  <si>
    <t>07956604384</t>
  </si>
  <si>
    <t xml:space="preserve">LAVENDER FIELD </t>
  </si>
  <si>
    <t>#03128</t>
  </si>
  <si>
    <t>mrhdenning@gmail.com</t>
  </si>
  <si>
    <t>07801749415</t>
  </si>
  <si>
    <t>#03148</t>
  </si>
  <si>
    <t>#03244</t>
  </si>
  <si>
    <t>#03187</t>
  </si>
  <si>
    <t>IIY#9619352208571uWc</t>
  </si>
  <si>
    <t>Eagles</t>
  </si>
  <si>
    <t>The Secret of WOODLAND PHOTOGRAPHY-</t>
  </si>
  <si>
    <t>#03249</t>
  </si>
  <si>
    <t>Regina</t>
  </si>
  <si>
    <t>Asimadi</t>
  </si>
  <si>
    <t>regina.asimadi@gmail.com</t>
  </si>
  <si>
    <t>07930992743</t>
  </si>
  <si>
    <t>Hartland Quay - devon</t>
  </si>
  <si>
    <t>#03189</t>
  </si>
  <si>
    <t>pennyulander@gmail.com</t>
  </si>
  <si>
    <t>6199169048</t>
  </si>
  <si>
    <t>Plus Thursday 3rd Sep</t>
  </si>
  <si>
    <t>#03251</t>
  </si>
  <si>
    <t>Peter-Orton@msn.com</t>
  </si>
  <si>
    <t>07511175288</t>
  </si>
  <si>
    <t>#03035</t>
  </si>
  <si>
    <t>Mike Murphy</t>
  </si>
  <si>
    <t>mike_murphy21@hotmail.com</t>
  </si>
  <si>
    <t>07802627187</t>
  </si>
  <si>
    <t>SS7 1RD</t>
  </si>
  <si>
    <t>11 Sheridan Avenue</t>
  </si>
  <si>
    <t>Benfleet</t>
  </si>
  <si>
    <t>Mike Elliot</t>
  </si>
  <si>
    <t>mikeelliott74@outlook.com</t>
  </si>
  <si>
    <t>;52</t>
  </si>
  <si>
    <t>07880095315</t>
  </si>
  <si>
    <t>OX25 5PD</t>
  </si>
  <si>
    <t>Urban Architecture - Coventry</t>
  </si>
  <si>
    <t>#03264</t>
  </si>
  <si>
    <t>Matthew Glasgow</t>
  </si>
  <si>
    <t>matthewjohnglasgow@hotmail.com</t>
  </si>
  <si>
    <t>07791539678</t>
  </si>
  <si>
    <t>4hr</t>
  </si>
  <si>
    <t>gail.johnson1964@btinternet.com</t>
  </si>
  <si>
    <t>07772514695</t>
  </si>
  <si>
    <t>IIY#1212611167771xHx</t>
  </si>
  <si>
    <t>amorri28@jaguarlandrover.com</t>
  </si>
  <si>
    <t>07901912227</t>
  </si>
  <si>
    <t>aj_morris@sky.com</t>
  </si>
  <si>
    <t>IIY#9026836358771Pap</t>
  </si>
  <si>
    <t>Mukesh Kumar</t>
  </si>
  <si>
    <t>mkumar87@jaguarlandrover.com</t>
  </si>
  <si>
    <t>#03243</t>
  </si>
  <si>
    <t>dalecreaser@gmail.com</t>
  </si>
  <si>
    <t>07395812485</t>
  </si>
  <si>
    <t>#03261</t>
  </si>
  <si>
    <t xml:space="preserve">hpatel_home@hotmail.com </t>
  </si>
  <si>
    <t>07974248478</t>
  </si>
  <si>
    <t>#03181</t>
  </si>
  <si>
    <t>Hargrave</t>
  </si>
  <si>
    <t>hargrave195@hotmail.com</t>
  </si>
  <si>
    <t>07754547871</t>
  </si>
  <si>
    <t>#03196</t>
  </si>
  <si>
    <t>IIY#8528218025771JCl</t>
  </si>
  <si>
    <t>Andrew Barley</t>
  </si>
  <si>
    <t>abarley4@jaguarlandrover.com</t>
  </si>
  <si>
    <t>IIY#7258874848771u2g</t>
  </si>
  <si>
    <t>2602220919</t>
  </si>
  <si>
    <t>sofih16@hotmail.com</t>
  </si>
  <si>
    <t>07568 089471</t>
  </si>
  <si>
    <t>#03265</t>
  </si>
  <si>
    <t>Alan Pilkington</t>
  </si>
  <si>
    <t>alanjpilkington@gmail.com</t>
  </si>
  <si>
    <t>07472350236</t>
  </si>
  <si>
    <t>j.macdonald1405@btinternet.com</t>
  </si>
  <si>
    <t>07926 728438</t>
  </si>
  <si>
    <t>Rr</t>
  </si>
  <si>
    <t>Ry</t>
  </si>
  <si>
    <t>Difference</t>
  </si>
  <si>
    <t>Download  List</t>
  </si>
  <si>
    <t>Request ID</t>
  </si>
  <si>
    <t>Session Status</t>
  </si>
  <si>
    <t>Course Name</t>
  </si>
  <si>
    <t>Start date</t>
  </si>
  <si>
    <t>End date</t>
  </si>
  <si>
    <t>Start Time</t>
  </si>
  <si>
    <t>End Time</t>
  </si>
  <si>
    <t>Requestor Name</t>
  </si>
  <si>
    <t>Requestor Email</t>
  </si>
  <si>
    <t>Currency</t>
  </si>
  <si>
    <t>Pay Supplier</t>
  </si>
  <si>
    <t>Invoice Value</t>
  </si>
  <si>
    <t>Tree Planted</t>
  </si>
  <si>
    <t>Cancel Cut off</t>
  </si>
  <si>
    <t>Invoice ref</t>
  </si>
  <si>
    <t>Due</t>
  </si>
  <si>
    <t>Seat Booking Confirmed</t>
  </si>
  <si>
    <t>10:00:00</t>
  </si>
  <si>
    <t>12:30:00</t>
  </si>
  <si>
    <t>GBP</t>
  </si>
  <si>
    <t>IIY#8694275528371a5q</t>
  </si>
  <si>
    <t>Photography Lessons - Private 1-2-1</t>
  </si>
  <si>
    <t>09:30:00</t>
  </si>
  <si>
    <t>11:30:00</t>
  </si>
  <si>
    <t>18:30:00</t>
  </si>
  <si>
    <t>21:00:00</t>
  </si>
  <si>
    <t>IIY#4349216758371OLk</t>
  </si>
  <si>
    <t>13:30:00</t>
  </si>
  <si>
    <t>Fairy Glen Betws-y-Coed Photography Workshop - Wales</t>
  </si>
  <si>
    <t>IIY#1215502958371RBB</t>
  </si>
  <si>
    <t>ctaylo37@jaguarlandrover.com</t>
  </si>
  <si>
    <t>20250314-01</t>
  </si>
  <si>
    <t>IIY#7650391549371nrb</t>
  </si>
  <si>
    <t>IIY#3848333811471ZVX</t>
  </si>
  <si>
    <t>rparr1@jaguarlandrover.com</t>
  </si>
  <si>
    <t>IIY#1813740713471xFD</t>
  </si>
  <si>
    <t>Online|</t>
  </si>
  <si>
    <t>20250331-01</t>
  </si>
  <si>
    <t>IIY#5488650911471bVH</t>
  </si>
  <si>
    <t>psimpso4@jaguarlandrover.com</t>
  </si>
  <si>
    <t>20250403-01</t>
  </si>
  <si>
    <t>IIY#3674368692471Brj</t>
  </si>
  <si>
    <t>Coventry|</t>
  </si>
  <si>
    <t>20250408-01</t>
  </si>
  <si>
    <t>IIY#7009228801471hwd</t>
  </si>
  <si>
    <t>yrajana1@jaguarlandrover.com</t>
  </si>
  <si>
    <t>IIY#2337895871471CsV</t>
  </si>
  <si>
    <t>eatkinso@jaguarlandrover.com</t>
  </si>
  <si>
    <t>20250410-01</t>
  </si>
  <si>
    <t>13 Apr 2025</t>
  </si>
  <si>
    <t>16:00:00</t>
  </si>
  <si>
    <t>20250413-01</t>
  </si>
  <si>
    <t>IIY#7312658992471LRs</t>
  </si>
  <si>
    <t>14 Apr 2025</t>
  </si>
  <si>
    <t>20250414-01</t>
  </si>
  <si>
    <t>IIY#8409656732471iHl</t>
  </si>
  <si>
    <t>17:00:00</t>
  </si>
  <si>
    <t>gdaykin1@jaguarlandrover.com</t>
  </si>
  <si>
    <t>19:00:00</t>
  </si>
  <si>
    <t>20250414-02</t>
  </si>
  <si>
    <t>IIY#0168714982471rsp</t>
  </si>
  <si>
    <t>15 Apr 2025</t>
  </si>
  <si>
    <t>09:00:00</t>
  </si>
  <si>
    <t>11:00:00</t>
  </si>
  <si>
    <t>20250415-01</t>
  </si>
  <si>
    <t>IIY#6581198513471ur9</t>
  </si>
  <si>
    <t>17 Jun 2025</t>
  </si>
  <si>
    <t>18:00:00</t>
  </si>
  <si>
    <t>20250415-02</t>
  </si>
  <si>
    <t>IIY#5771278692471YW8</t>
  </si>
  <si>
    <t>16 Apr 2025</t>
  </si>
  <si>
    <t>12:00:00</t>
  </si>
  <si>
    <t>13:00:00</t>
  </si>
  <si>
    <t>20250416-01</t>
  </si>
  <si>
    <t>30 Apr 2025</t>
  </si>
  <si>
    <t>20250416-02</t>
  </si>
  <si>
    <t>Bluebell Photography Workshop Half-Day - Warwickshire</t>
  </si>
  <si>
    <t>17 Apr 2025</t>
  </si>
  <si>
    <t>05:45:00</t>
  </si>
  <si>
    <t>09:45:00</t>
  </si>
  <si>
    <t>Warwickshire|</t>
  </si>
  <si>
    <t>18 Apr 2025</t>
  </si>
  <si>
    <t>Bluebell Photography Workshop 1 Day - Warwickshire</t>
  </si>
  <si>
    <t>19 Apr 2025</t>
  </si>
  <si>
    <t>15:00:00</t>
  </si>
  <si>
    <t>Stratford Upon Avon|</t>
  </si>
  <si>
    <t>20 Apr 2025</t>
  </si>
  <si>
    <t>22 Apr 2025</t>
  </si>
  <si>
    <t>23 Apr 2025</t>
  </si>
  <si>
    <t>24 Apr 2025</t>
  </si>
  <si>
    <t>25 Apr 2025</t>
  </si>
  <si>
    <t>29 Apr 2025</t>
  </si>
  <si>
    <t>13 May 2025</t>
  </si>
  <si>
    <t>IIY#2410727791471r6v</t>
  </si>
  <si>
    <t>01 May 2025</t>
  </si>
  <si>
    <t>17 May 2025</t>
  </si>
  <si>
    <t>08:00:00</t>
  </si>
  <si>
    <t>sganesa4@jaguarlandrover.com</t>
  </si>
  <si>
    <t>03 May 2025</t>
  </si>
  <si>
    <t>Betws-y-Coed|</t>
  </si>
  <si>
    <t>Last Review request</t>
  </si>
  <si>
    <t>10:30:00</t>
  </si>
  <si>
    <t>14:00:00</t>
  </si>
  <si>
    <t>04 May 2025</t>
  </si>
  <si>
    <t>Solihull|</t>
  </si>
  <si>
    <t>17:30:00</t>
  </si>
  <si>
    <t>05 May 2025</t>
  </si>
  <si>
    <t>19:30:00</t>
  </si>
  <si>
    <t>Chesterton|</t>
  </si>
  <si>
    <t>IIY#6274128904471chf</t>
  </si>
  <si>
    <t>jsounda2@jaguarlandrover.com</t>
  </si>
  <si>
    <t>12 May 2025</t>
  </si>
  <si>
    <t>21:30:00</t>
  </si>
  <si>
    <t>Kenilworth|</t>
  </si>
  <si>
    <t>IIY#9221252781471MyP</t>
  </si>
  <si>
    <t>sarnold4@jaguarlandrover.com</t>
  </si>
  <si>
    <t>20 May 2025</t>
  </si>
  <si>
    <t>21 May 2025</t>
  </si>
  <si>
    <t>04 Jun 2025</t>
  </si>
  <si>
    <t>IIY#4917778953471cP7</t>
  </si>
  <si>
    <t>troches2@jaguarlandrover.com</t>
  </si>
  <si>
    <t>IIY#7134117613471M3Y</t>
  </si>
  <si>
    <t>dnawal@jaguarlandrover.com</t>
  </si>
  <si>
    <t>24 May 2025</t>
  </si>
  <si>
    <t>16:15:00</t>
  </si>
  <si>
    <t>Grindleford|</t>
  </si>
  <si>
    <t>20250524-01</t>
  </si>
  <si>
    <t>IIY#45570895434715lW</t>
  </si>
  <si>
    <t>jholdsw2@jaguarlandrover.com</t>
  </si>
  <si>
    <t>20250527-01</t>
  </si>
  <si>
    <t>27 May 2025</t>
  </si>
  <si>
    <t>10 Jun 2025</t>
  </si>
  <si>
    <t>20250527-02</t>
  </si>
  <si>
    <t>IIY#7673577182471cZr</t>
  </si>
  <si>
    <t>mschofi1@jaguarlandrover.com</t>
  </si>
  <si>
    <t>20250528-01</t>
  </si>
  <si>
    <t>29 May 2025</t>
  </si>
  <si>
    <t>20250529-01</t>
  </si>
  <si>
    <t>30 May 2025</t>
  </si>
  <si>
    <t>20250530-01</t>
  </si>
  <si>
    <t>Moreton In Marsh|</t>
  </si>
  <si>
    <t>IIY#9621908904471Z9R</t>
  </si>
  <si>
    <t>pjohnso1@jaguarlandrover.com</t>
  </si>
  <si>
    <t>20250606-01</t>
  </si>
  <si>
    <t>12 Jun 2025</t>
  </si>
  <si>
    <t>20250612-01</t>
  </si>
  <si>
    <t>IIY#1885119613471J08</t>
  </si>
  <si>
    <t>ecoleman@jaguarlandrover.com</t>
  </si>
  <si>
    <t>20250613-01</t>
  </si>
  <si>
    <t>02 Jul 2025</t>
  </si>
  <si>
    <t>16 Jul 2025</t>
  </si>
  <si>
    <t>20250702-01</t>
  </si>
  <si>
    <t>06 Jul 2025</t>
  </si>
  <si>
    <t>20250706-01</t>
  </si>
  <si>
    <t>12 Jul 2025</t>
  </si>
  <si>
    <t>18:15:00</t>
  </si>
  <si>
    <t>20:45:00</t>
  </si>
  <si>
    <t>Burnham on Sea|</t>
  </si>
  <si>
    <t>20250712-01</t>
  </si>
  <si>
    <t>26 Jul 2025</t>
  </si>
  <si>
    <t>17:10:00</t>
  </si>
  <si>
    <t>20:30:00</t>
  </si>
  <si>
    <t>20250726-01</t>
  </si>
  <si>
    <t>17:15:00</t>
  </si>
  <si>
    <t>16 Aug 2025</t>
  </si>
  <si>
    <t>20250817-01</t>
  </si>
  <si>
    <t>17 Aug 2025</t>
  </si>
  <si>
    <t>05:15:00</t>
  </si>
  <si>
    <t>28 Aug 2025</t>
  </si>
  <si>
    <t>20250828-01</t>
  </si>
  <si>
    <t>31 Aug 2025</t>
  </si>
  <si>
    <t>20250831-01</t>
  </si>
  <si>
    <t>03 Sep 2025</t>
  </si>
  <si>
    <t>17 Sep 2025</t>
  </si>
  <si>
    <t>20250903-01</t>
  </si>
  <si>
    <t>08 Sep 2025</t>
  </si>
  <si>
    <t>20250908-01</t>
  </si>
  <si>
    <t>22 Sep 2025</t>
  </si>
  <si>
    <t>20250911-01</t>
  </si>
  <si>
    <t>16 Sep 2025</t>
  </si>
  <si>
    <t>20250916-01</t>
  </si>
  <si>
    <t>IIY#5017288028571cwG</t>
  </si>
  <si>
    <t>20250924-01</t>
  </si>
  <si>
    <t>20250924-02</t>
  </si>
  <si>
    <t>01 Oct 2025</t>
  </si>
  <si>
    <t>20251001-01</t>
  </si>
  <si>
    <t>02 Oct 2025</t>
  </si>
  <si>
    <t>20251002-01</t>
  </si>
  <si>
    <t>20251006-01</t>
  </si>
  <si>
    <t>17 Oct 2025</t>
  </si>
  <si>
    <t>20251017-01</t>
  </si>
  <si>
    <t>18 Oct 2025</t>
  </si>
  <si>
    <t>20251018-01</t>
  </si>
  <si>
    <t>IIY#4232937094571zCO</t>
  </si>
  <si>
    <t>24 Oct 2025</t>
  </si>
  <si>
    <t>15:30:00</t>
  </si>
  <si>
    <t>Gloucestershire|</t>
  </si>
  <si>
    <t>20251024-01</t>
  </si>
  <si>
    <t>25 Oct 2025</t>
  </si>
  <si>
    <t>20251025-01</t>
  </si>
  <si>
    <t>15:15:00</t>
  </si>
  <si>
    <t>20251026-01</t>
  </si>
  <si>
    <t>31 Oct 2025</t>
  </si>
  <si>
    <t>20251031-01</t>
  </si>
  <si>
    <t>20251102-01</t>
  </si>
  <si>
    <t>03 Nov 2025</t>
  </si>
  <si>
    <t>20 Nov 2025</t>
  </si>
  <si>
    <t>20251103-01</t>
  </si>
  <si>
    <t>07 Nov 2025</t>
  </si>
  <si>
    <t>20251107-01</t>
  </si>
  <si>
    <t>08 Nov 2025</t>
  </si>
  <si>
    <t>Wellsbourne|</t>
  </si>
  <si>
    <t>20251108-01</t>
  </si>
  <si>
    <t>05 Dec 2025</t>
  </si>
  <si>
    <t>20251205-01</t>
  </si>
  <si>
    <t>20251208-01</t>
  </si>
  <si>
    <t>02 Jan 2026</t>
  </si>
  <si>
    <t>20260102-01</t>
  </si>
  <si>
    <t>20260111-01</t>
  </si>
  <si>
    <t>02 Feb 2026</t>
  </si>
  <si>
    <t>20260202-01</t>
  </si>
  <si>
    <t>IIY#6910444206771DYq</t>
  </si>
  <si>
    <t>eanyanwu@jaguarlandrover.com</t>
  </si>
  <si>
    <t>20260424-01</t>
  </si>
  <si>
    <t>20260426-01</t>
  </si>
  <si>
    <t>20260430-01</t>
  </si>
  <si>
    <t>20260502-01</t>
  </si>
  <si>
    <t>20260505-01</t>
  </si>
  <si>
    <t>20260516-01</t>
  </si>
  <si>
    <t>20260517-01</t>
  </si>
  <si>
    <t>Cancelled</t>
  </si>
  <si>
    <t>IIY-#5298697371-#464</t>
  </si>
  <si>
    <t>05 Mar 2025</t>
  </si>
  <si>
    <t>Luis Mora Matos</t>
  </si>
  <si>
    <t>lmatos2@jaguarlandrover.com</t>
  </si>
  <si>
    <t>Cancelled 31 Jan</t>
  </si>
  <si>
    <t>IIY#6261708929371gl8</t>
  </si>
  <si>
    <t>Zhiar Mawlood</t>
  </si>
  <si>
    <t>zmawlood@jaguarlandrover.com</t>
  </si>
  <si>
    <t>cancelled 25/2</t>
  </si>
  <si>
    <t>IIY#7201037600471xFd</t>
  </si>
  <si>
    <t>cancelled 13/3</t>
  </si>
  <si>
    <t>IIY#7217050510471SdA</t>
  </si>
  <si>
    <t>cancelled 15/3</t>
  </si>
  <si>
    <t>IIY#4718290552471P3P</t>
  </si>
  <si>
    <t>Malith Sumanasekera</t>
  </si>
  <si>
    <t>msumana1@jaguarlandrover.com</t>
  </si>
  <si>
    <t>cancelled 26 Mar</t>
  </si>
  <si>
    <t>Attendees Signature</t>
  </si>
  <si>
    <t>AM</t>
  </si>
  <si>
    <t xml:space="preserve">photo@the-hut.net </t>
  </si>
  <si>
    <t>Orchard</t>
  </si>
  <si>
    <t>07779696602</t>
  </si>
  <si>
    <t xml:space="preserve">the_dward@hotmail.com </t>
  </si>
  <si>
    <t xml:space="preserve">Edd </t>
  </si>
  <si>
    <t>Berrill</t>
  </si>
  <si>
    <t>07772987583</t>
  </si>
  <si>
    <t>2310300859</t>
  </si>
  <si>
    <t>cathykibble@googlemail.com</t>
  </si>
  <si>
    <t>Kathy</t>
  </si>
  <si>
    <t>Kibble</t>
  </si>
  <si>
    <t>07538 640941</t>
  </si>
  <si>
    <t>#02765</t>
  </si>
  <si>
    <t>Jaye</t>
  </si>
  <si>
    <t xml:space="preserve">07841987147 </t>
  </si>
  <si>
    <t>#02517</t>
  </si>
  <si>
    <t xml:space="preserve">kelricho2000@yahoo.co.uk </t>
  </si>
  <si>
    <t>Richardson</t>
  </si>
  <si>
    <t>07854740468</t>
  </si>
  <si>
    <t>#02729</t>
  </si>
  <si>
    <t xml:space="preserve">ispan.emoke@gmail.com </t>
  </si>
  <si>
    <t xml:space="preserve">Emoke </t>
  </si>
  <si>
    <t>Ispan</t>
  </si>
  <si>
    <t>07944241202</t>
  </si>
  <si>
    <t xml:space="preserve">dave@davidproctor.com </t>
  </si>
  <si>
    <t>07515962930</t>
  </si>
  <si>
    <t>#02753</t>
  </si>
  <si>
    <t xml:space="preserve">mike.manorcroft@gmail.com </t>
  </si>
  <si>
    <t>Charlton</t>
  </si>
  <si>
    <t>07500224031</t>
  </si>
  <si>
    <t>#02754</t>
  </si>
  <si>
    <t xml:space="preserve">huw8118@btinternet.com </t>
  </si>
  <si>
    <t>Huw</t>
  </si>
  <si>
    <t>07527710547</t>
  </si>
  <si>
    <t>#02755</t>
  </si>
  <si>
    <t>Stephen.frost01@gmail.com</t>
  </si>
  <si>
    <t>Stephen</t>
  </si>
  <si>
    <t>Frost</t>
  </si>
  <si>
    <t>07760614013</t>
  </si>
  <si>
    <t>anniemitchell2@yahoo.co.uk</t>
  </si>
  <si>
    <t>Annie</t>
  </si>
  <si>
    <t>07866273335</t>
  </si>
  <si>
    <t>#02752</t>
  </si>
  <si>
    <t xml:space="preserve">ipadofian@me.com </t>
  </si>
  <si>
    <t>Douglas</t>
  </si>
  <si>
    <t>07453665361</t>
  </si>
  <si>
    <t>#02718</t>
  </si>
  <si>
    <t xml:space="preserve">jane@gp-it.co.uk </t>
  </si>
  <si>
    <t>07876127335</t>
  </si>
  <si>
    <t>07768115639</t>
  </si>
  <si>
    <t>#02645</t>
  </si>
  <si>
    <t xml:space="preserve">ambra.minoli@protonmail.com </t>
  </si>
  <si>
    <t xml:space="preserve">Ambra </t>
  </si>
  <si>
    <t>Minoli</t>
  </si>
  <si>
    <t>07449843109</t>
  </si>
  <si>
    <t>#02511</t>
  </si>
  <si>
    <t>drsanjay.kumar@btinternet.com</t>
  </si>
  <si>
    <t>Kumar</t>
  </si>
  <si>
    <t>07980618814</t>
  </si>
  <si>
    <t>#02678</t>
  </si>
  <si>
    <t xml:space="preserve">lcs3878@btinternet.com </t>
  </si>
  <si>
    <t>Cooper-Smith</t>
  </si>
  <si>
    <t>07495455697</t>
  </si>
  <si>
    <t>#02769</t>
  </si>
  <si>
    <t xml:space="preserve">steveandsally@outlook.com </t>
  </si>
  <si>
    <t>Fitchett</t>
  </si>
  <si>
    <t>07540269157</t>
  </si>
  <si>
    <t>#02771</t>
  </si>
  <si>
    <t xml:space="preserve">kurt-saas-fee@gmx.com </t>
  </si>
  <si>
    <t>Kurt</t>
  </si>
  <si>
    <t>Mueller</t>
  </si>
  <si>
    <t>07944717113</t>
  </si>
  <si>
    <t>#02770</t>
  </si>
  <si>
    <t xml:space="preserve">willowad1963@yahoo.co.uk </t>
  </si>
  <si>
    <t>07891213763</t>
  </si>
  <si>
    <t>Beginners Photography</t>
  </si>
  <si>
    <t>Intermediates Photography Course</t>
  </si>
  <si>
    <t>Beginners Lightroom do in 2020 Kenilworth</t>
  </si>
  <si>
    <t>B&amp;W Mastercalss</t>
  </si>
  <si>
    <t>Image Sharing Masteclass</t>
  </si>
  <si>
    <t>RPS Distinctions Course</t>
  </si>
  <si>
    <t>Awaiting Payment</t>
  </si>
  <si>
    <t>Verified</t>
  </si>
  <si>
    <t>redeemed</t>
  </si>
  <si>
    <t>Voucher Ref</t>
  </si>
  <si>
    <t>Status</t>
  </si>
  <si>
    <t>Distinction</t>
  </si>
  <si>
    <t>No' Booked</t>
  </si>
  <si>
    <t>Advisory</t>
  </si>
  <si>
    <t>Submission</t>
  </si>
  <si>
    <t>Mar 7th</t>
  </si>
  <si>
    <t>Apr 5th</t>
  </si>
  <si>
    <t>Apr 16th</t>
  </si>
  <si>
    <t>Apr 27th</t>
  </si>
  <si>
    <t>May 14th</t>
  </si>
  <si>
    <t>May 15th</t>
  </si>
  <si>
    <t>Jun 4th</t>
  </si>
  <si>
    <t>Jun 22nd</t>
  </si>
  <si>
    <t>Jul 10th</t>
  </si>
  <si>
    <t>Jul 17th</t>
  </si>
  <si>
    <t>Aug 7th</t>
  </si>
  <si>
    <t>Aug 29th</t>
  </si>
  <si>
    <t>Sep 12th</t>
  </si>
  <si>
    <t>Oct 1st</t>
  </si>
  <si>
    <t>Oct 10th</t>
  </si>
  <si>
    <t>Nov 7th</t>
  </si>
  <si>
    <t>Nov 28th</t>
  </si>
  <si>
    <t>Dec 12th</t>
  </si>
  <si>
    <t>Jan 4th</t>
  </si>
  <si>
    <t>Jan 9th</t>
  </si>
  <si>
    <t>Jan 21st</t>
  </si>
  <si>
    <t>Feb 6th</t>
  </si>
  <si>
    <t>Feb 21st</t>
  </si>
  <si>
    <t>Mar 4th</t>
  </si>
  <si>
    <t>Mar 20th</t>
  </si>
  <si>
    <t>Apr 1st</t>
  </si>
  <si>
    <t>Apr 10th</t>
  </si>
  <si>
    <t>Apr 29th</t>
  </si>
  <si>
    <t>Jun 24th</t>
  </si>
  <si>
    <t>Jul 22nd</t>
  </si>
  <si>
    <t>Aug 14th</t>
  </si>
  <si>
    <t>Aug 28th</t>
  </si>
  <si>
    <t>Sep 16th</t>
  </si>
  <si>
    <t>Oct 7th</t>
  </si>
  <si>
    <t>Oct 16th</t>
  </si>
  <si>
    <t>Jan 13th</t>
  </si>
  <si>
    <t>Jan 22nd</t>
  </si>
  <si>
    <t>Feb 10th</t>
  </si>
  <si>
    <t>Feb 24th</t>
  </si>
  <si>
    <t>Mar 5th</t>
  </si>
  <si>
    <t>1st Apr</t>
  </si>
  <si>
    <t>7th Apr</t>
  </si>
  <si>
    <t>22nd Apr</t>
  </si>
  <si>
    <t>27th May</t>
  </si>
  <si>
    <t>8th Jun</t>
  </si>
  <si>
    <t>22nd Jun</t>
  </si>
  <si>
    <t>8th Jul</t>
  </si>
  <si>
    <t>29th Jul</t>
  </si>
  <si>
    <t>5th Aug</t>
  </si>
  <si>
    <t>26th Aug</t>
  </si>
  <si>
    <t>2nd Sep</t>
  </si>
  <si>
    <t>30th Sep</t>
  </si>
  <si>
    <t>19th Oct</t>
  </si>
  <si>
    <t>23rd Nov</t>
  </si>
  <si>
    <t>6th Jan</t>
  </si>
  <si>
    <t>24th Feb</t>
  </si>
  <si>
    <t>26th Apr</t>
  </si>
  <si>
    <t>30th June</t>
  </si>
  <si>
    <t>14th July</t>
  </si>
  <si>
    <t>10th Aug</t>
  </si>
  <si>
    <t>1st Sep</t>
  </si>
  <si>
    <t>20th Sep</t>
  </si>
  <si>
    <t>11th Oct</t>
  </si>
  <si>
    <t>20th Oct</t>
  </si>
  <si>
    <t>8th Nov</t>
  </si>
  <si>
    <t>29th Nov</t>
  </si>
  <si>
    <t>8th Dec</t>
  </si>
  <si>
    <t>5th Jan</t>
  </si>
  <si>
    <t>24th Jan</t>
  </si>
  <si>
    <t>3rd Feb</t>
  </si>
  <si>
    <t>28th Feb</t>
  </si>
  <si>
    <t>9th Mar</t>
  </si>
  <si>
    <t>28th Mar</t>
  </si>
  <si>
    <t>1/4</t>
  </si>
  <si>
    <t>21 Apr</t>
  </si>
  <si>
    <t>9 May</t>
  </si>
  <si>
    <t>26 May</t>
  </si>
  <si>
    <t>8 Jun</t>
  </si>
  <si>
    <t>27 Jun</t>
  </si>
  <si>
    <t>6 Jul</t>
  </si>
  <si>
    <t>28/7</t>
  </si>
  <si>
    <t>15/9</t>
  </si>
  <si>
    <t>26/9</t>
  </si>
  <si>
    <t>11/10</t>
  </si>
  <si>
    <t>18/10</t>
  </si>
  <si>
    <t>9/11</t>
  </si>
  <si>
    <t>21/11</t>
  </si>
  <si>
    <t>7/12</t>
  </si>
  <si>
    <t>5/1</t>
  </si>
  <si>
    <t>23/1</t>
  </si>
  <si>
    <t>15/2</t>
  </si>
  <si>
    <t>27/2</t>
  </si>
  <si>
    <t>11/4</t>
  </si>
  <si>
    <t>29/6</t>
  </si>
  <si>
    <t>11/7</t>
  </si>
  <si>
    <t>31/10</t>
  </si>
  <si>
    <t>28/11</t>
  </si>
  <si>
    <t>22/4</t>
  </si>
  <si>
    <t>16/5</t>
  </si>
  <si>
    <t>15/8</t>
  </si>
  <si>
    <t>christophparker@googlemail.com</t>
  </si>
  <si>
    <t>A</t>
  </si>
  <si>
    <t>#01532</t>
  </si>
  <si>
    <t>#01598</t>
  </si>
  <si>
    <t>Friend</t>
  </si>
  <si>
    <t>robert.griffiths30@btinternet.com</t>
  </si>
  <si>
    <t>L</t>
  </si>
  <si>
    <t>#01603</t>
  </si>
  <si>
    <t>helen.sotheran@gmail.com</t>
  </si>
  <si>
    <t>Jan -20</t>
  </si>
  <si>
    <t>#01606</t>
  </si>
  <si>
    <t>#02010</t>
  </si>
  <si>
    <t xml:space="preserve">mark@chalets1066.com </t>
  </si>
  <si>
    <t>Extended Nov 2022</t>
  </si>
  <si>
    <t>#02243</t>
  </si>
  <si>
    <t xml:space="preserve">schampi100@gmail.com </t>
  </si>
  <si>
    <t>Champion</t>
  </si>
  <si>
    <t>07468473735</t>
  </si>
  <si>
    <t>Apr-22</t>
  </si>
  <si>
    <t>#02358</t>
  </si>
  <si>
    <t>johnson.pete@btinternet.com</t>
  </si>
  <si>
    <t>07974350876</t>
  </si>
  <si>
    <t>#02825</t>
  </si>
  <si>
    <t>Jul-24</t>
  </si>
  <si>
    <t>#02908</t>
  </si>
  <si>
    <t xml:space="preserve">cadwitney@gmail.com </t>
  </si>
  <si>
    <t>dunn</t>
  </si>
  <si>
    <t>Finished</t>
  </si>
  <si>
    <t>#02326</t>
  </si>
  <si>
    <t>alistair_willis@yahoo.co.uk</t>
  </si>
  <si>
    <t xml:space="preserve">Alistair </t>
  </si>
  <si>
    <t>Show</t>
  </si>
  <si>
    <t>#02458</t>
  </si>
  <si>
    <t>slates67@icloud.com</t>
  </si>
  <si>
    <t>Slater</t>
  </si>
  <si>
    <t>Mar-23</t>
  </si>
  <si>
    <t>#01882</t>
  </si>
  <si>
    <t xml:space="preserve">peter@hagger.org </t>
  </si>
  <si>
    <t>Hagger</t>
  </si>
  <si>
    <t>07802580314</t>
  </si>
  <si>
    <t>Mar-21</t>
  </si>
  <si>
    <t>#01897</t>
  </si>
  <si>
    <t>s.a.hunt@icloud.com</t>
  </si>
  <si>
    <t>Hunt</t>
  </si>
  <si>
    <t>07766238769</t>
  </si>
  <si>
    <t>#01471</t>
  </si>
  <si>
    <t xml:space="preserve">jl_jordan@icloud.com </t>
  </si>
  <si>
    <t>#00893</t>
  </si>
  <si>
    <t>4 classes</t>
  </si>
  <si>
    <t>#02047</t>
  </si>
  <si>
    <t xml:space="preserve">max@dobres.com </t>
  </si>
  <si>
    <t>Max</t>
  </si>
  <si>
    <t>Dobres</t>
  </si>
  <si>
    <t>#01372</t>
  </si>
  <si>
    <t xml:space="preserve">vincenzo.albano@gmail.com </t>
  </si>
  <si>
    <t>Vincenzo</t>
  </si>
  <si>
    <t>Albano</t>
  </si>
  <si>
    <t>#00924</t>
  </si>
  <si>
    <t>Mid Oct</t>
  </si>
  <si>
    <t>#001149</t>
  </si>
  <si>
    <t>Mar-20</t>
  </si>
  <si>
    <t>#01039</t>
  </si>
  <si>
    <t>Francis</t>
  </si>
  <si>
    <t>#00895</t>
  </si>
  <si>
    <t>#00896</t>
  </si>
  <si>
    <t>pjekirby@btinternet.com</t>
  </si>
  <si>
    <t>Online</t>
  </si>
  <si>
    <t>#00940</t>
  </si>
  <si>
    <t>#01005</t>
  </si>
  <si>
    <t xml:space="preserve">lynne.gavin@virgin.net </t>
  </si>
  <si>
    <t>Lynne</t>
  </si>
  <si>
    <t>Feb 2021</t>
  </si>
  <si>
    <t>#01393</t>
  </si>
  <si>
    <t xml:space="preserve">frank2807@gmail.com </t>
  </si>
  <si>
    <t>Frank</t>
  </si>
  <si>
    <t>#001215</t>
  </si>
  <si>
    <t>diana.saville@icloud.com</t>
  </si>
  <si>
    <t xml:space="preserve">Diana </t>
  </si>
  <si>
    <t>Saville</t>
  </si>
  <si>
    <t>07557551669</t>
  </si>
  <si>
    <t>#00894</t>
  </si>
  <si>
    <t xml:space="preserve">clive.turner@virgin.net </t>
  </si>
  <si>
    <t xml:space="preserve">Clive </t>
  </si>
  <si>
    <t>Turner</t>
  </si>
  <si>
    <t>Matt</t>
  </si>
  <si>
    <t xml:space="preserve"> Battison </t>
  </si>
  <si>
    <t>Count</t>
  </si>
  <si>
    <t>Gross</t>
  </si>
  <si>
    <t>booking admin</t>
  </si>
  <si>
    <t>room</t>
  </si>
  <si>
    <t>time</t>
  </si>
  <si>
    <t>Folders</t>
  </si>
  <si>
    <t>petrol</t>
  </si>
  <si>
    <t>Jim Crabtree</t>
  </si>
  <si>
    <t>#00902</t>
  </si>
  <si>
    <t>robertjsmith@btinternet.com</t>
  </si>
  <si>
    <t>Master Classes</t>
  </si>
  <si>
    <t>Creative Composition</t>
  </si>
  <si>
    <t>#00482</t>
  </si>
  <si>
    <t>mike.h.g@btinternet.com </t>
  </si>
  <si>
    <t xml:space="preserve">Michael </t>
  </si>
  <si>
    <t>Goodwin</t>
  </si>
  <si>
    <t>01217067876</t>
  </si>
  <si>
    <t>B92 7EE</t>
  </si>
  <si>
    <t>112 Kineton Green Road</t>
  </si>
  <si>
    <t>Oiton</t>
  </si>
  <si>
    <t>#00535</t>
  </si>
  <si>
    <t xml:space="preserve">maxinewatts@me.com </t>
  </si>
  <si>
    <t xml:space="preserve">Maxine </t>
  </si>
  <si>
    <t>07833367500</t>
  </si>
  <si>
    <t>CV35 8BU</t>
  </si>
  <si>
    <t>Watchbury Farm, 24a High St,</t>
  </si>
  <si>
    <t>Editing Photos</t>
  </si>
  <si>
    <t>#00449</t>
  </si>
  <si>
    <t>louisanutter@virginmedia.com</t>
  </si>
  <si>
    <t xml:space="preserve">Louisa </t>
  </si>
  <si>
    <t xml:space="preserve">Nutter </t>
  </si>
  <si>
    <t>07968030264</t>
  </si>
  <si>
    <t xml:space="preserve">B90 4SX </t>
  </si>
  <si>
    <t xml:space="preserve">7 Lakeside Drive </t>
  </si>
  <si>
    <t>#0555</t>
  </si>
  <si>
    <t xml:space="preserve">uklynnh@gmail.com </t>
  </si>
  <si>
    <t xml:space="preserve">Hughes </t>
  </si>
  <si>
    <t xml:space="preserve">07736 059442 </t>
  </si>
  <si>
    <t xml:space="preserve">CV37 </t>
  </si>
  <si>
    <t xml:space="preserve">131 Loxley Road </t>
  </si>
  <si>
    <t>Bracketing and Filters</t>
  </si>
  <si>
    <t>Email</t>
  </si>
  <si>
    <t>#00509</t>
  </si>
  <si>
    <t xml:space="preserve">Watkinson </t>
  </si>
  <si>
    <t xml:space="preserve">17 Benton Green Lane </t>
  </si>
  <si>
    <t>#00584</t>
  </si>
  <si>
    <t xml:space="preserve">janet.roberts70@btinternet.com </t>
  </si>
  <si>
    <t>07764625015</t>
  </si>
  <si>
    <t xml:space="preserve">CV7 7RA </t>
  </si>
  <si>
    <t xml:space="preserve">70 Riddings Hill </t>
  </si>
  <si>
    <t>Critique Night</t>
  </si>
  <si>
    <t>#00597</t>
  </si>
  <si>
    <t>vytesh@gmail.com</t>
  </si>
  <si>
    <t xml:space="preserve">Pavan </t>
  </si>
  <si>
    <t>07494780451</t>
  </si>
  <si>
    <t>CV3 2EZ</t>
  </si>
  <si>
    <t>12 Cypress Croft</t>
  </si>
  <si>
    <t>Landscape Photography</t>
  </si>
  <si>
    <t>#00547</t>
  </si>
  <si>
    <t xml:space="preserve">Jamie </t>
  </si>
  <si>
    <t xml:space="preserve">Beardmore </t>
  </si>
  <si>
    <t>07930919369</t>
  </si>
  <si>
    <t xml:space="preserve">CV1 4DE </t>
  </si>
  <si>
    <t xml:space="preserve">32 Middleborough </t>
  </si>
  <si>
    <t>Pick n Mix</t>
  </si>
  <si>
    <t>07801388996</t>
  </si>
  <si>
    <t>cv8 2bh</t>
  </si>
  <si>
    <t>148</t>
  </si>
  <si>
    <t>kenilworth</t>
  </si>
  <si>
    <t>suewalkland@gmail.com</t>
  </si>
  <si>
    <t>Portrait Masterclass</t>
  </si>
  <si>
    <t>#00546</t>
  </si>
  <si>
    <t>07971330910</t>
  </si>
  <si>
    <t>Cv21 2hq</t>
  </si>
  <si>
    <t>91</t>
  </si>
  <si>
    <t>Nikon d7200</t>
  </si>
  <si>
    <t>studio@sublime-creative.co.uk</t>
  </si>
  <si>
    <t>Parish</t>
  </si>
  <si>
    <t>07968198734</t>
  </si>
  <si>
    <t>CV34 6LB</t>
  </si>
  <si>
    <t>18 Byron Avenue</t>
  </si>
  <si>
    <t>07470403496</t>
  </si>
  <si>
    <t>#00732</t>
  </si>
  <si>
    <t>GL56 9RG</t>
  </si>
  <si>
    <t>#00745</t>
  </si>
  <si>
    <t xml:space="preserve">imlaurab@hotmail.co.uk </t>
  </si>
  <si>
    <t>B28 8LD</t>
  </si>
  <si>
    <t>56 Brooklands Road</t>
  </si>
  <si>
    <t>Photo Critique</t>
  </si>
  <si>
    <t>#00716</t>
  </si>
  <si>
    <t>83</t>
  </si>
  <si>
    <t>CV 35 7 AW</t>
  </si>
  <si>
    <t xml:space="preserve">98 Shrewley Common </t>
  </si>
  <si>
    <t>#00724</t>
  </si>
  <si>
    <t>#00744</t>
  </si>
  <si>
    <t xml:space="preserve">emilie.moslard@gmail.com </t>
  </si>
  <si>
    <t>Moslard</t>
  </si>
  <si>
    <t>07468715220</t>
  </si>
  <si>
    <t>CV32 5XW</t>
  </si>
  <si>
    <t>3 Granville Street</t>
  </si>
  <si>
    <t>Picn N Mix</t>
  </si>
  <si>
    <t>#00788</t>
  </si>
  <si>
    <t>#00835</t>
  </si>
  <si>
    <t xml:space="preserve"> Jordan</t>
  </si>
  <si>
    <t>07909684226</t>
  </si>
  <si>
    <t>CV35 9LH</t>
  </si>
  <si>
    <t>8 Staple Hill House</t>
  </si>
  <si>
    <t>Wellsbourne</t>
  </si>
  <si>
    <t xml:space="preserve">harriet.bowley@hotmail.co.uk </t>
  </si>
  <si>
    <t>07825953725</t>
  </si>
  <si>
    <t>CV32 5AQ</t>
  </si>
  <si>
    <t>49 Grove Street</t>
  </si>
  <si>
    <t>#00885</t>
  </si>
  <si>
    <t>derekrobbins@sky.com</t>
  </si>
  <si>
    <t>Robbins</t>
  </si>
  <si>
    <t>07971480724</t>
  </si>
  <si>
    <t>B91 2BU</t>
  </si>
  <si>
    <t>49 Beauchamp Road</t>
  </si>
  <si>
    <t>#00854</t>
  </si>
  <si>
    <t xml:space="preserve">jackirosin@gmail.com </t>
  </si>
  <si>
    <t>07790819935</t>
  </si>
  <si>
    <t>cv7 7az</t>
  </si>
  <si>
    <t>4 The Moat</t>
  </si>
  <si>
    <t>#00855</t>
  </si>
  <si>
    <t>judy.longthorn@gmail.com</t>
  </si>
  <si>
    <t>Judith</t>
  </si>
  <si>
    <t>Longthorn</t>
  </si>
  <si>
    <t>07722328724</t>
  </si>
  <si>
    <t>CV22 6LA</t>
  </si>
  <si>
    <t>54 Cymbeline Way</t>
  </si>
  <si>
    <t>07939441419</t>
  </si>
  <si>
    <t>Critique Class</t>
  </si>
  <si>
    <t>#00825</t>
  </si>
  <si>
    <t xml:space="preserve">mark4harrison@gmail.com </t>
  </si>
  <si>
    <t>CV5 6NS</t>
  </si>
  <si>
    <t>39 Broadway</t>
  </si>
  <si>
    <t>#00849</t>
  </si>
  <si>
    <t xml:space="preserve">joyceejames@me.com </t>
  </si>
  <si>
    <t>4 Archers Spinney,</t>
  </si>
  <si>
    <t>Watts Lane, Hillmorton</t>
  </si>
  <si>
    <t>#00956</t>
  </si>
  <si>
    <t>Bracketing &amp; Filters Master Class</t>
  </si>
  <si>
    <t>#01128</t>
  </si>
  <si>
    <t xml:space="preserve">johngrant.rr@gmail.com </t>
  </si>
  <si>
    <t>07969444960</t>
  </si>
  <si>
    <t>CV6 6JT</t>
  </si>
  <si>
    <t>20 Pembury Avenue</t>
  </si>
  <si>
    <t>#01134</t>
  </si>
  <si>
    <t xml:space="preserve">pennysimpson@virginmedia.com </t>
  </si>
  <si>
    <t xml:space="preserve">Penny </t>
  </si>
  <si>
    <t>07808122706</t>
  </si>
  <si>
    <t>CV3 6HP</t>
  </si>
  <si>
    <t>28 Asthill Grove</t>
  </si>
  <si>
    <t>#01100</t>
  </si>
  <si>
    <t>Masterclass TBA</t>
  </si>
  <si>
    <t>Lightroom Organisation</t>
  </si>
  <si>
    <t>Choosing and setting up your DSLR</t>
  </si>
  <si>
    <t>#00643</t>
  </si>
  <si>
    <t xml:space="preserve">rebecca.sackley@gmail.com </t>
  </si>
  <si>
    <t>07795263630</t>
  </si>
  <si>
    <t>B91 2ty</t>
  </si>
  <si>
    <t>58 middlewood close</t>
  </si>
  <si>
    <t>balance</t>
  </si>
  <si>
    <t>Emergency Contact Name</t>
  </si>
  <si>
    <t>Emergency Contact Number</t>
  </si>
  <si>
    <t>#01106</t>
  </si>
  <si>
    <t>m.s.clark@open.ac.uk</t>
  </si>
  <si>
    <t xml:space="preserve">Madeleine </t>
  </si>
  <si>
    <t>Clark</t>
  </si>
  <si>
    <t>07534347894</t>
  </si>
  <si>
    <t>CV8 3DA</t>
  </si>
  <si>
    <t>8 The Bank</t>
  </si>
  <si>
    <t>Stoneleigh</t>
  </si>
  <si>
    <t>CV37 7PY</t>
  </si>
  <si>
    <t>9 Ashley Court</t>
  </si>
  <si>
    <t>Shipston Road, Stratford upon Avon</t>
  </si>
  <si>
    <t>#00810</t>
  </si>
  <si>
    <t>#00901</t>
  </si>
  <si>
    <t>rwardle3@jaguarlandrover.com</t>
  </si>
  <si>
    <t>Wardle</t>
  </si>
  <si>
    <t>07469 038982</t>
  </si>
  <si>
    <t>event_text</t>
  </si>
  <si>
    <t>canonical_product</t>
  </si>
  <si>
    <t>landing_page_url</t>
  </si>
  <si>
    <t>Abstract and Macro Photography Workshop Warw</t>
  </si>
  <si>
    <t>BLUEBELL WOODLANDS</t>
  </si>
  <si>
    <t>BURNHAM ON SEA</t>
  </si>
  <si>
    <t>Batsford Arboretum 1-Day Autumn Photography</t>
  </si>
  <si>
    <t>Batsford Arboretum Autumn Half-Day Photograp</t>
  </si>
  <si>
    <t>CHESTERTON WINDMILL</t>
  </si>
  <si>
    <t>Evening Urban Architecture Photography Works</t>
  </si>
  <si>
    <t>Fairy Glen Betws-y-Coed Photography Workshop</t>
  </si>
  <si>
    <t>Garden Photography Workshop - Private Garden</t>
  </si>
  <si>
    <t>KENILWORTH Sunset</t>
  </si>
  <si>
    <t>LAVENDER FIELD Photography</t>
  </si>
  <si>
    <t>Lavender Photography Workshop Gloucestershir</t>
  </si>
  <si>
    <t>Long Exposure Photography Workshop - Burnham</t>
  </si>
  <si>
    <t>Long Exposure Photography Workshop - Sunset</t>
  </si>
  <si>
    <t>Peak District Photography Workshops - Heathe</t>
  </si>
  <si>
    <t>Peak District Photography Workshops Padley G</t>
  </si>
  <si>
    <t>Sezincote Garden Photography - Mughal palace</t>
  </si>
  <si>
    <t>Sunset Photographic Workshop - Chesterton Wi</t>
  </si>
  <si>
    <t>The Secrets of Woodland Photography - 1-Day</t>
  </si>
  <si>
    <t>WALES Photography Workshop</t>
  </si>
  <si>
    <t>Zoom Package 8 x 1hr</t>
  </si>
  <si>
    <t>#02 Top 10 Tips - To make a photograph | Professional Tips</t>
  </si>
  <si>
    <t>#04 Top 10 Tips - To better composition | Professional Tips</t>
  </si>
  <si>
    <t>#05 Top 10 Tips - To better portraits | Professional Tips</t>
  </si>
  <si>
    <t>#06 Top 10 Tips - To better landscapes | Professional Tips</t>
  </si>
  <si>
    <t>#07 Top 10 Tips - To better Black and white photos</t>
  </si>
  <si>
    <t>10 Composition PDFs — Photography Field Checklists Bundle</t>
  </si>
  <si>
    <t>10 Genre PDFs — Photography Field Checklists Bundle</t>
  </si>
  <si>
    <t>15 Camera Settings — Photography Field Checklists PDF Bundle</t>
  </si>
  <si>
    <t>35 PDFs — 1 Page Photography Field Checklists Bundle</t>
  </si>
  <si>
    <t>4 x 2hr Private Photography Classes - Face to Face Coventry</t>
  </si>
  <si>
    <t>A3 Mounted Fine Art Print - Unframed | Professional</t>
  </si>
  <si>
    <t>Alan Ranger Academy - Photography Foundation Course eBook</t>
  </si>
  <si>
    <t>Annual Pick N Mix Subscription | Interest Free Payment Plan</t>
  </si>
  <si>
    <t>Beginners Photography Classes - Coventry - Get Off Auto</t>
  </si>
  <si>
    <t>Beginners Portrait Photography Course - Coventry - 1 Day</t>
  </si>
  <si>
    <t>Brandon Marsh Photography Workshop | Nature Reserve Coventry</t>
  </si>
  <si>
    <t>Calendar 2022 - UK Landscape Images from Alan Ranger</t>
  </si>
  <si>
    <t>DARTMOOR Photography Workshop - Landscapes - 9th - 11th Oct</t>
  </si>
  <si>
    <t>EXMOOR Photography Workshop - Sat 18 - Sun 19 Jul 2026</t>
  </si>
  <si>
    <t>Fine Art Photography Prints - Canvas wrap-round - Multi Size</t>
  </si>
  <si>
    <t>Fine Art Photography Prints - Unframed Prints - Multi Sizes</t>
  </si>
  <si>
    <t>Fireworks Photography Workshop | Long Exposure | Kenilworth</t>
  </si>
  <si>
    <t>Foundation Digital Pack – 60 Modules, Checklists &amp; Exams</t>
  </si>
  <si>
    <t>Framed Fine Art Photography Prints - Multiple Sizes</t>
  </si>
  <si>
    <t>Intermediates Intentions Photography Project Course</t>
  </si>
  <si>
    <t>Intermediates Lightroom Photo Editing Course | Coventry</t>
  </si>
  <si>
    <t>KERRY - Southern Ireland Photography Workshop - Mar 2026</t>
  </si>
  <si>
    <t>Landscape Photography Workshop Glencoe | 15 - 17 Mar 2021</t>
  </si>
  <si>
    <t>Monthly Online Photography Mentoring for 1 Year - Zoom</t>
  </si>
  <si>
    <t>Monthly Photography Mentoring Sessions - Online - Zoom</t>
  </si>
  <si>
    <t>Monthly Pick N Mix Subscription | Interest Free Payment Plan</t>
  </si>
  <si>
    <t>NANT MILL Woodlands and Waterfalls Photo Workshop 30 May</t>
  </si>
  <si>
    <t>NORTH YORKSHIRE Landscape Photography Workshop - Sep 2026</t>
  </si>
  <si>
    <t>North Cotswolds Landscape Photography Workshop | 1 Day</t>
  </si>
  <si>
    <t>Online Photography Classes 121 - Zoom - Package Options</t>
  </si>
  <si>
    <t>Photo Print Preparation Service 30-min – File Check &amp; Advice</t>
  </si>
  <si>
    <t>Photography Gift Vouchers | Digital eCard | Email Delivery</t>
  </si>
  <si>
    <t>Photography Masterclasses-Learn and improve your photography</t>
  </si>
  <si>
    <t>Photography Tips Pocket Guides - Professional Tips</t>
  </si>
  <si>
    <t>Professional Black and White Photography Course | Coventry</t>
  </si>
  <si>
    <t>Professional Digital DSLR Camera Sensor Clean | Coventry</t>
  </si>
  <si>
    <t>Quarterly Pick N Mix Subscription | Interest Free Payments</t>
  </si>
  <si>
    <t>RPS Courses - Independent RPS Mentoring for RPS Distinctions</t>
  </si>
  <si>
    <t>SOMERSET Landscape Photography Workshops 9 - 11 May 2025</t>
  </si>
  <si>
    <t>SUFFOLK Landscape Photography Workshops - 5th-7th Feb</t>
  </si>
  <si>
    <t>Shropshire Landscape Photography Workshop | Shrewsbury</t>
  </si>
  <si>
    <t>Viewing Frames for Composition | Used by Professionals</t>
  </si>
  <si>
    <t>WARWICKSHIRE Woodland PHOTOGRAPHY WALKS - Monthly - 2hrs</t>
  </si>
  <si>
    <t>07961178566</t>
  </si>
  <si>
    <t>Dean Le Page</t>
  </si>
  <si>
    <t>Exmoor</t>
  </si>
  <si>
    <t>https://www.alanranger.com/photography-workshops-near-me</t>
  </si>
  <si>
    <t>Housing Element UC</t>
  </si>
  <si>
    <t>Left Over For Going Out</t>
  </si>
  <si>
    <t>Mon- Fri 9am-5pm 1 x 1hr</t>
  </si>
  <si>
    <t>Mon- Fri 9am-5pm 4 x 1hr</t>
  </si>
  <si>
    <t>Mon- Fri 9am-5pm 6 x 1hr</t>
  </si>
  <si>
    <t>Mon- Fri 9am-5pm 12 x 1hr</t>
  </si>
  <si>
    <t>Mon- Fri 9am-5pm  8x 1hr</t>
  </si>
  <si>
    <t>Mon- Sun 9am-9pm 1 x 1hr</t>
  </si>
  <si>
    <t>Mon- Sun 9am-9pm 4 x 1hr</t>
  </si>
  <si>
    <t>Mon- Sun 9am-9pm 6 x 1hr</t>
  </si>
  <si>
    <t>Mon- Sun 9am-9pm 8 x 1hr</t>
  </si>
  <si>
    <t>Mon- Sun 9am-9pm 12 x 1hr</t>
  </si>
  <si>
    <t>Ana Peiro</t>
  </si>
  <si>
    <t>Alfie Archer</t>
  </si>
  <si>
    <t>#03282</t>
  </si>
  <si>
    <t xml:space="preserve">mr </t>
  </si>
  <si>
    <t>ad.archer7@gmail.com</t>
  </si>
  <si>
    <t>07548977696</t>
  </si>
  <si>
    <t>Exmoor Workshop</t>
  </si>
  <si>
    <t>#03279</t>
  </si>
  <si>
    <t>2512121229</t>
  </si>
  <si>
    <t>Simon Moore</t>
  </si>
  <si>
    <t>Kenilworth Long Exposure</t>
  </si>
  <si>
    <t>SCDHM7@GMAIL.COM</t>
  </si>
  <si>
    <t>07568481271</t>
  </si>
  <si>
    <t>Kenilowrth (1 Sep but actully 27 mar 2027)</t>
  </si>
  <si>
    <t>Saffron Fowler</t>
  </si>
  <si>
    <t>Academy Sign up</t>
  </si>
  <si>
    <t>Tonfotos</t>
  </si>
  <si>
    <t>Backlink</t>
  </si>
  <si>
    <t>IIY#2765793631871UMU</t>
  </si>
  <si>
    <t>Brendan De Villiers</t>
  </si>
  <si>
    <t>bdevilli@jaguarlandrover.com</t>
  </si>
  <si>
    <t>IIY#2945328161871DNI</t>
  </si>
  <si>
    <t>Hayley Read</t>
  </si>
  <si>
    <t>hread@jaguarlandrover.com</t>
  </si>
  <si>
    <t>IIY#3101188161871Jz0</t>
  </si>
  <si>
    <t>Jason Read</t>
  </si>
  <si>
    <t>jread1@jaguarlandrover.com</t>
  </si>
  <si>
    <t>07909582404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</si>
</sst>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_-[$£-809]* #,##0.00_-;\-[$£-809]* #,##0.00_-;_-[$£-809]* &quot;-&quot;??_-;_-@_-"/>
    <numFmt numFmtId="165" formatCode="_-* #,##0_-;\-* #,##0_-;_-* &quot;-&quot;??_-;_-@_-"/>
    <numFmt numFmtId="166" formatCode="d\-mmm\-yy"/>
    <numFmt numFmtId="167" formatCode="_-* #,##0.0_-;\-* #,##0.0_-;_-* &quot;-&quot;??_-;_-@_-"/>
    <numFmt numFmtId="168" formatCode="dd\-mmm\-ddd"/>
    <numFmt numFmtId="169" formatCode="[$-F800]dddd\,\ mmmm\ dd\,\ yyyy"/>
    <numFmt numFmtId="170" formatCode="d\-mmm"/>
    <numFmt numFmtId="171" formatCode="ddd\-dd\-mmm\-yy"/>
    <numFmt numFmtId="172" formatCode="m\-d"/>
    <numFmt numFmtId="173" formatCode="_-[$£-809]* #,##0_-;\-[$£-809]* #,##0_-;_-[$£-809]* &quot;-&quot;??_-;_-@_-"/>
    <numFmt numFmtId="174" formatCode="ddd\,\ mmmm\ dd\,\ yyyy"/>
    <numFmt numFmtId="175" formatCode="ddd\,\ mmm\ dd"/>
    <numFmt numFmtId="176" formatCode="mm\-yy"/>
    <numFmt numFmtId="177" formatCode="dd/mmm"/>
    <numFmt numFmtId="178" formatCode="ddd\-dd"/>
    <numFmt numFmtId="179" formatCode="_-* #,##0.000_-;\-* #,##0.000_-;_-* &quot;-&quot;??_-;_-@_-"/>
    <numFmt numFmtId="180" formatCode="0.0"/>
    <numFmt numFmtId="181" formatCode="0.000"/>
    <numFmt numFmtId="182" formatCode="0.0%"/>
    <numFmt numFmtId="183" formatCode="_-&quot;£&quot;* #,##0_-;\-&quot;£&quot;* #,##0_-;_-&quot;£&quot;* &quot;-&quot;??_-;_-@_-"/>
    <numFmt numFmtId="184" formatCode="mmm"/>
    <numFmt numFmtId="185" formatCode="_-[$£-809]* #,##0.0_-;\-[$£-809]* #,##0.0_-;_-[$£-809]* &quot;-&quot;??_-;_-@_-"/>
    <numFmt numFmtId="186" formatCode="[$-F400]h:mm:ss\ AM/PM"/>
    <numFmt numFmtId="187" formatCode="dd/mm/yyyy\ \-\ ddd"/>
    <numFmt numFmtId="188" formatCode="dd\-mmm\-yyyy"/>
  </numFmts>
  <fonts count="163" x14ac:knownFonts="1">
    <font>
      <sz val="10"/>
      <name val="Arial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theme="1"/>
      <name val="Calibri"/>
      <family val="2"/>
      <scheme val="minor"/>
    </font>
    <font>
      <sz val="10"/>
      <name val="BrownLight"/>
    </font>
    <font>
      <b/>
      <sz val="10"/>
      <name val="BrownLight"/>
    </font>
    <font>
      <b/>
      <sz val="11"/>
      <name val="BrownLight"/>
    </font>
    <font>
      <sz val="11"/>
      <name val="BrownLight"/>
    </font>
    <font>
      <sz val="11"/>
      <color indexed="53"/>
      <name val="BrownLight"/>
    </font>
    <font>
      <u/>
      <sz val="11"/>
      <color theme="10"/>
      <name val="BrownLight"/>
    </font>
    <font>
      <sz val="11"/>
      <color rgb="FFFF0000"/>
      <name val="BrownLight"/>
    </font>
    <font>
      <sz val="11"/>
      <color theme="1"/>
      <name val="BrownLight"/>
    </font>
    <font>
      <sz val="10"/>
      <color theme="1"/>
      <name val="BrownLight"/>
    </font>
    <font>
      <sz val="12"/>
      <name val="BrownLight"/>
    </font>
    <font>
      <b/>
      <sz val="12"/>
      <name val="BrownLight"/>
    </font>
    <font>
      <sz val="12"/>
      <color theme="1"/>
      <name val="BrownLight"/>
    </font>
    <font>
      <i/>
      <sz val="9"/>
      <color indexed="55"/>
      <name val="BrownLight"/>
    </font>
    <font>
      <u/>
      <sz val="10"/>
      <color theme="10"/>
      <name val="BrownLight"/>
    </font>
    <font>
      <u/>
      <sz val="10"/>
      <color indexed="12"/>
      <name val="BrownLight"/>
    </font>
    <font>
      <sz val="10"/>
      <color rgb="FFFF0000"/>
      <name val="BrownLight"/>
    </font>
    <font>
      <sz val="12"/>
      <color rgb="FFFF0000"/>
      <name val="BrownLight"/>
    </font>
    <font>
      <u/>
      <sz val="12"/>
      <color theme="10"/>
      <name val="BrownLight"/>
    </font>
    <font>
      <b/>
      <sz val="12"/>
      <color theme="1"/>
      <name val="BrownLight"/>
    </font>
    <font>
      <b/>
      <sz val="10"/>
      <color rgb="FF7030A0"/>
      <name val="BrownLight"/>
    </font>
    <font>
      <i/>
      <u/>
      <sz val="10"/>
      <color indexed="55"/>
      <name val="BrownLight"/>
    </font>
    <font>
      <i/>
      <sz val="11"/>
      <color indexed="55"/>
      <name val="BrownLight"/>
    </font>
    <font>
      <i/>
      <u/>
      <sz val="11"/>
      <color indexed="55"/>
      <name val="BrownLight"/>
    </font>
    <font>
      <b/>
      <sz val="11"/>
      <color rgb="FFFF0000"/>
      <name val="BrownLight"/>
    </font>
    <font>
      <sz val="11"/>
      <color rgb="FF333333"/>
      <name val="BrownLight"/>
    </font>
    <font>
      <sz val="10"/>
      <color theme="1"/>
      <name val="Arial"/>
      <family val="2"/>
    </font>
    <font>
      <b/>
      <sz val="10"/>
      <name val="Arial"/>
      <family val="2"/>
    </font>
    <font>
      <b/>
      <i/>
      <sz val="9"/>
      <color theme="1"/>
      <name val="BrownLight"/>
    </font>
    <font>
      <sz val="11"/>
      <name val="Calibri"/>
      <family val="2"/>
    </font>
    <font>
      <sz val="12"/>
      <name val="Times New Roman"/>
      <family val="1"/>
    </font>
    <font>
      <b/>
      <sz val="10"/>
      <color theme="1"/>
      <name val="Arial"/>
      <family val="2"/>
    </font>
    <font>
      <b/>
      <sz val="11"/>
      <color theme="1"/>
      <name val="BrownLight"/>
    </font>
    <font>
      <strike/>
      <sz val="12"/>
      <color theme="1"/>
      <name val="Cambria"/>
      <family val="1"/>
    </font>
    <font>
      <strike/>
      <sz val="12"/>
      <name val="Cambria"/>
      <family val="1"/>
    </font>
    <font>
      <strike/>
      <u/>
      <sz val="10"/>
      <color theme="10"/>
      <name val="Cambria"/>
      <family val="1"/>
    </font>
    <font>
      <sz val="22"/>
      <color indexed="53"/>
      <name val="BrownLight"/>
    </font>
    <font>
      <sz val="8.5"/>
      <color rgb="FF3E3E3E"/>
      <name val="Arial"/>
      <family val="2"/>
    </font>
    <font>
      <strike/>
      <sz val="12"/>
      <color theme="1"/>
      <name val="BrownLight"/>
    </font>
    <font>
      <strike/>
      <sz val="12"/>
      <name val="BrownLight"/>
    </font>
    <font>
      <b/>
      <sz val="10"/>
      <color rgb="FFFF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u/>
      <sz val="10"/>
      <color theme="10"/>
      <name val="Arial"/>
      <family val="2"/>
    </font>
    <font>
      <u/>
      <sz val="11"/>
      <color theme="10"/>
      <name val="BrownLight"/>
    </font>
    <font>
      <sz val="10"/>
      <name val="BrownLight"/>
    </font>
    <font>
      <sz val="10"/>
      <color rgb="FFFF0000"/>
      <name val="BrownLight"/>
    </font>
    <font>
      <sz val="10"/>
      <color theme="1"/>
      <name val="Arial"/>
      <family val="2"/>
    </font>
    <font>
      <strike/>
      <sz val="10"/>
      <color theme="1"/>
      <name val="Arial"/>
      <family val="2"/>
    </font>
    <font>
      <sz val="11"/>
      <name val="BrownLight"/>
    </font>
    <font>
      <sz val="12"/>
      <color theme="1"/>
      <name val="BrownLight"/>
    </font>
    <font>
      <sz val="10"/>
      <color rgb="FF00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BrownLight"/>
    </font>
    <font>
      <sz val="24"/>
      <color indexed="53"/>
      <name val="BrownLight"/>
    </font>
    <font>
      <sz val="48"/>
      <color indexed="53"/>
      <name val="BrownLight"/>
    </font>
    <font>
      <b/>
      <sz val="10"/>
      <name val="BrownLight"/>
    </font>
    <font>
      <i/>
      <sz val="9"/>
      <color indexed="55"/>
      <name val="BrownLight"/>
    </font>
    <font>
      <i/>
      <u/>
      <sz val="9"/>
      <color indexed="55"/>
      <name val="BrownLight"/>
    </font>
    <font>
      <b/>
      <sz val="12"/>
      <name val="BrownLight"/>
    </font>
    <font>
      <sz val="12"/>
      <name val="BrownLight"/>
    </font>
    <font>
      <u/>
      <sz val="10"/>
      <color theme="10"/>
      <name val="Arial"/>
      <family val="2"/>
    </font>
    <font>
      <u/>
      <sz val="12"/>
      <color theme="10"/>
      <name val="BrownLight"/>
    </font>
    <font>
      <sz val="11"/>
      <name val="BrownLight"/>
    </font>
    <font>
      <sz val="8.5"/>
      <color rgb="FF000000"/>
      <name val="Times New Roman"/>
      <family val="1"/>
    </font>
    <font>
      <sz val="11"/>
      <color theme="1"/>
      <name val="BrownLight"/>
    </font>
    <font>
      <sz val="10"/>
      <name val="Arial"/>
      <family val="2"/>
    </font>
    <font>
      <sz val="12"/>
      <color theme="1"/>
      <name val="BrownLight"/>
    </font>
    <font>
      <sz val="12"/>
      <name val="BrownLight"/>
    </font>
    <font>
      <u/>
      <sz val="10"/>
      <color rgb="FFFF0000"/>
      <name val="Arial"/>
      <family val="2"/>
    </font>
    <font>
      <sz val="11"/>
      <name val="BrownLight"/>
    </font>
    <font>
      <sz val="11"/>
      <color indexed="53"/>
      <name val="BrownLight"/>
    </font>
    <font>
      <b/>
      <sz val="11"/>
      <name val="BrownLight"/>
    </font>
    <font>
      <i/>
      <sz val="12"/>
      <color indexed="55"/>
      <name val="BrownLight"/>
    </font>
    <font>
      <i/>
      <u/>
      <sz val="12"/>
      <color indexed="55"/>
      <name val="BrownLight"/>
    </font>
    <font>
      <i/>
      <sz val="11"/>
      <color indexed="55"/>
      <name val="BrownLight"/>
    </font>
    <font>
      <b/>
      <sz val="12"/>
      <name val="BrownLight"/>
    </font>
    <font>
      <sz val="12"/>
      <name val="BrownLight"/>
    </font>
    <font>
      <u/>
      <sz val="12"/>
      <color theme="10"/>
      <name val="Arial"/>
      <family val="2"/>
    </font>
    <font>
      <sz val="12"/>
      <color rgb="FFFF0000"/>
      <name val="BrownLight"/>
    </font>
    <font>
      <sz val="10"/>
      <name val="Arial"/>
      <family val="2"/>
    </font>
    <font>
      <u/>
      <sz val="10"/>
      <color theme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1"/>
      <color rgb="FF9900CC"/>
      <name val="BrownLight"/>
    </font>
    <font>
      <sz val="10"/>
      <color rgb="FF7030A0"/>
      <name val="Arial"/>
      <family val="2"/>
    </font>
    <font>
      <sz val="10"/>
      <color rgb="FF9900CC"/>
      <name val="Arial"/>
      <family val="2"/>
    </font>
    <font>
      <sz val="10"/>
      <color theme="1"/>
      <name val="Arial"/>
      <family val="2"/>
    </font>
    <font>
      <b/>
      <sz val="9"/>
      <name val="Arial"/>
      <family val="2"/>
    </font>
    <font>
      <b/>
      <sz val="12"/>
      <color rgb="FF00B050"/>
      <name val="BrownLight"/>
    </font>
    <font>
      <b/>
      <sz val="11"/>
      <color rgb="FF00B050"/>
      <name val="BrownLight"/>
    </font>
    <font>
      <b/>
      <sz val="10"/>
      <color rgb="FF00B050"/>
      <name val="Arial"/>
      <family val="2"/>
    </font>
    <font>
      <b/>
      <sz val="12"/>
      <color rgb="FF9900CC"/>
      <name val="BrownLight"/>
    </font>
    <font>
      <b/>
      <sz val="11"/>
      <color rgb="FF7030A0"/>
      <name val="BrownLight"/>
    </font>
    <font>
      <b/>
      <sz val="12"/>
      <color rgb="FF00B0F0"/>
      <name val="BrownLight"/>
    </font>
    <font>
      <b/>
      <sz val="11"/>
      <color rgb="FF00B0F0"/>
      <name val="BrownLight"/>
    </font>
    <font>
      <sz val="10"/>
      <color rgb="FF00B050"/>
      <name val="Arial"/>
      <family val="2"/>
    </font>
    <font>
      <sz val="11"/>
      <color rgb="FF00B050"/>
      <name val="BrownLight"/>
    </font>
    <font>
      <b/>
      <sz val="10"/>
      <color rgb="FF7030A0"/>
      <name val="Arial"/>
      <family val="2"/>
    </font>
    <font>
      <b/>
      <sz val="10"/>
      <color rgb="FF000000"/>
      <name val="Arial"/>
      <family val="2"/>
    </font>
    <font>
      <sz val="11"/>
      <color theme="1"/>
      <name val="BrownLight"/>
    </font>
    <font>
      <sz val="11"/>
      <name val="BrownLight"/>
    </font>
    <font>
      <b/>
      <sz val="11"/>
      <name val="BrownLight"/>
    </font>
    <font>
      <sz val="12"/>
      <name val="BrownLight"/>
    </font>
    <font>
      <b/>
      <sz val="12"/>
      <name val="BrownLight"/>
    </font>
    <font>
      <u/>
      <sz val="12"/>
      <color theme="10"/>
      <name val="BrownLight"/>
    </font>
    <font>
      <sz val="12"/>
      <color rgb="FFFF0000"/>
      <name val="BrownLight"/>
    </font>
    <font>
      <u/>
      <sz val="10"/>
      <color theme="10"/>
      <name val="Arial"/>
      <family val="2"/>
    </font>
    <font>
      <sz val="12"/>
      <color theme="1"/>
      <name val="BrownLight"/>
    </font>
    <font>
      <b/>
      <sz val="11"/>
      <color theme="1"/>
      <name val="Arial"/>
      <family val="2"/>
    </font>
    <font>
      <sz val="8"/>
      <name val="Arial"/>
      <family val="2"/>
    </font>
    <font>
      <sz val="20"/>
      <color indexed="53"/>
      <name val="BrownLight"/>
    </font>
    <font>
      <b/>
      <sz val="20"/>
      <name val="BrownLight"/>
    </font>
    <font>
      <u/>
      <sz val="10"/>
      <color theme="1"/>
      <name val="Arial"/>
      <family val="2"/>
    </font>
    <font>
      <sz val="11"/>
      <color rgb="FF22AA63"/>
      <name val="BrownLight"/>
    </font>
    <font>
      <sz val="10"/>
      <color rgb="FF22AA63"/>
      <name val="Arial"/>
      <family val="2"/>
    </font>
    <font>
      <b/>
      <sz val="11"/>
      <color rgb="FF9900CC"/>
      <name val="BrownLight"/>
    </font>
    <font>
      <b/>
      <sz val="12"/>
      <name val="Arial"/>
      <family val="2"/>
    </font>
    <font>
      <b/>
      <sz val="14"/>
      <name val="Arial"/>
      <family val="2"/>
    </font>
    <font>
      <b/>
      <i/>
      <sz val="10"/>
      <name val="Arial"/>
      <family val="2"/>
    </font>
    <font>
      <i/>
      <sz val="10"/>
      <color theme="1"/>
      <name val="Arial"/>
      <family val="2"/>
    </font>
    <font>
      <sz val="12"/>
      <color rgb="FF22AA63"/>
      <name val="BrownLight"/>
    </font>
    <font>
      <sz val="10"/>
      <color rgb="FF9C0006"/>
      <name val="Arial"/>
      <family val="2"/>
    </font>
    <font>
      <sz val="12"/>
      <color rgb="FF000000"/>
      <name val="BrownLight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u/>
      <sz val="12"/>
      <color rgb="FFFF0000"/>
      <name val="Arial"/>
      <family val="2"/>
    </font>
    <font>
      <b/>
      <sz val="12"/>
      <color rgb="FFFF0000"/>
      <name val="BrownLight"/>
    </font>
    <font>
      <u/>
      <sz val="12"/>
      <color rgb="FFFF0000"/>
      <name val="BrownLight"/>
    </font>
    <font>
      <i/>
      <sz val="11"/>
      <color rgb="FF9900CC"/>
      <name val="BrownLight"/>
    </font>
    <font>
      <b/>
      <sz val="16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0"/>
      <name val="Arial"/>
      <family val="2"/>
    </font>
    <font>
      <strike/>
      <sz val="11"/>
      <color rgb="FF9900CC"/>
      <name val="Cambria"/>
      <family val="1"/>
    </font>
    <font>
      <strike/>
      <sz val="10"/>
      <name val="Cambria"/>
      <family val="1"/>
    </font>
    <font>
      <b/>
      <strike/>
      <sz val="11"/>
      <color rgb="FF9900CC"/>
      <name val="Cambria"/>
      <family val="1"/>
    </font>
    <font>
      <strike/>
      <sz val="11"/>
      <color rgb="FFFF0000"/>
      <name val="Cambria"/>
      <family val="1"/>
    </font>
    <font>
      <strike/>
      <sz val="11"/>
      <name val="Cambria"/>
      <family val="1"/>
    </font>
    <font>
      <strike/>
      <sz val="10"/>
      <color rgb="FFFF0000"/>
      <name val="Cambria"/>
      <family val="1"/>
    </font>
    <font>
      <b/>
      <strike/>
      <sz val="11"/>
      <color rgb="FFFF0000"/>
      <name val="Cambria"/>
      <family val="1"/>
    </font>
    <font>
      <b/>
      <sz val="10"/>
      <color theme="5" tint="-0.249977111117893"/>
      <name val="Arial"/>
      <family val="2"/>
    </font>
    <font>
      <b/>
      <sz val="12"/>
      <color rgb="FFFF0000"/>
      <name val="Arial"/>
      <family val="2"/>
    </font>
    <font>
      <sz val="12"/>
      <color theme="5"/>
      <name val="BrownLight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mbria"/>
      <family val="1"/>
    </font>
    <font>
      <sz val="10"/>
      <color theme="1"/>
      <name val="Cambria"/>
      <family val="1"/>
    </font>
    <font>
      <sz val="11"/>
      <color rgb="FFFF0000"/>
      <name val="Calibri"/>
      <family val="2"/>
    </font>
    <font>
      <sz val="12"/>
      <color theme="4"/>
      <name val="BrownLight"/>
    </font>
    <font>
      <sz val="12"/>
      <color rgb="FF92D050"/>
      <name val="BrownLight"/>
    </font>
    <font>
      <sz val="11"/>
      <color rgb="FFFF0000"/>
      <name val="Cambria"/>
      <family val="1"/>
    </font>
    <font>
      <sz val="11"/>
      <color theme="1"/>
      <name val="Calibri"/>
      <family val="2"/>
    </font>
    <font>
      <sz val="11"/>
      <color theme="1"/>
      <name val="Cambria"/>
      <family val="1"/>
    </font>
    <font>
      <b/>
      <sz val="10"/>
      <color theme="3"/>
      <name val="Arial"/>
      <family val="2"/>
    </font>
    <font>
      <b/>
      <sz val="10"/>
      <color theme="9" tint="-0.249977111117893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none"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6AF7FA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9F6B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45F19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0E74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theme="6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5EF7B"/>
        <bgColor indexed="64"/>
      </patternFill>
    </fill>
  </fills>
  <borders count="44">
    <border>
      <left/>
      <right/>
      <top/>
      <bottom/>
      <diagonal/>
    </border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/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 style="hair">
        <color indexed="22"/>
      </left>
      <right style="hair">
        <color indexed="22"/>
      </right>
      <top style="hair">
        <color indexed="22"/>
      </top>
      <bottom style="hair">
        <color indexed="22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22"/>
      </left>
      <right/>
      <top style="hair">
        <color indexed="22"/>
      </top>
      <bottom style="hair">
        <color indexed="22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91">
    <xf numFmtId="164" fontId="0" fillId="0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0" fontId="3" fillId="16" borderId="1"/>
    <xf numFmtId="9" fontId="3" fillId="16" borderId="1"/>
    <xf numFmtId="43" fontId="3" fillId="16" borderId="1"/>
    <xf numFmtId="164" fontId="140" fillId="16" borderId="1"/>
    <xf numFmtId="43" fontId="140" fillId="16" borderId="1"/>
    <xf numFmtId="44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164" fontId="114" fillId="16" borderId="1"/>
    <xf numFmtId="44" fontId="3" fillId="16" borderId="1"/>
    <xf numFmtId="43" fontId="3" fillId="16" borderId="1"/>
    <xf numFmtId="9" fontId="140" fillId="16" borderId="1"/>
    <xf numFmtId="164" fontId="140" fillId="16" borderId="1"/>
    <xf numFmtId="0" fontId="140" fillId="16" borderId="1"/>
    <xf numFmtId="164" fontId="114" fillId="0" borderId="1"/>
    <xf numFmtId="0" fontId="55" fillId="16" borderId="1"/>
    <xf numFmtId="9" fontId="140" fillId="0" borderId="1"/>
    <xf numFmtId="43" fontId="140" fillId="0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0" fontId="3" fillId="16" borderId="1"/>
    <xf numFmtId="9" fontId="3" fillId="16" borderId="1"/>
    <xf numFmtId="43" fontId="3" fillId="16" borderId="1"/>
    <xf numFmtId="43" fontId="140" fillId="16" borderId="1"/>
    <xf numFmtId="44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44" fontId="3" fillId="16" borderId="1"/>
    <xf numFmtId="43" fontId="3" fillId="16" borderId="1"/>
    <xf numFmtId="43" fontId="140" fillId="16" borderId="1"/>
    <xf numFmtId="0" fontId="3" fillId="16" borderId="1"/>
    <xf numFmtId="0" fontId="131" fillId="42" borderId="1"/>
    <xf numFmtId="44" fontId="140" fillId="0" borderId="1"/>
    <xf numFmtId="0" fontId="151" fillId="16" borderId="1"/>
  </cellStyleXfs>
  <cellXfs count="1232">
    <xf numFmtId="164" fontId="0" fillId="0" borderId="1" xfId="0"/>
    <xf numFmtId="44" fontId="7" fillId="16" borderId="1" xfId="13" applyFont="1"/>
    <xf numFmtId="164" fontId="17" fillId="16" borderId="1" xfId="39" applyFont="1"/>
    <xf numFmtId="164" fontId="2" fillId="16" borderId="1" xfId="39" applyFont="1"/>
    <xf numFmtId="44" fontId="13" fillId="16" borderId="1" xfId="13" applyFont="1"/>
    <xf numFmtId="164" fontId="21" fillId="16" borderId="1" xfId="39" applyFont="1"/>
    <xf numFmtId="44" fontId="15" fillId="16" borderId="1" xfId="13" applyFont="1"/>
    <xf numFmtId="164" fontId="4" fillId="16" borderId="1" xfId="11" applyFont="1"/>
    <xf numFmtId="165" fontId="4" fillId="16" borderId="1" xfId="12" applyNumberFormat="1" applyFont="1" applyAlignment="1">
      <alignment horizontal="center"/>
    </xf>
    <xf numFmtId="164" fontId="5" fillId="16" borderId="1" xfId="11" applyFont="1" applyAlignment="1">
      <alignment horizontal="left"/>
    </xf>
    <xf numFmtId="164" fontId="4" fillId="16" borderId="1" xfId="11" applyFont="1" applyAlignment="1">
      <alignment vertical="center"/>
    </xf>
    <xf numFmtId="165" fontId="4" fillId="20" borderId="23" xfId="12" applyNumberFormat="1" applyFont="1" applyFill="1" applyBorder="1" applyAlignment="1">
      <alignment horizontal="center" vertical="center"/>
    </xf>
    <xf numFmtId="165" fontId="4" fillId="20" borderId="6" xfId="12" applyNumberFormat="1" applyFont="1" applyFill="1" applyBorder="1" applyAlignment="1">
      <alignment horizontal="center" vertical="center"/>
    </xf>
    <xf numFmtId="165" fontId="4" fillId="16" borderId="6" xfId="12" applyNumberFormat="1" applyFont="1" applyBorder="1" applyAlignment="1">
      <alignment horizontal="center" vertical="center"/>
    </xf>
    <xf numFmtId="164" fontId="5" fillId="5" borderId="5" xfId="11" applyFont="1" applyFill="1" applyBorder="1" applyAlignment="1">
      <alignment horizontal="left"/>
    </xf>
    <xf numFmtId="1" fontId="4" fillId="16" borderId="6" xfId="11" applyNumberFormat="1" applyFont="1" applyBorder="1" applyAlignment="1">
      <alignment horizontal="center" vertical="center"/>
    </xf>
    <xf numFmtId="165" fontId="4" fillId="16" borderId="23" xfId="12" applyNumberFormat="1" applyFont="1" applyBorder="1" applyAlignment="1">
      <alignment horizontal="center" vertical="center"/>
    </xf>
    <xf numFmtId="165" fontId="4" fillId="16" borderId="1" xfId="12" applyNumberFormat="1" applyFont="1" applyAlignment="1">
      <alignment horizontal="center" vertical="center"/>
    </xf>
    <xf numFmtId="165" fontId="4" fillId="14" borderId="6" xfId="12" applyNumberFormat="1" applyFont="1" applyFill="1" applyBorder="1" applyAlignment="1">
      <alignment horizontal="center" vertical="center"/>
    </xf>
    <xf numFmtId="164" fontId="4" fillId="4" borderId="3" xfId="11" applyFont="1" applyFill="1" applyBorder="1" applyAlignment="1">
      <alignment horizontal="left"/>
    </xf>
    <xf numFmtId="164" fontId="5" fillId="5" borderId="3" xfId="11" applyFont="1" applyFill="1" applyBorder="1" applyAlignment="1">
      <alignment horizontal="left"/>
    </xf>
    <xf numFmtId="164" fontId="4" fillId="5" borderId="3" xfId="11" applyFont="1" applyFill="1" applyBorder="1" applyAlignment="1">
      <alignment horizontal="left"/>
    </xf>
    <xf numFmtId="164" fontId="23" fillId="16" borderId="1" xfId="11" applyFont="1" applyAlignment="1">
      <alignment vertical="center"/>
    </xf>
    <xf numFmtId="1" fontId="4" fillId="16" borderId="1" xfId="11" applyNumberFormat="1" applyFont="1" applyAlignment="1">
      <alignment horizontal="center" vertical="center"/>
    </xf>
    <xf numFmtId="14" fontId="4" fillId="16" borderId="1" xfId="11" quotePrefix="1" applyNumberFormat="1" applyFont="1" applyAlignment="1">
      <alignment vertical="center"/>
    </xf>
    <xf numFmtId="164" fontId="5" fillId="5" borderId="4" xfId="11" applyFont="1" applyFill="1" applyBorder="1" applyAlignment="1">
      <alignment horizontal="left"/>
    </xf>
    <xf numFmtId="1" fontId="4" fillId="16" borderId="1" xfId="11" applyNumberFormat="1" applyFont="1" applyAlignment="1">
      <alignment horizontal="center"/>
    </xf>
    <xf numFmtId="1" fontId="4" fillId="16" borderId="23" xfId="11" applyNumberFormat="1" applyFont="1" applyBorder="1" applyAlignment="1">
      <alignment horizontal="center" vertical="center"/>
    </xf>
    <xf numFmtId="164" fontId="19" fillId="16" borderId="1" xfId="11" applyFont="1"/>
    <xf numFmtId="164" fontId="12" fillId="16" borderId="1" xfId="11" applyFont="1"/>
    <xf numFmtId="165" fontId="5" fillId="3" borderId="24" xfId="12" applyNumberFormat="1" applyFont="1" applyFill="1" applyBorder="1" applyAlignment="1">
      <alignment horizontal="center"/>
    </xf>
    <xf numFmtId="165" fontId="5" fillId="3" borderId="17" xfId="12" applyNumberFormat="1" applyFont="1" applyFill="1" applyBorder="1" applyAlignment="1">
      <alignment horizontal="center"/>
    </xf>
    <xf numFmtId="165" fontId="5" fillId="2" borderId="17" xfId="12" applyNumberFormat="1" applyFont="1" applyFill="1" applyBorder="1" applyAlignment="1">
      <alignment horizontal="center"/>
    </xf>
    <xf numFmtId="164" fontId="5" fillId="2" borderId="2" xfId="11" quotePrefix="1" applyFont="1" applyFill="1" applyBorder="1" applyAlignment="1">
      <alignment horizontal="left"/>
    </xf>
    <xf numFmtId="165" fontId="5" fillId="3" borderId="18" xfId="12" applyNumberFormat="1" applyFont="1" applyFill="1" applyBorder="1" applyAlignment="1">
      <alignment horizontal="center"/>
    </xf>
    <xf numFmtId="164" fontId="4" fillId="16" borderId="6" xfId="11" applyFont="1" applyBorder="1" applyAlignment="1">
      <alignment vertical="center"/>
    </xf>
    <xf numFmtId="1" fontId="4" fillId="18" borderId="6" xfId="11" applyNumberFormat="1" applyFont="1" applyFill="1" applyBorder="1" applyAlignment="1">
      <alignment horizontal="center" vertical="center"/>
    </xf>
    <xf numFmtId="1" fontId="4" fillId="6" borderId="6" xfId="11" applyNumberFormat="1" applyFont="1" applyFill="1" applyBorder="1" applyAlignment="1">
      <alignment horizontal="center" vertical="center"/>
    </xf>
    <xf numFmtId="1" fontId="4" fillId="24" borderId="6" xfId="11" applyNumberFormat="1" applyFont="1" applyFill="1" applyBorder="1" applyAlignment="1">
      <alignment horizontal="center" vertical="center"/>
    </xf>
    <xf numFmtId="1" fontId="4" fillId="7" borderId="6" xfId="11" applyNumberFormat="1" applyFont="1" applyFill="1" applyBorder="1" applyAlignment="1">
      <alignment horizontal="center" vertical="center"/>
    </xf>
    <xf numFmtId="1" fontId="4" fillId="19" borderId="6" xfId="11" applyNumberFormat="1" applyFont="1" applyFill="1" applyBorder="1" applyAlignment="1">
      <alignment horizontal="center" vertical="center"/>
    </xf>
    <xf numFmtId="1" fontId="4" fillId="13" borderId="6" xfId="11" applyNumberFormat="1" applyFont="1" applyFill="1" applyBorder="1" applyAlignment="1">
      <alignment horizontal="center" vertical="center"/>
    </xf>
    <xf numFmtId="1" fontId="4" fillId="25" borderId="6" xfId="11" applyNumberFormat="1" applyFont="1" applyFill="1" applyBorder="1" applyAlignment="1">
      <alignment horizontal="center" vertical="center"/>
    </xf>
    <xf numFmtId="1" fontId="4" fillId="15" borderId="6" xfId="11" applyNumberFormat="1" applyFont="1" applyFill="1" applyBorder="1" applyAlignment="1">
      <alignment horizontal="center" vertical="center"/>
    </xf>
    <xf numFmtId="1" fontId="4" fillId="23" borderId="6" xfId="11" applyNumberFormat="1" applyFont="1" applyFill="1" applyBorder="1" applyAlignment="1">
      <alignment horizontal="center" vertical="center"/>
    </xf>
    <xf numFmtId="164" fontId="1" fillId="16" borderId="1" xfId="11" applyFont="1"/>
    <xf numFmtId="164" fontId="30" fillId="16" borderId="1" xfId="11" applyFont="1"/>
    <xf numFmtId="166" fontId="7" fillId="16" borderId="1" xfId="11" applyNumberFormat="1" applyFont="1"/>
    <xf numFmtId="164" fontId="1" fillId="16" borderId="1" xfId="11" quotePrefix="1" applyFont="1"/>
    <xf numFmtId="164" fontId="29" fillId="16" borderId="1" xfId="11" applyFont="1"/>
    <xf numFmtId="9" fontId="1" fillId="16" borderId="1" xfId="42" applyFont="1"/>
    <xf numFmtId="165" fontId="1" fillId="16" borderId="1" xfId="12" applyNumberFormat="1" applyFont="1"/>
    <xf numFmtId="44" fontId="0" fillId="16" borderId="1" xfId="13" applyFont="1"/>
    <xf numFmtId="43" fontId="1" fillId="16" borderId="1" xfId="12" applyFont="1"/>
    <xf numFmtId="44" fontId="30" fillId="16" borderId="1" xfId="13" applyFont="1"/>
    <xf numFmtId="165" fontId="0" fillId="16" borderId="1" xfId="12" applyNumberFormat="1" applyFont="1" applyAlignment="1">
      <alignment horizontal="center"/>
    </xf>
    <xf numFmtId="164" fontId="30" fillId="16" borderId="1" xfId="11" applyFont="1" applyAlignment="1">
      <alignment horizontal="center"/>
    </xf>
    <xf numFmtId="43" fontId="0" fillId="16" borderId="1" xfId="12" applyFont="1"/>
    <xf numFmtId="43" fontId="30" fillId="16" borderId="1" xfId="12" applyFont="1"/>
    <xf numFmtId="164" fontId="30" fillId="16" borderId="1" xfId="11" applyFont="1" applyAlignment="1">
      <alignment wrapText="1"/>
    </xf>
    <xf numFmtId="164" fontId="1" fillId="16" borderId="1" xfId="11" applyFont="1" applyAlignment="1">
      <alignment horizontal="center"/>
    </xf>
    <xf numFmtId="167" fontId="1" fillId="16" borderId="1" xfId="12" applyNumberFormat="1" applyFont="1"/>
    <xf numFmtId="43" fontId="30" fillId="16" borderId="15" xfId="12" applyFont="1" applyBorder="1"/>
    <xf numFmtId="44" fontId="1" fillId="16" borderId="1" xfId="13" applyFont="1"/>
    <xf numFmtId="9" fontId="1" fillId="16" borderId="1" xfId="12" applyNumberFormat="1" applyFont="1"/>
    <xf numFmtId="165" fontId="1" fillId="11" borderId="1" xfId="12" applyNumberFormat="1" applyFont="1" applyFill="1"/>
    <xf numFmtId="164" fontId="30" fillId="11" borderId="1" xfId="11" applyFont="1" applyFill="1"/>
    <xf numFmtId="164" fontId="1" fillId="11" borderId="1" xfId="11" applyFont="1" applyFill="1" applyAlignment="1">
      <alignment horizontal="left" indent="3"/>
    </xf>
    <xf numFmtId="43" fontId="1" fillId="11" borderId="1" xfId="12" applyFont="1" applyFill="1"/>
    <xf numFmtId="43" fontId="30" fillId="11" borderId="1" xfId="12" applyFont="1" applyFill="1" applyAlignment="1">
      <alignment horizontal="right"/>
    </xf>
    <xf numFmtId="17" fontId="30" fillId="16" borderId="1" xfId="11" applyNumberFormat="1" applyFont="1"/>
    <xf numFmtId="164" fontId="7" fillId="16" borderId="1" xfId="11" applyFont="1"/>
    <xf numFmtId="164" fontId="7" fillId="16" borderId="1" xfId="11" quotePrefix="1" applyFont="1"/>
    <xf numFmtId="164" fontId="9" fillId="16" borderId="1" xfId="39" applyFont="1"/>
    <xf numFmtId="165" fontId="7" fillId="16" borderId="1" xfId="12" applyNumberFormat="1" applyFont="1" applyAlignment="1">
      <alignment horizontal="left" vertical="center"/>
    </xf>
    <xf numFmtId="165" fontId="7" fillId="16" borderId="1" xfId="12" applyNumberFormat="1" applyFont="1"/>
    <xf numFmtId="168" fontId="15" fillId="16" borderId="1" xfId="11" quotePrefix="1" applyNumberFormat="1" applyFont="1" applyAlignment="1">
      <alignment horizontal="left" vertical="center" wrapText="1"/>
    </xf>
    <xf numFmtId="165" fontId="4" fillId="16" borderId="1" xfId="12" applyNumberFormat="1" applyFont="1"/>
    <xf numFmtId="165" fontId="9" fillId="16" borderId="1" xfId="39" applyNumberFormat="1" applyFont="1"/>
    <xf numFmtId="165" fontId="0" fillId="16" borderId="1" xfId="12" applyNumberFormat="1" applyFont="1"/>
    <xf numFmtId="165" fontId="2" fillId="16" borderId="1" xfId="39" applyNumberFormat="1" applyFont="1"/>
    <xf numFmtId="164" fontId="2" fillId="16" borderId="1" xfId="39" applyFont="1" applyAlignment="1">
      <alignment horizontal="left"/>
    </xf>
    <xf numFmtId="164" fontId="32" fillId="16" borderId="1" xfId="11" applyFont="1" applyAlignment="1">
      <alignment vertical="center"/>
    </xf>
    <xf numFmtId="164" fontId="43" fillId="16" borderId="1" xfId="11" applyFont="1"/>
    <xf numFmtId="164" fontId="13" fillId="16" borderId="1" xfId="11" applyFont="1"/>
    <xf numFmtId="49" fontId="1" fillId="16" borderId="1" xfId="11" applyNumberFormat="1" applyFont="1" applyAlignment="1">
      <alignment horizontal="left"/>
    </xf>
    <xf numFmtId="16" fontId="13" fillId="16" borderId="1" xfId="11" applyNumberFormat="1" applyFont="1"/>
    <xf numFmtId="49" fontId="13" fillId="16" borderId="1" xfId="11" applyNumberFormat="1" applyFont="1" applyAlignment="1">
      <alignment horizontal="left"/>
    </xf>
    <xf numFmtId="49" fontId="13" fillId="16" borderId="1" xfId="11" applyNumberFormat="1" applyFont="1"/>
    <xf numFmtId="44" fontId="13" fillId="16" borderId="15" xfId="13" applyFont="1" applyBorder="1"/>
    <xf numFmtId="49" fontId="13" fillId="16" borderId="15" xfId="11" applyNumberFormat="1" applyFont="1" applyBorder="1" applyAlignment="1">
      <alignment horizontal="left"/>
    </xf>
    <xf numFmtId="168" fontId="15" fillId="16" borderId="1" xfId="11" applyNumberFormat="1" applyFont="1" applyAlignment="1">
      <alignment horizontal="left" vertical="center" wrapText="1"/>
    </xf>
    <xf numFmtId="0" fontId="2" fillId="16" borderId="1" xfId="39" applyNumberFormat="1" applyFont="1" applyAlignment="1">
      <alignment horizontal="left" vertical="center" wrapText="1"/>
    </xf>
    <xf numFmtId="0" fontId="15" fillId="16" borderId="1" xfId="11" applyNumberFormat="1" applyFont="1" applyAlignment="1">
      <alignment horizontal="left" vertical="center" wrapText="1"/>
    </xf>
    <xf numFmtId="0" fontId="15" fillId="16" borderId="1" xfId="11" quotePrefix="1" applyNumberFormat="1" applyFont="1" applyAlignment="1">
      <alignment horizontal="left" vertical="center" wrapText="1"/>
    </xf>
    <xf numFmtId="0" fontId="21" fillId="16" borderId="1" xfId="39" applyNumberFormat="1" applyFont="1" applyAlignment="1">
      <alignment horizontal="left" vertical="center" wrapText="1"/>
    </xf>
    <xf numFmtId="164" fontId="15" fillId="16" borderId="1" xfId="11" applyFont="1"/>
    <xf numFmtId="16" fontId="15" fillId="16" borderId="1" xfId="11" applyNumberFormat="1" applyFont="1"/>
    <xf numFmtId="164" fontId="11" fillId="16" borderId="1" xfId="11" applyFont="1"/>
    <xf numFmtId="16" fontId="13" fillId="16" borderId="14" xfId="11" applyNumberFormat="1" applyFont="1" applyBorder="1"/>
    <xf numFmtId="164" fontId="13" fillId="14" borderId="1" xfId="11" applyFont="1" applyFill="1"/>
    <xf numFmtId="44" fontId="13" fillId="14" borderId="1" xfId="13" applyFont="1" applyFill="1"/>
    <xf numFmtId="16" fontId="14" fillId="14" borderId="14" xfId="11" quotePrefix="1" applyNumberFormat="1" applyFont="1" applyFill="1" applyBorder="1" applyAlignment="1">
      <alignment horizontal="right" vertical="center"/>
    </xf>
    <xf numFmtId="49" fontId="13" fillId="14" borderId="1" xfId="11" applyNumberFormat="1" applyFont="1" applyFill="1" applyAlignment="1">
      <alignment horizontal="left"/>
    </xf>
    <xf numFmtId="49" fontId="13" fillId="14" borderId="1" xfId="11" applyNumberFormat="1" applyFont="1" applyFill="1"/>
    <xf numFmtId="164" fontId="21" fillId="14" borderId="1" xfId="39" applyFont="1" applyFill="1"/>
    <xf numFmtId="164" fontId="14" fillId="9" borderId="8" xfId="11" applyFont="1" applyFill="1" applyBorder="1" applyAlignment="1">
      <alignment vertical="center" wrapText="1"/>
    </xf>
    <xf numFmtId="164" fontId="14" fillId="9" borderId="8" xfId="11" applyFont="1" applyFill="1" applyBorder="1" applyAlignment="1">
      <alignment horizontal="center" vertical="center" wrapText="1"/>
    </xf>
    <xf numFmtId="44" fontId="14" fillId="9" borderId="8" xfId="13" applyFont="1" applyFill="1" applyBorder="1" applyAlignment="1">
      <alignment horizontal="center" vertical="center" wrapText="1"/>
    </xf>
    <xf numFmtId="49" fontId="14" fillId="9" borderId="8" xfId="11" applyNumberFormat="1" applyFont="1" applyFill="1" applyBorder="1" applyAlignment="1">
      <alignment horizontal="left" vertical="center" wrapText="1"/>
    </xf>
    <xf numFmtId="49" fontId="14" fillId="9" borderId="8" xfId="11" applyNumberFormat="1" applyFont="1" applyFill="1" applyBorder="1" applyAlignment="1">
      <alignment vertical="center" wrapText="1"/>
    </xf>
    <xf numFmtId="49" fontId="4" fillId="16" borderId="1" xfId="11" applyNumberFormat="1" applyFont="1"/>
    <xf numFmtId="164" fontId="4" fillId="16" borderId="1" xfId="11" applyFont="1" applyAlignment="1">
      <alignment horizontal="left"/>
    </xf>
    <xf numFmtId="169" fontId="4" fillId="16" borderId="1" xfId="11" applyNumberFormat="1" applyFont="1"/>
    <xf numFmtId="169" fontId="4" fillId="16" borderId="1" xfId="11" applyNumberFormat="1" applyFont="1" applyAlignment="1">
      <alignment horizontal="left"/>
    </xf>
    <xf numFmtId="44" fontId="13" fillId="16" borderId="14" xfId="13" applyFont="1" applyBorder="1"/>
    <xf numFmtId="44" fontId="7" fillId="16" borderId="14" xfId="13" applyFont="1" applyBorder="1"/>
    <xf numFmtId="170" fontId="13" fillId="16" borderId="1" xfId="11" applyNumberFormat="1" applyFont="1"/>
    <xf numFmtId="165" fontId="5" fillId="16" borderId="1" xfId="12" applyNumberFormat="1" applyFont="1" applyAlignment="1">
      <alignment horizontal="left" vertical="center"/>
    </xf>
    <xf numFmtId="165" fontId="5" fillId="16" borderId="14" xfId="12" applyNumberFormat="1" applyFont="1" applyBorder="1" applyAlignment="1">
      <alignment horizontal="right"/>
    </xf>
    <xf numFmtId="169" fontId="13" fillId="16" borderId="1" xfId="11" applyNumberFormat="1" applyFont="1"/>
    <xf numFmtId="169" fontId="13" fillId="16" borderId="1" xfId="11" applyNumberFormat="1" applyFont="1" applyAlignment="1">
      <alignment horizontal="left"/>
    </xf>
    <xf numFmtId="170" fontId="13" fillId="16" borderId="14" xfId="11" applyNumberFormat="1" applyFont="1" applyBorder="1"/>
    <xf numFmtId="164" fontId="4" fillId="16" borderId="14" xfId="11" applyFont="1" applyBorder="1"/>
    <xf numFmtId="164" fontId="4" fillId="16" borderId="1" xfId="11" quotePrefix="1" applyFont="1"/>
    <xf numFmtId="164" fontId="4" fillId="11" borderId="1" xfId="11" applyFont="1" applyFill="1"/>
    <xf numFmtId="44" fontId="20" fillId="16" borderId="14" xfId="13" applyFont="1" applyBorder="1"/>
    <xf numFmtId="164" fontId="13" fillId="16" borderId="1" xfId="11" applyFont="1" applyAlignment="1">
      <alignment horizontal="left"/>
    </xf>
    <xf numFmtId="49" fontId="7" fillId="16" borderId="1" xfId="11" applyNumberFormat="1" applyFont="1"/>
    <xf numFmtId="49" fontId="4" fillId="16" borderId="1" xfId="11" quotePrefix="1" applyNumberFormat="1" applyFont="1"/>
    <xf numFmtId="169" fontId="4" fillId="17" borderId="13" xfId="11" applyNumberFormat="1" applyFont="1" applyFill="1" applyBorder="1"/>
    <xf numFmtId="169" fontId="7" fillId="16" borderId="14" xfId="11" applyNumberFormat="1" applyFont="1" applyBorder="1" applyAlignment="1">
      <alignment horizontal="left"/>
    </xf>
    <xf numFmtId="170" fontId="7" fillId="16" borderId="1" xfId="11" applyNumberFormat="1" applyFont="1"/>
    <xf numFmtId="164" fontId="6" fillId="16" borderId="1" xfId="11" applyFont="1"/>
    <xf numFmtId="165" fontId="5" fillId="16" borderId="1" xfId="12" applyNumberFormat="1" applyFont="1"/>
    <xf numFmtId="164" fontId="16" fillId="16" borderId="1" xfId="11" applyFont="1"/>
    <xf numFmtId="164" fontId="16" fillId="16" borderId="1" xfId="11" applyFont="1" applyAlignment="1">
      <alignment horizontal="center"/>
    </xf>
    <xf numFmtId="164" fontId="7" fillId="16" borderId="1" xfId="11" applyFont="1" applyAlignment="1">
      <alignment horizontal="left"/>
    </xf>
    <xf numFmtId="165" fontId="6" fillId="16" borderId="1" xfId="12" applyNumberFormat="1" applyFont="1"/>
    <xf numFmtId="164" fontId="40" fillId="16" borderId="1" xfId="11" quotePrefix="1" applyFont="1"/>
    <xf numFmtId="44" fontId="14" fillId="16" borderId="1" xfId="13" applyFont="1"/>
    <xf numFmtId="164" fontId="14" fillId="16" borderId="1" xfId="11" applyFont="1"/>
    <xf numFmtId="165" fontId="14" fillId="16" borderId="1" xfId="12" applyNumberFormat="1" applyFont="1"/>
    <xf numFmtId="169" fontId="13" fillId="16" borderId="13" xfId="11" applyNumberFormat="1" applyFont="1" applyBorder="1"/>
    <xf numFmtId="164" fontId="4" fillId="16" borderId="14" xfId="11" applyFont="1" applyBorder="1" applyAlignment="1">
      <alignment horizontal="left"/>
    </xf>
    <xf numFmtId="164" fontId="17" fillId="16" borderId="16" xfId="39" applyFont="1" applyBorder="1"/>
    <xf numFmtId="164" fontId="13" fillId="16" borderId="1" xfId="11" quotePrefix="1" applyFont="1"/>
    <xf numFmtId="49" fontId="13" fillId="16" borderId="1" xfId="11" applyNumberFormat="1" applyFont="1" applyAlignment="1">
      <alignment horizontal="center" vertical="center"/>
    </xf>
    <xf numFmtId="164" fontId="13" fillId="12" borderId="1" xfId="11" applyFont="1" applyFill="1"/>
    <xf numFmtId="164" fontId="7" fillId="16" borderId="14" xfId="11" applyFont="1" applyBorder="1"/>
    <xf numFmtId="164" fontId="4" fillId="12" borderId="1" xfId="11" applyFont="1" applyFill="1"/>
    <xf numFmtId="49" fontId="16" fillId="16" borderId="1" xfId="11" applyNumberFormat="1" applyFont="1"/>
    <xf numFmtId="170" fontId="16" fillId="16" borderId="1" xfId="11" applyNumberFormat="1" applyFont="1"/>
    <xf numFmtId="169" fontId="13" fillId="16" borderId="14" xfId="11" applyNumberFormat="1" applyFont="1" applyBorder="1" applyAlignment="1">
      <alignment horizontal="left"/>
    </xf>
    <xf numFmtId="164" fontId="4" fillId="16" borderId="1" xfId="11" applyFont="1" applyAlignment="1">
      <alignment wrapText="1"/>
    </xf>
    <xf numFmtId="164" fontId="1" fillId="16" borderId="16" xfId="11" applyFont="1" applyBorder="1" applyAlignment="1">
      <alignment wrapText="1"/>
    </xf>
    <xf numFmtId="164" fontId="28" fillId="16" borderId="1" xfId="11" applyFont="1"/>
    <xf numFmtId="165" fontId="5" fillId="12" borderId="1" xfId="12" applyNumberFormat="1" applyFont="1" applyFill="1" applyAlignment="1">
      <alignment horizontal="left" vertical="center"/>
    </xf>
    <xf numFmtId="164" fontId="7" fillId="16" borderId="16" xfId="11" applyFont="1" applyBorder="1" applyAlignment="1">
      <alignment wrapText="1"/>
    </xf>
    <xf numFmtId="164" fontId="7" fillId="16" borderId="16" xfId="11" applyFont="1" applyBorder="1" applyAlignment="1">
      <alignment horizontal="right" wrapText="1"/>
    </xf>
    <xf numFmtId="44" fontId="7" fillId="16" borderId="10" xfId="13" applyFont="1" applyBorder="1"/>
    <xf numFmtId="170" fontId="13" fillId="16" borderId="10" xfId="11" applyNumberFormat="1" applyFont="1" applyBorder="1"/>
    <xf numFmtId="164" fontId="18" fillId="16" borderId="1" xfId="11" applyFont="1"/>
    <xf numFmtId="170" fontId="7" fillId="16" borderId="14" xfId="11" applyNumberFormat="1" applyFont="1" applyBorder="1"/>
    <xf numFmtId="165" fontId="6" fillId="16" borderId="1" xfId="12" applyNumberFormat="1" applyFont="1" applyAlignment="1">
      <alignment horizontal="left" vertical="center"/>
    </xf>
    <xf numFmtId="170" fontId="16" fillId="15" borderId="1" xfId="11" applyNumberFormat="1" applyFont="1" applyFill="1"/>
    <xf numFmtId="169" fontId="7" fillId="16" borderId="1" xfId="11" applyNumberFormat="1" applyFont="1" applyAlignment="1">
      <alignment horizontal="left"/>
    </xf>
    <xf numFmtId="164" fontId="7" fillId="11" borderId="1" xfId="11" applyFont="1" applyFill="1"/>
    <xf numFmtId="49" fontId="7" fillId="16" borderId="1" xfId="11" quotePrefix="1" applyNumberFormat="1" applyFont="1"/>
    <xf numFmtId="2" fontId="7" fillId="16" borderId="1" xfId="12" quotePrefix="1" applyNumberFormat="1" applyFont="1" applyAlignment="1">
      <alignment horizontal="left" vertical="center"/>
    </xf>
    <xf numFmtId="164" fontId="34" fillId="16" borderId="1" xfId="11" applyFont="1"/>
    <xf numFmtId="16" fontId="7" fillId="16" borderId="14" xfId="11" applyNumberFormat="1" applyFont="1" applyBorder="1"/>
    <xf numFmtId="170" fontId="7" fillId="16" borderId="10" xfId="11" applyNumberFormat="1" applyFont="1" applyBorder="1"/>
    <xf numFmtId="164" fontId="27" fillId="16" borderId="1" xfId="11" applyFont="1"/>
    <xf numFmtId="165" fontId="27" fillId="16" borderId="1" xfId="12" applyNumberFormat="1" applyFont="1"/>
    <xf numFmtId="164" fontId="5" fillId="16" borderId="1" xfId="11" applyFont="1"/>
    <xf numFmtId="164" fontId="7" fillId="16" borderId="14" xfId="11" applyFont="1" applyBorder="1" applyAlignment="1">
      <alignment horizontal="left"/>
    </xf>
    <xf numFmtId="164" fontId="1" fillId="16" borderId="16" xfId="11" quotePrefix="1" applyFont="1" applyBorder="1" applyAlignment="1">
      <alignment horizontal="right" wrapText="1"/>
    </xf>
    <xf numFmtId="164" fontId="35" fillId="16" borderId="1" xfId="11" applyFont="1"/>
    <xf numFmtId="44" fontId="7" fillId="16" borderId="1" xfId="13" quotePrefix="1" applyFont="1"/>
    <xf numFmtId="16" fontId="4" fillId="16" borderId="1" xfId="11" applyNumberFormat="1" applyFont="1"/>
    <xf numFmtId="49" fontId="5" fillId="9" borderId="8" xfId="11" applyNumberFormat="1" applyFont="1" applyFill="1" applyBorder="1" applyAlignment="1">
      <alignment horizontal="center" vertical="center" wrapText="1"/>
    </xf>
    <xf numFmtId="0" fontId="6" fillId="16" borderId="1" xfId="11" applyNumberFormat="1" applyFont="1"/>
    <xf numFmtId="170" fontId="25" fillId="16" borderId="1" xfId="11" applyNumberFormat="1" applyFont="1" applyAlignment="1">
      <alignment horizontal="left"/>
    </xf>
    <xf numFmtId="164" fontId="25" fillId="16" borderId="1" xfId="11" applyFont="1"/>
    <xf numFmtId="170" fontId="25" fillId="16" borderId="1" xfId="11" applyNumberFormat="1" applyFont="1"/>
    <xf numFmtId="165" fontId="25" fillId="16" borderId="1" xfId="12" applyNumberFormat="1" applyFont="1" applyAlignment="1">
      <alignment horizontal="right"/>
    </xf>
    <xf numFmtId="164" fontId="26" fillId="16" borderId="1" xfId="11" applyFont="1"/>
    <xf numFmtId="165" fontId="16" fillId="16" borderId="1" xfId="12" applyNumberFormat="1" applyFont="1" applyAlignment="1">
      <alignment horizontal="right"/>
    </xf>
    <xf numFmtId="165" fontId="31" fillId="16" borderId="1" xfId="12" applyNumberFormat="1" applyFont="1" applyAlignment="1">
      <alignment horizontal="right"/>
    </xf>
    <xf numFmtId="164" fontId="33" fillId="16" borderId="1" xfId="11" quotePrefix="1" applyFont="1"/>
    <xf numFmtId="170" fontId="16" fillId="16" borderId="1" xfId="11" applyNumberFormat="1" applyFont="1" applyAlignment="1">
      <alignment horizontal="left"/>
    </xf>
    <xf numFmtId="164" fontId="24" fillId="16" borderId="1" xfId="11" applyFont="1"/>
    <xf numFmtId="164" fontId="5" fillId="9" borderId="8" xfId="11" applyFont="1" applyFill="1" applyBorder="1" applyAlignment="1">
      <alignment horizontal="left" vertical="center" wrapText="1"/>
    </xf>
    <xf numFmtId="164" fontId="5" fillId="9" borderId="8" xfId="11" applyFont="1" applyFill="1" applyBorder="1" applyAlignment="1">
      <alignment vertical="center" wrapText="1"/>
    </xf>
    <xf numFmtId="164" fontId="5" fillId="9" borderId="8" xfId="11" applyFont="1" applyFill="1" applyBorder="1" applyAlignment="1">
      <alignment horizontal="center" vertical="center" wrapText="1"/>
    </xf>
    <xf numFmtId="165" fontId="5" fillId="9" borderId="7" xfId="12" applyNumberFormat="1" applyFont="1" applyFill="1" applyBorder="1" applyAlignment="1">
      <alignment horizontal="right" vertical="center" wrapText="1"/>
    </xf>
    <xf numFmtId="49" fontId="13" fillId="16" borderId="1" xfId="11" applyNumberFormat="1" applyFont="1" applyAlignment="1">
      <alignment horizontal="center"/>
    </xf>
    <xf numFmtId="0" fontId="13" fillId="16" borderId="1" xfId="11" applyNumberFormat="1" applyFont="1" applyAlignment="1">
      <alignment horizontal="left"/>
    </xf>
    <xf numFmtId="171" fontId="13" fillId="16" borderId="1" xfId="11" applyNumberFormat="1" applyFont="1" applyAlignment="1">
      <alignment horizontal="left" vertical="center"/>
    </xf>
    <xf numFmtId="164" fontId="13" fillId="16" borderId="15" xfId="11" applyFont="1" applyBorder="1"/>
    <xf numFmtId="0" fontId="14" fillId="16" borderId="15" xfId="11" applyNumberFormat="1" applyFont="1" applyBorder="1" applyAlignment="1">
      <alignment horizontal="left"/>
    </xf>
    <xf numFmtId="49" fontId="13" fillId="16" borderId="1" xfId="11" quotePrefix="1" applyNumberFormat="1" applyFont="1" applyAlignment="1">
      <alignment horizontal="center"/>
    </xf>
    <xf numFmtId="171" fontId="13" fillId="16" borderId="1" xfId="11" quotePrefix="1" applyNumberFormat="1" applyFont="1" applyAlignment="1">
      <alignment horizontal="left" vertical="center"/>
    </xf>
    <xf numFmtId="49" fontId="37" fillId="16" borderId="1" xfId="11" applyNumberFormat="1" applyFont="1"/>
    <xf numFmtId="49" fontId="37" fillId="16" borderId="1" xfId="11" quotePrefix="1" applyNumberFormat="1" applyFont="1" applyAlignment="1">
      <alignment horizontal="center"/>
    </xf>
    <xf numFmtId="164" fontId="37" fillId="16" borderId="1" xfId="11" applyFont="1"/>
    <xf numFmtId="164" fontId="38" fillId="16" borderId="1" xfId="39" applyFont="1"/>
    <xf numFmtId="44" fontId="37" fillId="16" borderId="1" xfId="13" applyFont="1"/>
    <xf numFmtId="168" fontId="36" fillId="16" borderId="1" xfId="11" applyNumberFormat="1" applyFont="1" applyAlignment="1">
      <alignment horizontal="left" vertical="center" wrapText="1"/>
    </xf>
    <xf numFmtId="49" fontId="37" fillId="16" borderId="1" xfId="11" applyNumberFormat="1" applyFont="1" applyAlignment="1">
      <alignment horizontal="left"/>
    </xf>
    <xf numFmtId="0" fontId="36" fillId="16" borderId="1" xfId="11" applyNumberFormat="1" applyFont="1" applyAlignment="1">
      <alignment horizontal="left" vertical="center" wrapText="1"/>
    </xf>
    <xf numFmtId="171" fontId="37" fillId="16" borderId="1" xfId="11" quotePrefix="1" applyNumberFormat="1" applyFont="1" applyAlignment="1">
      <alignment horizontal="left" vertical="center"/>
    </xf>
    <xf numFmtId="44" fontId="42" fillId="16" borderId="1" xfId="13" applyFont="1"/>
    <xf numFmtId="49" fontId="42" fillId="16" borderId="1" xfId="11" applyNumberFormat="1" applyFont="1" applyAlignment="1">
      <alignment horizontal="left"/>
    </xf>
    <xf numFmtId="164" fontId="42" fillId="16" borderId="1" xfId="11" applyFont="1"/>
    <xf numFmtId="0" fontId="41" fillId="16" borderId="1" xfId="11" applyNumberFormat="1" applyFont="1" applyAlignment="1">
      <alignment horizontal="left" vertical="center" wrapText="1"/>
    </xf>
    <xf numFmtId="171" fontId="42" fillId="16" borderId="1" xfId="11" applyNumberFormat="1" applyFont="1" applyAlignment="1">
      <alignment horizontal="left" vertical="center"/>
    </xf>
    <xf numFmtId="171" fontId="37" fillId="16" borderId="1" xfId="11" applyNumberFormat="1" applyFont="1" applyAlignment="1">
      <alignment horizontal="left" vertical="center"/>
    </xf>
    <xf numFmtId="49" fontId="42" fillId="16" borderId="1" xfId="11" applyNumberFormat="1" applyFont="1"/>
    <xf numFmtId="49" fontId="42" fillId="16" borderId="1" xfId="11" quotePrefix="1" applyNumberFormat="1" applyFont="1" applyAlignment="1">
      <alignment horizontal="center"/>
    </xf>
    <xf numFmtId="49" fontId="37" fillId="16" borderId="1" xfId="11" applyNumberFormat="1" applyFont="1" applyAlignment="1">
      <alignment horizontal="center"/>
    </xf>
    <xf numFmtId="49" fontId="37" fillId="16" borderId="1" xfId="11" quotePrefix="1" applyNumberFormat="1" applyFont="1"/>
    <xf numFmtId="168" fontId="36" fillId="16" borderId="1" xfId="11" quotePrefix="1" applyNumberFormat="1" applyFont="1" applyAlignment="1">
      <alignment horizontal="left" vertical="center" wrapText="1"/>
    </xf>
    <xf numFmtId="0" fontId="36" fillId="16" borderId="1" xfId="11" quotePrefix="1" applyNumberFormat="1" applyFont="1" applyAlignment="1">
      <alignment horizontal="left" vertical="center" wrapText="1"/>
    </xf>
    <xf numFmtId="0" fontId="38" fillId="16" borderId="1" xfId="39" applyNumberFormat="1" applyFont="1" applyAlignment="1">
      <alignment horizontal="left" vertical="center" wrapText="1"/>
    </xf>
    <xf numFmtId="0" fontId="22" fillId="16" borderId="1" xfId="11" applyNumberFormat="1" applyFont="1" applyAlignment="1">
      <alignment horizontal="left" vertical="center" wrapText="1"/>
    </xf>
    <xf numFmtId="168" fontId="15" fillId="16" borderId="12" xfId="11" applyNumberFormat="1" applyFont="1" applyBorder="1" applyAlignment="1">
      <alignment horizontal="left" vertical="center" wrapText="1"/>
    </xf>
    <xf numFmtId="0" fontId="15" fillId="22" borderId="1" xfId="11" applyNumberFormat="1" applyFont="1" applyFill="1" applyAlignment="1">
      <alignment horizontal="left" vertical="center" wrapText="1"/>
    </xf>
    <xf numFmtId="168" fontId="15" fillId="22" borderId="12" xfId="11" applyNumberFormat="1" applyFont="1" applyFill="1" applyBorder="1" applyAlignment="1">
      <alignment horizontal="left" vertical="center" wrapText="1"/>
    </xf>
    <xf numFmtId="49" fontId="13" fillId="14" borderId="1" xfId="11" applyNumberFormat="1" applyFont="1" applyFill="1" applyAlignment="1">
      <alignment horizontal="center"/>
    </xf>
    <xf numFmtId="0" fontId="13" fillId="14" borderId="1" xfId="11" applyNumberFormat="1" applyFont="1" applyFill="1" applyAlignment="1">
      <alignment horizontal="left"/>
    </xf>
    <xf numFmtId="165" fontId="14" fillId="14" borderId="1" xfId="12" applyNumberFormat="1" applyFont="1" applyFill="1"/>
    <xf numFmtId="164" fontId="14" fillId="9" borderId="9" xfId="11" applyFont="1" applyFill="1" applyBorder="1" applyAlignment="1">
      <alignment horizontal="left" vertical="center" wrapText="1"/>
    </xf>
    <xf numFmtId="164" fontId="14" fillId="9" borderId="8" xfId="11" applyFont="1" applyFill="1" applyBorder="1" applyAlignment="1">
      <alignment horizontal="left" vertical="center" wrapText="1"/>
    </xf>
    <xf numFmtId="49" fontId="14" fillId="9" borderId="8" xfId="11" applyNumberFormat="1" applyFont="1" applyFill="1" applyBorder="1" applyAlignment="1">
      <alignment horizontal="center" vertical="center" wrapText="1"/>
    </xf>
    <xf numFmtId="0" fontId="14" fillId="9" borderId="8" xfId="11" applyNumberFormat="1" applyFont="1" applyFill="1" applyBorder="1" applyAlignment="1">
      <alignment horizontal="left" vertical="center" wrapText="1"/>
    </xf>
    <xf numFmtId="165" fontId="14" fillId="9" borderId="7" xfId="12" applyNumberFormat="1" applyFont="1" applyFill="1" applyBorder="1" applyAlignment="1">
      <alignment horizontal="left" vertical="center" wrapText="1"/>
    </xf>
    <xf numFmtId="49" fontId="13" fillId="16" borderId="1" xfId="11" quotePrefix="1" applyNumberFormat="1" applyFont="1"/>
    <xf numFmtId="168" fontId="20" fillId="16" borderId="1" xfId="11" applyNumberFormat="1" applyFont="1" applyAlignment="1">
      <alignment horizontal="left" vertical="center" wrapText="1"/>
    </xf>
    <xf numFmtId="0" fontId="20" fillId="16" borderId="1" xfId="11" applyNumberFormat="1" applyFont="1" applyAlignment="1">
      <alignment horizontal="left" vertical="center" wrapText="1"/>
    </xf>
    <xf numFmtId="164" fontId="21" fillId="16" borderId="1" xfId="39" applyFont="1" applyAlignment="1">
      <alignment horizontal="left"/>
    </xf>
    <xf numFmtId="0" fontId="20" fillId="16" borderId="1" xfId="11" quotePrefix="1" applyNumberFormat="1" applyFont="1" applyAlignment="1">
      <alignment horizontal="left" vertical="center" wrapText="1"/>
    </xf>
    <xf numFmtId="16" fontId="15" fillId="16" borderId="14" xfId="11" applyNumberFormat="1" applyFont="1" applyBorder="1"/>
    <xf numFmtId="44" fontId="6" fillId="16" borderId="1" xfId="13" applyFont="1"/>
    <xf numFmtId="10" fontId="7" fillId="16" borderId="1" xfId="13" applyNumberFormat="1" applyFont="1"/>
    <xf numFmtId="44" fontId="6" fillId="16" borderId="1" xfId="13" applyFont="1" applyAlignment="1">
      <alignment horizontal="right"/>
    </xf>
    <xf numFmtId="165" fontId="6" fillId="16" borderId="14" xfId="12" applyNumberFormat="1" applyFont="1" applyBorder="1" applyAlignment="1">
      <alignment horizontal="right"/>
    </xf>
    <xf numFmtId="44" fontId="25" fillId="16" borderId="1" xfId="13" applyFont="1"/>
    <xf numFmtId="44" fontId="6" fillId="9" borderId="8" xfId="13" applyFont="1" applyFill="1" applyBorder="1" applyAlignment="1">
      <alignment horizontal="center" vertical="center" wrapText="1"/>
    </xf>
    <xf numFmtId="44" fontId="6" fillId="10" borderId="8" xfId="13" applyFont="1" applyFill="1" applyBorder="1" applyAlignment="1">
      <alignment horizontal="center" vertical="center" wrapText="1"/>
    </xf>
    <xf numFmtId="165" fontId="6" fillId="9" borderId="7" xfId="12" applyNumberFormat="1" applyFont="1" applyFill="1" applyBorder="1" applyAlignment="1">
      <alignment horizontal="right" vertical="center" wrapText="1"/>
    </xf>
    <xf numFmtId="164" fontId="39" fillId="16" borderId="1" xfId="11" applyFont="1" applyAlignment="1">
      <alignment vertical="center"/>
    </xf>
    <xf numFmtId="164" fontId="44" fillId="16" borderId="1" xfId="11" applyFont="1"/>
    <xf numFmtId="164" fontId="45" fillId="16" borderId="1" xfId="11" applyFont="1"/>
    <xf numFmtId="17" fontId="45" fillId="16" borderId="1" xfId="11" applyNumberFormat="1" applyFont="1"/>
    <xf numFmtId="165" fontId="44" fillId="16" borderId="1" xfId="12" applyNumberFormat="1" applyFont="1"/>
    <xf numFmtId="164" fontId="46" fillId="16" borderId="1" xfId="11" applyFont="1"/>
    <xf numFmtId="164" fontId="44" fillId="12" borderId="1" xfId="11" applyFont="1" applyFill="1"/>
    <xf numFmtId="164" fontId="47" fillId="16" borderId="1" xfId="39" applyFont="1"/>
    <xf numFmtId="164" fontId="48" fillId="16" borderId="1" xfId="39" applyFont="1"/>
    <xf numFmtId="165" fontId="47" fillId="16" borderId="1" xfId="39" applyNumberFormat="1" applyFont="1"/>
    <xf numFmtId="165" fontId="49" fillId="16" borderId="1" xfId="12" applyNumberFormat="1" applyFont="1"/>
    <xf numFmtId="164" fontId="49" fillId="16" borderId="1" xfId="11" applyFont="1"/>
    <xf numFmtId="165" fontId="46" fillId="16" borderId="1" xfId="12" applyNumberFormat="1" applyFont="1"/>
    <xf numFmtId="165" fontId="50" fillId="16" borderId="1" xfId="12" applyNumberFormat="1" applyFont="1"/>
    <xf numFmtId="164" fontId="51" fillId="16" borderId="1" xfId="11" applyFont="1"/>
    <xf numFmtId="0" fontId="52" fillId="16" borderId="1" xfId="11" applyNumberFormat="1" applyFont="1"/>
    <xf numFmtId="164" fontId="53" fillId="16" borderId="1" xfId="11" applyFont="1"/>
    <xf numFmtId="165" fontId="45" fillId="16" borderId="1" xfId="12" applyNumberFormat="1" applyFont="1"/>
    <xf numFmtId="168" fontId="54" fillId="16" borderId="1" xfId="11" quotePrefix="1" applyNumberFormat="1" applyFont="1" applyAlignment="1">
      <alignment horizontal="left" vertical="center" wrapText="1"/>
    </xf>
    <xf numFmtId="165" fontId="53" fillId="16" borderId="1" xfId="12" applyNumberFormat="1" applyFont="1"/>
    <xf numFmtId="165" fontId="53" fillId="16" borderId="1" xfId="12" applyNumberFormat="1" applyFont="1" applyAlignment="1">
      <alignment horizontal="left" vertical="center"/>
    </xf>
    <xf numFmtId="164" fontId="47" fillId="16" borderId="1" xfId="39" applyFont="1" applyAlignment="1">
      <alignment horizontal="left"/>
    </xf>
    <xf numFmtId="164" fontId="44" fillId="16" borderId="1" xfId="11" quotePrefix="1" applyFont="1"/>
    <xf numFmtId="164" fontId="45" fillId="16" borderId="1" xfId="11" applyFont="1" applyAlignment="1">
      <alignment horizontal="right"/>
    </xf>
    <xf numFmtId="164" fontId="53" fillId="16" borderId="1" xfId="11" quotePrefix="1" applyFont="1"/>
    <xf numFmtId="164" fontId="51" fillId="12" borderId="1" xfId="11" applyFont="1" applyFill="1"/>
    <xf numFmtId="164" fontId="47" fillId="16" borderId="1" xfId="39" applyFont="1" applyAlignment="1">
      <alignment vertical="center"/>
    </xf>
    <xf numFmtId="164" fontId="46" fillId="12" borderId="1" xfId="11" applyFont="1" applyFill="1"/>
    <xf numFmtId="164" fontId="45" fillId="11" borderId="1" xfId="11" applyFont="1" applyFill="1"/>
    <xf numFmtId="164" fontId="44" fillId="22" borderId="1" xfId="11" applyFont="1" applyFill="1"/>
    <xf numFmtId="164" fontId="45" fillId="16" borderId="15" xfId="11" applyFont="1" applyBorder="1"/>
    <xf numFmtId="164" fontId="44" fillId="16" borderId="15" xfId="11" applyFont="1" applyBorder="1"/>
    <xf numFmtId="44" fontId="45" fillId="16" borderId="1" xfId="13" applyFont="1"/>
    <xf numFmtId="164" fontId="45" fillId="16" borderId="19" xfId="11" applyFont="1" applyBorder="1"/>
    <xf numFmtId="164" fontId="44" fillId="16" borderId="19" xfId="11" applyFont="1" applyBorder="1"/>
    <xf numFmtId="164" fontId="2" fillId="16" borderId="1" xfId="45" applyFont="1" applyFill="1"/>
    <xf numFmtId="0" fontId="1" fillId="16" borderId="1" xfId="46" applyFont="1"/>
    <xf numFmtId="172" fontId="1" fillId="16" borderId="1" xfId="46" applyNumberFormat="1" applyFont="1"/>
    <xf numFmtId="0" fontId="1" fillId="16" borderId="1" xfId="46" quotePrefix="1" applyFont="1"/>
    <xf numFmtId="0" fontId="2" fillId="16" borderId="1" xfId="45" applyNumberFormat="1" applyFont="1" applyFill="1"/>
    <xf numFmtId="164" fontId="44" fillId="0" borderId="1" xfId="11" applyFont="1" applyFill="1"/>
    <xf numFmtId="164" fontId="56" fillId="0" borderId="1" xfId="0" applyFont="1"/>
    <xf numFmtId="164" fontId="57" fillId="0" borderId="1" xfId="0" applyFont="1"/>
    <xf numFmtId="164" fontId="1" fillId="0" borderId="1" xfId="0" applyFont="1"/>
    <xf numFmtId="9" fontId="30" fillId="16" borderId="1" xfId="42" applyFont="1"/>
    <xf numFmtId="164" fontId="30" fillId="0" borderId="1" xfId="0" applyFont="1" applyAlignment="1">
      <alignment horizontal="center"/>
    </xf>
    <xf numFmtId="1" fontId="4" fillId="11" borderId="6" xfId="11" applyNumberFormat="1" applyFont="1" applyFill="1" applyBorder="1" applyAlignment="1">
      <alignment horizontal="center" vertical="center"/>
    </xf>
    <xf numFmtId="164" fontId="13" fillId="0" borderId="1" xfId="11" applyFont="1" applyFill="1"/>
    <xf numFmtId="164" fontId="13" fillId="0" borderId="1" xfId="11" quotePrefix="1" applyFont="1" applyFill="1"/>
    <xf numFmtId="165" fontId="58" fillId="16" borderId="1" xfId="12" applyNumberFormat="1" applyFont="1"/>
    <xf numFmtId="164" fontId="58" fillId="16" borderId="1" xfId="11" applyFont="1"/>
    <xf numFmtId="164" fontId="58" fillId="16" borderId="1" xfId="11" applyFont="1" applyAlignment="1">
      <alignment wrapText="1"/>
    </xf>
    <xf numFmtId="164" fontId="59" fillId="16" borderId="1" xfId="11" applyFont="1" applyAlignment="1">
      <alignment horizontal="center" vertical="center"/>
    </xf>
    <xf numFmtId="49" fontId="60" fillId="16" borderId="1" xfId="11" applyNumberFormat="1" applyFont="1" applyAlignment="1">
      <alignment horizontal="center" vertical="center"/>
    </xf>
    <xf numFmtId="49" fontId="59" fillId="16" borderId="1" xfId="11" applyNumberFormat="1" applyFont="1" applyAlignment="1">
      <alignment horizontal="center" vertical="center"/>
    </xf>
    <xf numFmtId="165" fontId="61" fillId="9" borderId="7" xfId="12" applyNumberFormat="1" applyFont="1" applyFill="1" applyBorder="1" applyAlignment="1">
      <alignment horizontal="right" vertical="center" wrapText="1"/>
    </xf>
    <xf numFmtId="164" fontId="61" fillId="9" borderId="8" xfId="11" applyFont="1" applyFill="1" applyBorder="1" applyAlignment="1">
      <alignment vertical="center" wrapText="1"/>
    </xf>
    <xf numFmtId="164" fontId="61" fillId="9" borderId="8" xfId="11" applyFont="1" applyFill="1" applyBorder="1" applyAlignment="1">
      <alignment horizontal="center" vertical="center" wrapText="1"/>
    </xf>
    <xf numFmtId="164" fontId="61" fillId="12" borderId="8" xfId="11" applyFont="1" applyFill="1" applyBorder="1" applyAlignment="1">
      <alignment horizontal="center" vertical="center" wrapText="1"/>
    </xf>
    <xf numFmtId="49" fontId="61" fillId="9" borderId="8" xfId="11" applyNumberFormat="1" applyFont="1" applyFill="1" applyBorder="1" applyAlignment="1">
      <alignment horizontal="center" vertical="center" wrapText="1"/>
    </xf>
    <xf numFmtId="49" fontId="61" fillId="9" borderId="8" xfId="11" applyNumberFormat="1" applyFont="1" applyFill="1" applyBorder="1" applyAlignment="1">
      <alignment vertical="center" wrapText="1"/>
    </xf>
    <xf numFmtId="164" fontId="61" fillId="9" borderId="8" xfId="11" applyFont="1" applyFill="1" applyBorder="1" applyAlignment="1">
      <alignment horizontal="left" vertical="center" wrapText="1"/>
    </xf>
    <xf numFmtId="164" fontId="61" fillId="9" borderId="9" xfId="11" applyFont="1" applyFill="1" applyBorder="1" applyAlignment="1">
      <alignment horizontal="left" vertical="center" wrapText="1"/>
    </xf>
    <xf numFmtId="165" fontId="62" fillId="16" borderId="1" xfId="12" applyNumberFormat="1" applyFont="1" applyAlignment="1">
      <alignment horizontal="right"/>
    </xf>
    <xf numFmtId="170" fontId="62" fillId="16" borderId="1" xfId="11" applyNumberFormat="1" applyFont="1"/>
    <xf numFmtId="164" fontId="62" fillId="16" borderId="1" xfId="11" applyFont="1"/>
    <xf numFmtId="164" fontId="63" fillId="16" borderId="1" xfId="11" applyFont="1"/>
    <xf numFmtId="49" fontId="62" fillId="16" borderId="1" xfId="11" applyNumberFormat="1" applyFont="1" applyAlignment="1">
      <alignment horizontal="center"/>
    </xf>
    <xf numFmtId="49" fontId="62" fillId="16" borderId="1" xfId="11" applyNumberFormat="1" applyFont="1"/>
    <xf numFmtId="165" fontId="64" fillId="16" borderId="14" xfId="12" applyNumberFormat="1" applyFont="1" applyBorder="1" applyAlignment="1">
      <alignment horizontal="right"/>
    </xf>
    <xf numFmtId="16" fontId="65" fillId="16" borderId="1" xfId="11" applyNumberFormat="1" applyFont="1"/>
    <xf numFmtId="164" fontId="65" fillId="16" borderId="1" xfId="11" applyFont="1"/>
    <xf numFmtId="44" fontId="65" fillId="16" borderId="1" xfId="13" applyFont="1"/>
    <xf numFmtId="170" fontId="65" fillId="16" borderId="14" xfId="11" applyNumberFormat="1" applyFont="1" applyBorder="1"/>
    <xf numFmtId="164" fontId="66" fillId="16" borderId="1" xfId="39" applyFont="1"/>
    <xf numFmtId="164" fontId="65" fillId="16" borderId="1" xfId="11" quotePrefix="1" applyFont="1"/>
    <xf numFmtId="164" fontId="67" fillId="16" borderId="1" xfId="39" applyFont="1"/>
    <xf numFmtId="49" fontId="65" fillId="16" borderId="1" xfId="11" applyNumberFormat="1" applyFont="1" applyAlignment="1">
      <alignment horizontal="center"/>
    </xf>
    <xf numFmtId="49" fontId="65" fillId="16" borderId="1" xfId="11" quotePrefix="1" applyNumberFormat="1" applyFont="1"/>
    <xf numFmtId="49" fontId="65" fillId="16" borderId="1" xfId="11" applyNumberFormat="1" applyFont="1"/>
    <xf numFmtId="44" fontId="65" fillId="16" borderId="14" xfId="13" applyFont="1" applyBorder="1"/>
    <xf numFmtId="16" fontId="65" fillId="16" borderId="14" xfId="11" applyNumberFormat="1" applyFont="1" applyBorder="1"/>
    <xf numFmtId="164" fontId="65" fillId="16" borderId="14" xfId="11" applyFont="1" applyBorder="1"/>
    <xf numFmtId="164" fontId="68" fillId="16" borderId="1" xfId="11" applyFont="1" applyAlignment="1">
      <alignment horizontal="left"/>
    </xf>
    <xf numFmtId="164" fontId="68" fillId="11" borderId="1" xfId="11" applyFont="1" applyFill="1" applyAlignment="1">
      <alignment horizontal="left"/>
    </xf>
    <xf numFmtId="49" fontId="68" fillId="11" borderId="1" xfId="11" applyNumberFormat="1" applyFont="1" applyFill="1" applyAlignment="1">
      <alignment horizontal="left"/>
    </xf>
    <xf numFmtId="49" fontId="68" fillId="16" borderId="1" xfId="11" applyNumberFormat="1" applyFont="1" applyAlignment="1">
      <alignment horizontal="left"/>
    </xf>
    <xf numFmtId="164" fontId="68" fillId="16" borderId="1" xfId="11" quotePrefix="1" applyFont="1" applyAlignment="1">
      <alignment horizontal="left"/>
    </xf>
    <xf numFmtId="164" fontId="68" fillId="16" borderId="1" xfId="11" applyFont="1"/>
    <xf numFmtId="49" fontId="65" fillId="16" borderId="14" xfId="11" quotePrefix="1" applyNumberFormat="1" applyFont="1" applyBorder="1"/>
    <xf numFmtId="164" fontId="65" fillId="16" borderId="14" xfId="11" quotePrefix="1" applyFont="1" applyBorder="1"/>
    <xf numFmtId="16" fontId="65" fillId="16" borderId="14" xfId="11" quotePrefix="1" applyNumberFormat="1" applyFont="1" applyBorder="1"/>
    <xf numFmtId="164" fontId="68" fillId="16" borderId="1" xfId="11" quotePrefix="1" applyFont="1"/>
    <xf numFmtId="49" fontId="68" fillId="16" borderId="1" xfId="11" applyNumberFormat="1" applyFont="1"/>
    <xf numFmtId="165" fontId="68" fillId="16" borderId="1" xfId="12" applyNumberFormat="1" applyFont="1" applyAlignment="1">
      <alignment horizontal="left" vertical="center"/>
    </xf>
    <xf numFmtId="164" fontId="69" fillId="16" borderId="14" xfId="11" applyFont="1" applyBorder="1"/>
    <xf numFmtId="49" fontId="65" fillId="16" borderId="14" xfId="11" applyNumberFormat="1" applyFont="1" applyBorder="1" applyAlignment="1">
      <alignment horizontal="left"/>
    </xf>
    <xf numFmtId="164" fontId="66" fillId="16" borderId="14" xfId="39" applyFont="1" applyBorder="1"/>
    <xf numFmtId="164" fontId="68" fillId="16" borderId="14" xfId="11" applyFont="1" applyBorder="1"/>
    <xf numFmtId="164" fontId="68" fillId="16" borderId="14" xfId="11" quotePrefix="1" applyFont="1" applyBorder="1"/>
    <xf numFmtId="49" fontId="68" fillId="16" borderId="14" xfId="11" applyNumberFormat="1" applyFont="1" applyBorder="1"/>
    <xf numFmtId="49" fontId="65" fillId="16" borderId="1" xfId="11" quotePrefix="1" applyNumberFormat="1" applyFont="1" applyAlignment="1">
      <alignment horizontal="center"/>
    </xf>
    <xf numFmtId="164" fontId="70" fillId="16" borderId="1" xfId="11" applyFont="1"/>
    <xf numFmtId="49" fontId="70" fillId="16" borderId="1" xfId="11" applyNumberFormat="1" applyFont="1"/>
    <xf numFmtId="165" fontId="66" fillId="16" borderId="1" xfId="39" applyNumberFormat="1" applyFont="1"/>
    <xf numFmtId="165" fontId="71" fillId="16" borderId="1" xfId="12" applyNumberFormat="1" applyFont="1"/>
    <xf numFmtId="49" fontId="72" fillId="16" borderId="1" xfId="11" applyNumberFormat="1" applyFont="1" applyAlignment="1">
      <alignment horizontal="left" vertical="center" wrapText="1"/>
    </xf>
    <xf numFmtId="0" fontId="67" fillId="16" borderId="1" xfId="39" applyNumberFormat="1" applyFont="1" applyAlignment="1">
      <alignment horizontal="left" vertical="center" wrapText="1"/>
    </xf>
    <xf numFmtId="168" fontId="72" fillId="16" borderId="1" xfId="11" applyNumberFormat="1" applyFont="1" applyAlignment="1">
      <alignment horizontal="left" vertical="center" wrapText="1"/>
    </xf>
    <xf numFmtId="0" fontId="72" fillId="16" borderId="1" xfId="11" applyNumberFormat="1" applyFont="1" applyAlignment="1">
      <alignment horizontal="left" vertical="center" wrapText="1"/>
    </xf>
    <xf numFmtId="0" fontId="72" fillId="16" borderId="1" xfId="11" quotePrefix="1" applyNumberFormat="1" applyFont="1" applyAlignment="1">
      <alignment horizontal="left" vertical="center" wrapText="1"/>
    </xf>
    <xf numFmtId="168" fontId="72" fillId="16" borderId="1" xfId="11" quotePrefix="1" applyNumberFormat="1" applyFont="1" applyAlignment="1">
      <alignment horizontal="left" vertical="center" wrapText="1"/>
    </xf>
    <xf numFmtId="164" fontId="71" fillId="16" borderId="1" xfId="11" applyFont="1"/>
    <xf numFmtId="14" fontId="65" fillId="16" borderId="14" xfId="11" applyNumberFormat="1" applyFont="1" applyBorder="1"/>
    <xf numFmtId="165" fontId="64" fillId="16" borderId="14" xfId="12" applyNumberFormat="1" applyFont="1" applyBorder="1"/>
    <xf numFmtId="14" fontId="65" fillId="16" borderId="1" xfId="11" applyNumberFormat="1" applyFont="1" applyAlignment="1">
      <alignment horizontal="right"/>
    </xf>
    <xf numFmtId="49" fontId="58" fillId="16" borderId="1" xfId="11" applyNumberFormat="1" applyFont="1"/>
    <xf numFmtId="164" fontId="66" fillId="16" borderId="1" xfId="45" applyFont="1" applyFill="1"/>
    <xf numFmtId="44" fontId="64" fillId="16" borderId="1" xfId="13" applyFont="1"/>
    <xf numFmtId="9" fontId="65" fillId="16" borderId="1" xfId="13" applyNumberFormat="1" applyFont="1"/>
    <xf numFmtId="44" fontId="65" fillId="16" borderId="1" xfId="11" applyNumberFormat="1" applyFont="1"/>
    <xf numFmtId="165" fontId="75" fillId="16" borderId="1" xfId="12" applyNumberFormat="1" applyFont="1"/>
    <xf numFmtId="164" fontId="75" fillId="16" borderId="1" xfId="11" applyFont="1"/>
    <xf numFmtId="44" fontId="75" fillId="16" borderId="1" xfId="13" applyFont="1"/>
    <xf numFmtId="164" fontId="76" fillId="16" borderId="1" xfId="11" applyFont="1" applyAlignment="1">
      <alignment vertical="center"/>
    </xf>
    <xf numFmtId="49" fontId="76" fillId="16" borderId="1" xfId="11" applyNumberFormat="1" applyFont="1" applyAlignment="1">
      <alignment vertical="center"/>
    </xf>
    <xf numFmtId="164" fontId="75" fillId="14" borderId="1" xfId="11" applyFont="1" applyFill="1"/>
    <xf numFmtId="49" fontId="75" fillId="16" borderId="1" xfId="11" applyNumberFormat="1" applyFont="1"/>
    <xf numFmtId="164" fontId="75" fillId="13" borderId="1" xfId="11" applyFont="1" applyFill="1"/>
    <xf numFmtId="164" fontId="75" fillId="8" borderId="1" xfId="11" applyFont="1" applyFill="1"/>
    <xf numFmtId="165" fontId="77" fillId="9" borderId="7" xfId="12" applyNumberFormat="1" applyFont="1" applyFill="1" applyBorder="1" applyAlignment="1">
      <alignment horizontal="right" vertical="center" wrapText="1"/>
    </xf>
    <xf numFmtId="164" fontId="77" fillId="10" borderId="8" xfId="11" applyFont="1" applyFill="1" applyBorder="1" applyAlignment="1">
      <alignment vertical="center" wrapText="1"/>
    </xf>
    <xf numFmtId="44" fontId="77" fillId="10" borderId="8" xfId="13" applyFont="1" applyFill="1" applyBorder="1" applyAlignment="1">
      <alignment horizontal="center" vertical="center" wrapText="1"/>
    </xf>
    <xf numFmtId="44" fontId="77" fillId="9" borderId="8" xfId="13" applyFont="1" applyFill="1" applyBorder="1" applyAlignment="1">
      <alignment horizontal="center" vertical="center" wrapText="1"/>
    </xf>
    <xf numFmtId="164" fontId="77" fillId="10" borderId="8" xfId="11" applyFont="1" applyFill="1" applyBorder="1" applyAlignment="1">
      <alignment horizontal="center" vertical="center" wrapText="1"/>
    </xf>
    <xf numFmtId="49" fontId="77" fillId="10" borderId="8" xfId="11" applyNumberFormat="1" applyFont="1" applyFill="1" applyBorder="1" applyAlignment="1">
      <alignment horizontal="center" vertical="center" wrapText="1"/>
    </xf>
    <xf numFmtId="49" fontId="77" fillId="10" borderId="8" xfId="11" applyNumberFormat="1" applyFont="1" applyFill="1" applyBorder="1" applyAlignment="1">
      <alignment vertical="center" wrapText="1"/>
    </xf>
    <xf numFmtId="164" fontId="77" fillId="10" borderId="8" xfId="11" applyFont="1" applyFill="1" applyBorder="1" applyAlignment="1">
      <alignment horizontal="left" vertical="center" wrapText="1"/>
    </xf>
    <xf numFmtId="164" fontId="77" fillId="9" borderId="8" xfId="11" applyFont="1" applyFill="1" applyBorder="1" applyAlignment="1">
      <alignment horizontal="left" vertical="center" wrapText="1"/>
    </xf>
    <xf numFmtId="164" fontId="77" fillId="9" borderId="9" xfId="11" applyFont="1" applyFill="1" applyBorder="1" applyAlignment="1">
      <alignment horizontal="left" vertical="center" wrapText="1"/>
    </xf>
    <xf numFmtId="164" fontId="75" fillId="16" borderId="1" xfId="11" applyFont="1" applyAlignment="1">
      <alignment wrapText="1"/>
    </xf>
    <xf numFmtId="165" fontId="78" fillId="16" borderId="1" xfId="12" applyNumberFormat="1" applyFont="1" applyAlignment="1">
      <alignment horizontal="right"/>
    </xf>
    <xf numFmtId="170" fontId="78" fillId="16" borderId="1" xfId="11" applyNumberFormat="1" applyFont="1"/>
    <xf numFmtId="44" fontId="78" fillId="16" borderId="1" xfId="13" applyFont="1"/>
    <xf numFmtId="164" fontId="79" fillId="16" borderId="1" xfId="11" applyFont="1"/>
    <xf numFmtId="164" fontId="78" fillId="16" borderId="1" xfId="11" applyFont="1"/>
    <xf numFmtId="49" fontId="78" fillId="16" borderId="1" xfId="12" applyNumberFormat="1" applyFont="1" applyAlignment="1">
      <alignment horizontal="center"/>
    </xf>
    <xf numFmtId="49" fontId="78" fillId="16" borderId="1" xfId="11" applyNumberFormat="1" applyFont="1"/>
    <xf numFmtId="49" fontId="80" fillId="16" borderId="1" xfId="11" applyNumberFormat="1" applyFont="1"/>
    <xf numFmtId="165" fontId="81" fillId="16" borderId="14" xfId="12" applyNumberFormat="1" applyFont="1" applyBorder="1" applyAlignment="1">
      <alignment horizontal="right"/>
    </xf>
    <xf numFmtId="164" fontId="82" fillId="16" borderId="1" xfId="11" applyFont="1"/>
    <xf numFmtId="164" fontId="85" fillId="16" borderId="1" xfId="11" applyFont="1"/>
    <xf numFmtId="166" fontId="82" fillId="0" borderId="1" xfId="11" applyNumberFormat="1" applyFont="1" applyFill="1"/>
    <xf numFmtId="49" fontId="82" fillId="16" borderId="1" xfId="11" applyNumberFormat="1" applyFont="1"/>
    <xf numFmtId="164" fontId="87" fillId="16" borderId="16" xfId="11" applyFont="1" applyBorder="1" applyAlignment="1">
      <alignment wrapText="1"/>
    </xf>
    <xf numFmtId="164" fontId="85" fillId="16" borderId="16" xfId="11" applyFont="1" applyBorder="1" applyAlignment="1">
      <alignment wrapText="1"/>
    </xf>
    <xf numFmtId="170" fontId="82" fillId="16" borderId="14" xfId="11" applyNumberFormat="1" applyFont="1" applyBorder="1"/>
    <xf numFmtId="44" fontId="82" fillId="16" borderId="14" xfId="13" applyFont="1" applyBorder="1"/>
    <xf numFmtId="164" fontId="82" fillId="16" borderId="14" xfId="11" applyFont="1" applyBorder="1"/>
    <xf numFmtId="165" fontId="82" fillId="16" borderId="1" xfId="12" applyNumberFormat="1" applyFont="1"/>
    <xf numFmtId="44" fontId="82" fillId="16" borderId="1" xfId="13" applyFont="1"/>
    <xf numFmtId="164" fontId="77" fillId="16" borderId="1" xfId="11" applyFont="1" applyAlignment="1">
      <alignment horizontal="right"/>
    </xf>
    <xf numFmtId="44" fontId="77" fillId="16" borderId="1" xfId="13" applyFont="1" applyAlignment="1">
      <alignment horizontal="right"/>
    </xf>
    <xf numFmtId="165" fontId="77" fillId="16" borderId="1" xfId="12" applyNumberFormat="1" applyFont="1"/>
    <xf numFmtId="44" fontId="77" fillId="16" borderId="1" xfId="13" applyFont="1"/>
    <xf numFmtId="10" fontId="75" fillId="16" borderId="1" xfId="13" applyNumberFormat="1" applyFont="1"/>
    <xf numFmtId="164" fontId="88" fillId="16" borderId="1" xfId="11" applyFont="1" applyAlignment="1">
      <alignment horizontal="left" wrapText="1"/>
    </xf>
    <xf numFmtId="43" fontId="88" fillId="16" borderId="1" xfId="12" applyFont="1" applyAlignment="1">
      <alignment horizontal="left" wrapText="1"/>
    </xf>
    <xf numFmtId="164" fontId="88" fillId="16" borderId="13" xfId="11" applyFont="1" applyBorder="1"/>
    <xf numFmtId="164" fontId="88" fillId="11" borderId="13" xfId="11" applyFont="1" applyFill="1" applyBorder="1"/>
    <xf numFmtId="164" fontId="88" fillId="16" borderId="13" xfId="11" applyFont="1" applyBorder="1" applyAlignment="1">
      <alignment horizontal="center"/>
    </xf>
    <xf numFmtId="164" fontId="88" fillId="11" borderId="13" xfId="11" applyFont="1" applyFill="1" applyBorder="1" applyAlignment="1">
      <alignment horizontal="center"/>
    </xf>
    <xf numFmtId="164" fontId="89" fillId="16" borderId="13" xfId="11" applyFont="1" applyBorder="1"/>
    <xf numFmtId="164" fontId="89" fillId="16" borderId="25" xfId="11" applyFont="1" applyBorder="1"/>
    <xf numFmtId="164" fontId="90" fillId="16" borderId="1" xfId="11" applyFont="1"/>
    <xf numFmtId="166" fontId="91" fillId="16" borderId="1" xfId="11" applyNumberFormat="1" applyFont="1"/>
    <xf numFmtId="43" fontId="92" fillId="16" borderId="1" xfId="12" applyFont="1"/>
    <xf numFmtId="164" fontId="93" fillId="16" borderId="1" xfId="11" applyFont="1"/>
    <xf numFmtId="164" fontId="90" fillId="16" borderId="13" xfId="11" applyFont="1" applyBorder="1"/>
    <xf numFmtId="1" fontId="90" fillId="11" borderId="13" xfId="13" applyNumberFormat="1" applyFont="1" applyFill="1" applyBorder="1"/>
    <xf numFmtId="1" fontId="90" fillId="16" borderId="13" xfId="13" applyNumberFormat="1" applyFont="1" applyBorder="1"/>
    <xf numFmtId="9" fontId="90" fillId="16" borderId="13" xfId="42" applyFont="1" applyBorder="1"/>
    <xf numFmtId="165" fontId="90" fillId="16" borderId="1" xfId="12" applyNumberFormat="1" applyFont="1"/>
    <xf numFmtId="43" fontId="90" fillId="16" borderId="1" xfId="12" applyFont="1"/>
    <xf numFmtId="164" fontId="90" fillId="16" borderId="13" xfId="11" quotePrefix="1" applyFont="1" applyBorder="1"/>
    <xf numFmtId="164" fontId="88" fillId="16" borderId="13" xfId="11" applyFont="1" applyBorder="1" applyAlignment="1">
      <alignment horizontal="left" wrapText="1"/>
    </xf>
    <xf numFmtId="1" fontId="88" fillId="11" borderId="13" xfId="13" applyNumberFormat="1" applyFont="1" applyFill="1" applyBorder="1"/>
    <xf numFmtId="1" fontId="88" fillId="16" borderId="13" xfId="13" applyNumberFormat="1" applyFont="1" applyBorder="1"/>
    <xf numFmtId="164" fontId="88" fillId="16" borderId="1" xfId="11" quotePrefix="1" applyFont="1" applyAlignment="1">
      <alignment horizontal="right"/>
    </xf>
    <xf numFmtId="173" fontId="88" fillId="16" borderId="1" xfId="11" applyNumberFormat="1" applyFont="1"/>
    <xf numFmtId="9" fontId="94" fillId="16" borderId="1" xfId="42" applyFont="1"/>
    <xf numFmtId="173" fontId="90" fillId="16" borderId="1" xfId="11" applyNumberFormat="1" applyFont="1"/>
    <xf numFmtId="1" fontId="88" fillId="16" borderId="1" xfId="13" applyNumberFormat="1" applyFont="1"/>
    <xf numFmtId="9" fontId="90" fillId="16" borderId="1" xfId="47" applyFont="1" applyFill="1"/>
    <xf numFmtId="164" fontId="95" fillId="16" borderId="1" xfId="11" quotePrefix="1" applyFont="1" applyAlignment="1">
      <alignment horizontal="right"/>
    </xf>
    <xf numFmtId="166" fontId="96" fillId="27" borderId="13" xfId="11" applyNumberFormat="1" applyFont="1" applyFill="1" applyBorder="1"/>
    <xf numFmtId="165" fontId="97" fillId="27" borderId="13" xfId="12" applyNumberFormat="1" applyFont="1" applyFill="1" applyBorder="1"/>
    <xf numFmtId="1" fontId="98" fillId="16" borderId="1" xfId="13" applyNumberFormat="1" applyFont="1"/>
    <xf numFmtId="166" fontId="99" fillId="27" borderId="13" xfId="11" applyNumberFormat="1" applyFont="1" applyFill="1" applyBorder="1"/>
    <xf numFmtId="165" fontId="100" fillId="27" borderId="13" xfId="12" applyNumberFormat="1" applyFont="1" applyFill="1" applyBorder="1"/>
    <xf numFmtId="166" fontId="101" fillId="27" borderId="29" xfId="11" applyNumberFormat="1" applyFont="1" applyFill="1" applyBorder="1"/>
    <xf numFmtId="165" fontId="102" fillId="27" borderId="29" xfId="12" applyNumberFormat="1" applyFont="1" applyFill="1" applyBorder="1"/>
    <xf numFmtId="1" fontId="90" fillId="16" borderId="1" xfId="13" applyNumberFormat="1" applyFont="1"/>
    <xf numFmtId="164" fontId="90" fillId="26" borderId="2" xfId="11" applyFont="1" applyFill="1" applyBorder="1"/>
    <xf numFmtId="165" fontId="88" fillId="26" borderId="28" xfId="12" applyNumberFormat="1" applyFont="1" applyFill="1" applyBorder="1"/>
    <xf numFmtId="164" fontId="90" fillId="26" borderId="27" xfId="11" applyFont="1" applyFill="1" applyBorder="1"/>
    <xf numFmtId="165" fontId="88" fillId="26" borderId="26" xfId="12" applyNumberFormat="1" applyFont="1" applyFill="1" applyBorder="1"/>
    <xf numFmtId="164" fontId="88" fillId="16" borderId="1" xfId="11" applyFont="1"/>
    <xf numFmtId="9" fontId="90" fillId="16" borderId="1" xfId="42" applyFont="1"/>
    <xf numFmtId="1" fontId="90" fillId="16" borderId="25" xfId="13" applyNumberFormat="1" applyFont="1" applyBorder="1"/>
    <xf numFmtId="164" fontId="103" fillId="16" borderId="1" xfId="11" quotePrefix="1" applyFont="1"/>
    <xf numFmtId="166" fontId="104" fillId="16" borderId="1" xfId="11" applyNumberFormat="1" applyFont="1"/>
    <xf numFmtId="164" fontId="103" fillId="16" borderId="1" xfId="11" applyFont="1"/>
    <xf numFmtId="43" fontId="103" fillId="16" borderId="1" xfId="12" applyFont="1"/>
    <xf numFmtId="165" fontId="88" fillId="16" borderId="1" xfId="12" applyNumberFormat="1" applyFont="1"/>
    <xf numFmtId="43" fontId="105" fillId="16" borderId="1" xfId="12" applyFont="1"/>
    <xf numFmtId="1" fontId="90" fillId="16" borderId="1" xfId="11" applyNumberFormat="1" applyFont="1"/>
    <xf numFmtId="164" fontId="106" fillId="16" borderId="1" xfId="11" applyFont="1" applyAlignment="1">
      <alignment horizontal="center" wrapText="1"/>
    </xf>
    <xf numFmtId="16" fontId="90" fillId="16" borderId="1" xfId="11" applyNumberFormat="1" applyFont="1"/>
    <xf numFmtId="166" fontId="107" fillId="16" borderId="1" xfId="11" applyNumberFormat="1" applyFont="1"/>
    <xf numFmtId="49" fontId="94" fillId="16" borderId="1" xfId="11" applyNumberFormat="1" applyFont="1"/>
    <xf numFmtId="43" fontId="94" fillId="11" borderId="1" xfId="12" applyFont="1" applyFill="1"/>
    <xf numFmtId="164" fontId="94" fillId="16" borderId="1" xfId="11" applyFont="1"/>
    <xf numFmtId="9" fontId="88" fillId="16" borderId="1" xfId="42" applyFont="1"/>
    <xf numFmtId="164" fontId="90" fillId="11" borderId="1" xfId="11" applyFont="1" applyFill="1"/>
    <xf numFmtId="164" fontId="94" fillId="16" borderId="1" xfId="11" quotePrefix="1" applyFont="1"/>
    <xf numFmtId="164" fontId="90" fillId="16" borderId="1" xfId="11" quotePrefix="1" applyFont="1"/>
    <xf numFmtId="43" fontId="94" fillId="16" borderId="1" xfId="12" applyFont="1"/>
    <xf numFmtId="166" fontId="108" fillId="16" borderId="1" xfId="11" applyNumberFormat="1" applyFont="1"/>
    <xf numFmtId="43" fontId="98" fillId="16" borderId="1" xfId="12" applyFont="1"/>
    <xf numFmtId="166" fontId="109" fillId="16" borderId="1" xfId="11" applyNumberFormat="1" applyFont="1"/>
    <xf numFmtId="43" fontId="88" fillId="16" borderId="1" xfId="12" applyFont="1"/>
    <xf numFmtId="164" fontId="110" fillId="16" borderId="1" xfId="11" applyFont="1"/>
    <xf numFmtId="165" fontId="111" fillId="9" borderId="7" xfId="12" applyNumberFormat="1" applyFont="1" applyFill="1" applyBorder="1" applyAlignment="1">
      <alignment horizontal="left" vertical="center" wrapText="1"/>
    </xf>
    <xf numFmtId="0" fontId="111" fillId="9" borderId="8" xfId="11" applyNumberFormat="1" applyFont="1" applyFill="1" applyBorder="1" applyAlignment="1">
      <alignment horizontal="left" vertical="center" wrapText="1"/>
    </xf>
    <xf numFmtId="164" fontId="111" fillId="9" borderId="8" xfId="11" applyFont="1" applyFill="1" applyBorder="1" applyAlignment="1">
      <alignment horizontal="center" vertical="center" wrapText="1"/>
    </xf>
    <xf numFmtId="49" fontId="111" fillId="9" borderId="8" xfId="11" applyNumberFormat="1" applyFont="1" applyFill="1" applyBorder="1" applyAlignment="1">
      <alignment horizontal="left" vertical="center" wrapText="1"/>
    </xf>
    <xf numFmtId="164" fontId="111" fillId="9" borderId="8" xfId="11" applyFont="1" applyFill="1" applyBorder="1" applyAlignment="1">
      <alignment vertical="center" wrapText="1"/>
    </xf>
    <xf numFmtId="44" fontId="111" fillId="9" borderId="8" xfId="13" applyFont="1" applyFill="1" applyBorder="1" applyAlignment="1">
      <alignment horizontal="center" vertical="center" wrapText="1"/>
    </xf>
    <xf numFmtId="49" fontId="111" fillId="9" borderId="8" xfId="11" applyNumberFormat="1" applyFont="1" applyFill="1" applyBorder="1" applyAlignment="1">
      <alignment horizontal="center" vertical="center" wrapText="1"/>
    </xf>
    <xf numFmtId="49" fontId="111" fillId="9" borderId="8" xfId="11" applyNumberFormat="1" applyFont="1" applyFill="1" applyBorder="1" applyAlignment="1">
      <alignment vertical="center" wrapText="1"/>
    </xf>
    <xf numFmtId="164" fontId="111" fillId="9" borderId="8" xfId="11" applyFont="1" applyFill="1" applyBorder="1" applyAlignment="1">
      <alignment horizontal="left" vertical="center" wrapText="1"/>
    </xf>
    <xf numFmtId="165" fontId="111" fillId="14" borderId="1" xfId="12" applyNumberFormat="1" applyFont="1" applyFill="1"/>
    <xf numFmtId="0" fontId="110" fillId="14" borderId="1" xfId="11" applyNumberFormat="1" applyFont="1" applyFill="1" applyAlignment="1">
      <alignment horizontal="left"/>
    </xf>
    <xf numFmtId="164" fontId="110" fillId="14" borderId="1" xfId="11" applyFont="1" applyFill="1"/>
    <xf numFmtId="49" fontId="110" fillId="14" borderId="1" xfId="11" applyNumberFormat="1" applyFont="1" applyFill="1" applyAlignment="1">
      <alignment horizontal="left"/>
    </xf>
    <xf numFmtId="16" fontId="111" fillId="14" borderId="14" xfId="11" quotePrefix="1" applyNumberFormat="1" applyFont="1" applyFill="1" applyBorder="1" applyAlignment="1">
      <alignment horizontal="right" vertical="center"/>
    </xf>
    <xf numFmtId="44" fontId="110" fillId="14" borderId="1" xfId="13" applyFont="1" applyFill="1"/>
    <xf numFmtId="164" fontId="112" fillId="14" borderId="1" xfId="39" applyFont="1" applyFill="1"/>
    <xf numFmtId="49" fontId="110" fillId="14" borderId="1" xfId="11" applyNumberFormat="1" applyFont="1" applyFill="1" applyAlignment="1">
      <alignment horizontal="center"/>
    </xf>
    <xf numFmtId="49" fontId="110" fillId="14" borderId="1" xfId="11" applyNumberFormat="1" applyFont="1" applyFill="1"/>
    <xf numFmtId="165" fontId="111" fillId="16" borderId="1" xfId="12" applyNumberFormat="1" applyFont="1"/>
    <xf numFmtId="0" fontId="110" fillId="16" borderId="1" xfId="11" applyNumberFormat="1" applyFont="1" applyAlignment="1">
      <alignment horizontal="left"/>
    </xf>
    <xf numFmtId="49" fontId="110" fillId="16" borderId="1" xfId="11" applyNumberFormat="1" applyFont="1" applyAlignment="1">
      <alignment horizontal="left"/>
    </xf>
    <xf numFmtId="16" fontId="110" fillId="16" borderId="14" xfId="11" applyNumberFormat="1" applyFont="1" applyBorder="1"/>
    <xf numFmtId="44" fontId="110" fillId="16" borderId="1" xfId="13" applyFont="1"/>
    <xf numFmtId="164" fontId="112" fillId="16" borderId="1" xfId="39" applyFont="1"/>
    <xf numFmtId="49" fontId="110" fillId="16" borderId="1" xfId="11" applyNumberFormat="1" applyFont="1" applyAlignment="1">
      <alignment horizontal="center"/>
    </xf>
    <xf numFmtId="49" fontId="110" fillId="16" borderId="1" xfId="11" applyNumberFormat="1" applyFont="1"/>
    <xf numFmtId="16" fontId="110" fillId="16" borderId="1" xfId="11" applyNumberFormat="1" applyFont="1"/>
    <xf numFmtId="168" fontId="115" fillId="16" borderId="1" xfId="11" applyNumberFormat="1" applyFont="1" applyAlignment="1">
      <alignment horizontal="left" vertical="center" wrapText="1"/>
    </xf>
    <xf numFmtId="0" fontId="115" fillId="16" borderId="1" xfId="11" applyNumberFormat="1" applyFont="1" applyAlignment="1">
      <alignment horizontal="left" vertical="center" wrapText="1"/>
    </xf>
    <xf numFmtId="0" fontId="115" fillId="16" borderId="1" xfId="11" quotePrefix="1" applyNumberFormat="1" applyFont="1" applyAlignment="1">
      <alignment horizontal="left" vertical="center" wrapText="1"/>
    </xf>
    <xf numFmtId="168" fontId="115" fillId="16" borderId="1" xfId="11" quotePrefix="1" applyNumberFormat="1" applyFont="1" applyAlignment="1">
      <alignment horizontal="left" vertical="center" wrapText="1"/>
    </xf>
    <xf numFmtId="164" fontId="110" fillId="16" borderId="1" xfId="11" applyFont="1" applyAlignment="1">
      <alignment horizontal="left"/>
    </xf>
    <xf numFmtId="171" fontId="110" fillId="16" borderId="1" xfId="11" applyNumberFormat="1" applyFont="1" applyAlignment="1">
      <alignment horizontal="left" vertical="center"/>
    </xf>
    <xf numFmtId="0" fontId="113" fillId="16" borderId="1" xfId="11" applyNumberFormat="1" applyFont="1" applyAlignment="1">
      <alignment horizontal="left"/>
    </xf>
    <xf numFmtId="0" fontId="111" fillId="16" borderId="15" xfId="11" applyNumberFormat="1" applyFont="1" applyBorder="1" applyAlignment="1">
      <alignment horizontal="left"/>
    </xf>
    <xf numFmtId="164" fontId="110" fillId="16" borderId="15" xfId="11" applyFont="1" applyBorder="1"/>
    <xf numFmtId="49" fontId="110" fillId="16" borderId="15" xfId="11" applyNumberFormat="1" applyFont="1" applyBorder="1" applyAlignment="1">
      <alignment horizontal="left"/>
    </xf>
    <xf numFmtId="9" fontId="110" fillId="16" borderId="15" xfId="42" applyFont="1" applyBorder="1"/>
    <xf numFmtId="44" fontId="110" fillId="16" borderId="15" xfId="13" applyFont="1" applyBorder="1"/>
    <xf numFmtId="1" fontId="4" fillId="28" borderId="6" xfId="11" applyNumberFormat="1" applyFont="1" applyFill="1" applyBorder="1" applyAlignment="1">
      <alignment horizontal="center" vertical="center"/>
    </xf>
    <xf numFmtId="9" fontId="116" fillId="0" borderId="1" xfId="42" applyFont="1" applyFill="1"/>
    <xf numFmtId="166" fontId="11" fillId="16" borderId="1" xfId="11" applyNumberFormat="1" applyFont="1"/>
    <xf numFmtId="44" fontId="82" fillId="0" borderId="1" xfId="13" applyFont="1" applyFill="1"/>
    <xf numFmtId="164" fontId="82" fillId="0" borderId="1" xfId="11" applyFont="1" applyFill="1"/>
    <xf numFmtId="164" fontId="82" fillId="0" borderId="1" xfId="11" quotePrefix="1" applyFont="1" applyFill="1"/>
    <xf numFmtId="164" fontId="83" fillId="0" borderId="1" xfId="39" applyFont="1" applyFill="1"/>
    <xf numFmtId="164" fontId="75" fillId="0" borderId="1" xfId="11" applyFont="1" applyFill="1"/>
    <xf numFmtId="164" fontId="83" fillId="0" borderId="1" xfId="39" applyFont="1" applyFill="1" applyAlignment="1">
      <alignment horizontal="left"/>
    </xf>
    <xf numFmtId="164" fontId="84" fillId="0" borderId="1" xfId="11" applyFont="1" applyFill="1"/>
    <xf numFmtId="164" fontId="86" fillId="0" borderId="1" xfId="39" applyFont="1" applyFill="1"/>
    <xf numFmtId="49" fontId="82" fillId="0" borderId="1" xfId="11" applyNumberFormat="1" applyFont="1" applyFill="1"/>
    <xf numFmtId="164" fontId="82" fillId="0" borderId="20" xfId="11" applyFont="1" applyFill="1" applyBorder="1" applyAlignment="1">
      <alignment wrapText="1"/>
    </xf>
    <xf numFmtId="164" fontId="82" fillId="0" borderId="16" xfId="11" applyFont="1" applyFill="1" applyBorder="1" applyAlignment="1">
      <alignment wrapText="1"/>
    </xf>
    <xf numFmtId="164" fontId="87" fillId="0" borderId="16" xfId="11" applyFont="1" applyFill="1" applyBorder="1" applyAlignment="1">
      <alignment wrapText="1"/>
    </xf>
    <xf numFmtId="170" fontId="82" fillId="0" borderId="14" xfId="11" applyNumberFormat="1" applyFont="1" applyFill="1" applyBorder="1"/>
    <xf numFmtId="164" fontId="94" fillId="11" borderId="1" xfId="11" applyFont="1" applyFill="1"/>
    <xf numFmtId="164" fontId="30" fillId="16" borderId="1" xfId="11" quotePrefix="1" applyFont="1" applyAlignment="1">
      <alignment horizontal="right"/>
    </xf>
    <xf numFmtId="164" fontId="90" fillId="16" borderId="1" xfId="48" applyNumberFormat="1" applyFont="1" applyFill="1"/>
    <xf numFmtId="0" fontId="15" fillId="16" borderId="1" xfId="11" applyNumberFormat="1" applyFont="1" applyAlignment="1">
      <alignment horizontal="left"/>
    </xf>
    <xf numFmtId="165" fontId="2" fillId="16" borderId="1" xfId="45" applyNumberFormat="1" applyFont="1" applyFill="1"/>
    <xf numFmtId="164" fontId="2" fillId="0" borderId="1" xfId="45" applyFont="1"/>
    <xf numFmtId="164" fontId="93" fillId="16" borderId="1" xfId="11" quotePrefix="1" applyFont="1"/>
    <xf numFmtId="0" fontId="2" fillId="16" borderId="1" xfId="45" applyNumberFormat="1" applyFont="1" applyFill="1" applyAlignment="1">
      <alignment horizontal="left" vertical="center" wrapText="1"/>
    </xf>
    <xf numFmtId="16" fontId="1" fillId="16" borderId="1" xfId="11" applyNumberFormat="1" applyFont="1"/>
    <xf numFmtId="0" fontId="114" fillId="0" borderId="1" xfId="39" applyNumberFormat="1" applyFill="1" applyAlignment="1">
      <alignment horizontal="left" vertical="center" wrapText="1"/>
    </xf>
    <xf numFmtId="168" fontId="15" fillId="0" borderId="1" xfId="11" applyNumberFormat="1" applyFont="1" applyFill="1" applyAlignment="1">
      <alignment horizontal="left" vertical="center" wrapText="1"/>
    </xf>
    <xf numFmtId="0" fontId="15" fillId="0" borderId="1" xfId="11" quotePrefix="1" applyNumberFormat="1" applyFont="1" applyFill="1" applyAlignment="1">
      <alignment horizontal="left" vertical="center" wrapText="1"/>
    </xf>
    <xf numFmtId="164" fontId="13" fillId="0" borderId="1" xfId="11" applyFont="1" applyFill="1" applyAlignment="1">
      <alignment horizontal="left"/>
    </xf>
    <xf numFmtId="164" fontId="13" fillId="0" borderId="1" xfId="11" quotePrefix="1" applyFont="1" applyFill="1" applyAlignment="1">
      <alignment horizontal="left"/>
    </xf>
    <xf numFmtId="1" fontId="30" fillId="16" borderId="13" xfId="13" applyNumberFormat="1" applyFont="1" applyBorder="1"/>
    <xf numFmtId="164" fontId="89" fillId="11" borderId="25" xfId="11" applyFont="1" applyFill="1" applyBorder="1"/>
    <xf numFmtId="1" fontId="30" fillId="11" borderId="1" xfId="13" applyNumberFormat="1" applyFont="1" applyFill="1"/>
    <xf numFmtId="164" fontId="30" fillId="11" borderId="13" xfId="11" applyFont="1" applyFill="1" applyBorder="1"/>
    <xf numFmtId="165" fontId="90" fillId="16" borderId="1" xfId="48" applyNumberFormat="1" applyFont="1" applyFill="1"/>
    <xf numFmtId="164" fontId="1" fillId="11" borderId="1" xfId="11" applyFont="1" applyFill="1"/>
    <xf numFmtId="164" fontId="117" fillId="11" borderId="1" xfId="11" applyFont="1" applyFill="1"/>
    <xf numFmtId="1" fontId="30" fillId="16" borderId="1" xfId="13" applyNumberFormat="1" applyFont="1"/>
    <xf numFmtId="1" fontId="30" fillId="16" borderId="30" xfId="13" applyNumberFormat="1" applyFont="1" applyBorder="1"/>
    <xf numFmtId="1" fontId="30" fillId="16" borderId="15" xfId="13" applyNumberFormat="1" applyFont="1" applyBorder="1"/>
    <xf numFmtId="9" fontId="88" fillId="16" borderId="15" xfId="42" applyFont="1" applyBorder="1"/>
    <xf numFmtId="165" fontId="88" fillId="16" borderId="15" xfId="12" applyNumberFormat="1" applyFont="1" applyBorder="1"/>
    <xf numFmtId="164" fontId="88" fillId="11" borderId="1" xfId="11" applyFont="1" applyFill="1"/>
    <xf numFmtId="43" fontId="90" fillId="16" borderId="1" xfId="48" applyFont="1" applyFill="1"/>
    <xf numFmtId="165" fontId="0" fillId="0" borderId="1" xfId="48" applyNumberFormat="1" applyFont="1"/>
    <xf numFmtId="165" fontId="0" fillId="0" borderId="1" xfId="48" pivotButton="1" applyNumberFormat="1" applyFont="1"/>
    <xf numFmtId="165" fontId="0" fillId="0" borderId="1" xfId="48" applyNumberFormat="1" applyFont="1" applyAlignment="1">
      <alignment horizontal="left"/>
    </xf>
    <xf numFmtId="165" fontId="0" fillId="0" borderId="1" xfId="48" applyNumberFormat="1" applyFont="1" applyAlignment="1">
      <alignment horizontal="right"/>
    </xf>
    <xf numFmtId="165" fontId="0" fillId="0" borderId="1" xfId="0" applyNumberFormat="1"/>
    <xf numFmtId="165" fontId="0" fillId="0" borderId="1" xfId="0" pivotButton="1" applyNumberFormat="1"/>
    <xf numFmtId="165" fontId="0" fillId="0" borderId="1" xfId="0" applyNumberFormat="1" applyAlignment="1">
      <alignment horizontal="left"/>
    </xf>
    <xf numFmtId="165" fontId="0" fillId="0" borderId="1" xfId="0" applyNumberFormat="1" applyAlignment="1">
      <alignment horizontal="right"/>
    </xf>
    <xf numFmtId="165" fontId="1" fillId="0" borderId="1" xfId="48" applyNumberFormat="1" applyFont="1"/>
    <xf numFmtId="164" fontId="88" fillId="29" borderId="13" xfId="11" applyFont="1" applyFill="1" applyBorder="1" applyAlignment="1">
      <alignment horizontal="center"/>
    </xf>
    <xf numFmtId="164" fontId="88" fillId="29" borderId="13" xfId="11" applyFont="1" applyFill="1" applyBorder="1"/>
    <xf numFmtId="164" fontId="89" fillId="29" borderId="13" xfId="11" applyFont="1" applyFill="1" applyBorder="1"/>
    <xf numFmtId="164" fontId="89" fillId="29" borderId="25" xfId="11" applyFont="1" applyFill="1" applyBorder="1"/>
    <xf numFmtId="164" fontId="1" fillId="16" borderId="13" xfId="11" applyFont="1" applyBorder="1"/>
    <xf numFmtId="164" fontId="1" fillId="16" borderId="13" xfId="11" quotePrefix="1" applyFont="1" applyBorder="1"/>
    <xf numFmtId="165" fontId="88" fillId="16" borderId="1" xfId="48" applyNumberFormat="1" applyFont="1" applyFill="1"/>
    <xf numFmtId="173" fontId="1" fillId="16" borderId="1" xfId="11" applyNumberFormat="1" applyFont="1"/>
    <xf numFmtId="9" fontId="30" fillId="16" borderId="13" xfId="47" applyFont="1" applyFill="1" applyBorder="1"/>
    <xf numFmtId="1" fontId="90" fillId="16" borderId="30" xfId="13" applyNumberFormat="1" applyFont="1" applyBorder="1"/>
    <xf numFmtId="1" fontId="30" fillId="16" borderId="31" xfId="13" applyNumberFormat="1" applyFont="1" applyBorder="1"/>
    <xf numFmtId="164" fontId="7" fillId="16" borderId="1" xfId="43" applyFont="1"/>
    <xf numFmtId="164" fontId="8" fillId="16" borderId="1" xfId="43" applyFont="1" applyAlignment="1">
      <alignment vertical="center"/>
    </xf>
    <xf numFmtId="164" fontId="7" fillId="14" borderId="1" xfId="43" applyFont="1" applyFill="1"/>
    <xf numFmtId="49" fontId="7" fillId="16" borderId="1" xfId="43" applyNumberFormat="1" applyFont="1"/>
    <xf numFmtId="164" fontId="7" fillId="13" borderId="1" xfId="43" applyFont="1" applyFill="1"/>
    <xf numFmtId="164" fontId="7" fillId="8" borderId="1" xfId="43" applyFont="1" applyFill="1"/>
    <xf numFmtId="164" fontId="6" fillId="10" borderId="8" xfId="43" applyFont="1" applyFill="1" applyBorder="1" applyAlignment="1">
      <alignment vertical="center" wrapText="1"/>
    </xf>
    <xf numFmtId="164" fontId="6" fillId="10" borderId="8" xfId="43" applyFont="1" applyFill="1" applyBorder="1" applyAlignment="1">
      <alignment horizontal="center" vertical="center" wrapText="1"/>
    </xf>
    <xf numFmtId="49" fontId="6" fillId="10" borderId="8" xfId="43" applyNumberFormat="1" applyFont="1" applyFill="1" applyBorder="1" applyAlignment="1">
      <alignment horizontal="center" vertical="center" wrapText="1"/>
    </xf>
    <xf numFmtId="49" fontId="6" fillId="10" borderId="8" xfId="43" applyNumberFormat="1" applyFont="1" applyFill="1" applyBorder="1" applyAlignment="1">
      <alignment vertical="center" wrapText="1"/>
    </xf>
    <xf numFmtId="164" fontId="7" fillId="16" borderId="1" xfId="43" applyFont="1" applyAlignment="1">
      <alignment wrapText="1"/>
    </xf>
    <xf numFmtId="170" fontId="25" fillId="16" borderId="1" xfId="43" applyNumberFormat="1" applyFont="1"/>
    <xf numFmtId="164" fontId="26" fillId="16" borderId="1" xfId="43" applyFont="1"/>
    <xf numFmtId="164" fontId="25" fillId="16" borderId="1" xfId="43" applyFont="1"/>
    <xf numFmtId="49" fontId="25" fillId="16" borderId="1" xfId="12" applyNumberFormat="1" applyFont="1" applyAlignment="1">
      <alignment horizontal="center"/>
    </xf>
    <xf numFmtId="49" fontId="25" fillId="16" borderId="1" xfId="43" applyNumberFormat="1" applyFont="1"/>
    <xf numFmtId="164" fontId="6" fillId="16" borderId="1" xfId="43" applyFont="1" applyAlignment="1">
      <alignment horizontal="right"/>
    </xf>
    <xf numFmtId="165" fontId="30" fillId="16" borderId="1" xfId="12" applyNumberFormat="1" applyFont="1"/>
    <xf numFmtId="164" fontId="13" fillId="11" borderId="1" xfId="11" applyFont="1" applyFill="1"/>
    <xf numFmtId="164" fontId="20" fillId="16" borderId="1" xfId="11" applyFont="1"/>
    <xf numFmtId="49" fontId="20" fillId="16" borderId="1" xfId="11" applyNumberFormat="1" applyFont="1" applyAlignment="1">
      <alignment horizontal="left"/>
    </xf>
    <xf numFmtId="44" fontId="20" fillId="16" borderId="1" xfId="13" applyFont="1"/>
    <xf numFmtId="43" fontId="34" fillId="16" borderId="1" xfId="12" applyFont="1"/>
    <xf numFmtId="0" fontId="15" fillId="16" borderId="1" xfId="43" applyNumberFormat="1" applyFont="1" applyAlignment="1">
      <alignment horizontal="left" vertical="center" wrapText="1"/>
    </xf>
    <xf numFmtId="164" fontId="13" fillId="0" borderId="1" xfId="11" applyFont="1" applyFill="1" applyAlignment="1">
      <alignment wrapText="1"/>
    </xf>
    <xf numFmtId="1" fontId="1" fillId="16" borderId="1" xfId="13" applyNumberFormat="1" applyFont="1"/>
    <xf numFmtId="49" fontId="6" fillId="11" borderId="8" xfId="43" applyNumberFormat="1" applyFont="1" applyFill="1" applyBorder="1" applyAlignment="1">
      <alignment horizontal="center" vertical="center" wrapText="1"/>
    </xf>
    <xf numFmtId="174" fontId="7" fillId="16" borderId="1" xfId="43" applyNumberFormat="1" applyFont="1"/>
    <xf numFmtId="166" fontId="13" fillId="16" borderId="1" xfId="43" applyNumberFormat="1" applyFont="1"/>
    <xf numFmtId="164" fontId="13" fillId="16" borderId="1" xfId="43" applyFont="1"/>
    <xf numFmtId="174" fontId="13" fillId="16" borderId="1" xfId="43" applyNumberFormat="1" applyFont="1"/>
    <xf numFmtId="170" fontId="13" fillId="16" borderId="14" xfId="43" applyNumberFormat="1" applyFont="1" applyBorder="1"/>
    <xf numFmtId="164" fontId="13" fillId="16" borderId="14" xfId="43" applyFont="1" applyBorder="1"/>
    <xf numFmtId="164" fontId="118" fillId="16" borderId="1" xfId="43" applyFont="1" applyAlignment="1">
      <alignment vertical="center"/>
    </xf>
    <xf numFmtId="164" fontId="13" fillId="16" borderId="1" xfId="43" quotePrefix="1" applyFont="1"/>
    <xf numFmtId="164" fontId="2" fillId="0" borderId="1" xfId="45" applyFont="1" applyAlignment="1">
      <alignment wrapText="1"/>
    </xf>
    <xf numFmtId="1" fontId="4" fillId="0" borderId="6" xfId="11" applyNumberFormat="1" applyFont="1" applyFill="1" applyBorder="1" applyAlignment="1">
      <alignment horizontal="center" vertical="center"/>
    </xf>
    <xf numFmtId="165" fontId="4" fillId="0" borderId="6" xfId="12" applyNumberFormat="1" applyFont="1" applyFill="1" applyBorder="1" applyAlignment="1">
      <alignment horizontal="center" vertical="center"/>
    </xf>
    <xf numFmtId="1" fontId="4" fillId="30" borderId="6" xfId="11" applyNumberFormat="1" applyFont="1" applyFill="1" applyBorder="1" applyAlignment="1">
      <alignment horizontal="center" vertical="center"/>
    </xf>
    <xf numFmtId="1" fontId="4" fillId="16" borderId="6" xfId="11" applyNumberFormat="1" applyFont="1" applyBorder="1" applyAlignment="1">
      <alignment horizontal="left" vertical="center"/>
    </xf>
    <xf numFmtId="1" fontId="4" fillId="31" borderId="6" xfId="11" applyNumberFormat="1" applyFont="1" applyFill="1" applyBorder="1" applyAlignment="1">
      <alignment horizontal="center" vertical="center"/>
    </xf>
    <xf numFmtId="164" fontId="4" fillId="16" borderId="1" xfId="11" applyFont="1" applyAlignment="1">
      <alignment horizontal="center"/>
    </xf>
    <xf numFmtId="165" fontId="4" fillId="16" borderId="1" xfId="48" applyNumberFormat="1" applyFont="1" applyFill="1" applyAlignment="1">
      <alignment horizontal="center"/>
    </xf>
    <xf numFmtId="165" fontId="4" fillId="33" borderId="17" xfId="12" applyNumberFormat="1" applyFont="1" applyFill="1" applyBorder="1" applyAlignment="1">
      <alignment horizontal="center" wrapText="1"/>
    </xf>
    <xf numFmtId="165" fontId="4" fillId="32" borderId="17" xfId="12" applyNumberFormat="1" applyFont="1" applyFill="1" applyBorder="1" applyAlignment="1">
      <alignment horizontal="center" wrapText="1"/>
    </xf>
    <xf numFmtId="165" fontId="4" fillId="32" borderId="18" xfId="12" applyNumberFormat="1" applyFont="1" applyFill="1" applyBorder="1" applyAlignment="1">
      <alignment horizontal="center" wrapText="1"/>
    </xf>
    <xf numFmtId="1" fontId="4" fillId="21" borderId="6" xfId="11" applyNumberFormat="1" applyFont="1" applyFill="1" applyBorder="1" applyAlignment="1">
      <alignment horizontal="center" vertical="center"/>
    </xf>
    <xf numFmtId="43" fontId="46" fillId="16" borderId="1" xfId="12" applyFont="1"/>
    <xf numFmtId="164" fontId="20" fillId="16" borderId="1" xfId="43" applyFont="1"/>
    <xf numFmtId="49" fontId="15" fillId="16" borderId="1" xfId="11" applyNumberFormat="1" applyFont="1" applyAlignment="1">
      <alignment horizontal="left"/>
    </xf>
    <xf numFmtId="164" fontId="120" fillId="16" borderId="1" xfId="45" applyFont="1" applyFill="1"/>
    <xf numFmtId="164" fontId="29" fillId="16" borderId="1" xfId="11" quotePrefix="1" applyFont="1"/>
    <xf numFmtId="165" fontId="110" fillId="16" borderId="1" xfId="48" applyNumberFormat="1" applyFont="1" applyFill="1"/>
    <xf numFmtId="14" fontId="13" fillId="16" borderId="1" xfId="11" applyNumberFormat="1" applyFont="1" applyAlignment="1">
      <alignment horizontal="right"/>
    </xf>
    <xf numFmtId="173" fontId="90" fillId="11" borderId="1" xfId="11" applyNumberFormat="1" applyFont="1" applyFill="1"/>
    <xf numFmtId="164" fontId="29" fillId="0" borderId="1" xfId="11" applyFont="1" applyFill="1"/>
    <xf numFmtId="175" fontId="13" fillId="16" borderId="1" xfId="43" applyNumberFormat="1" applyFont="1"/>
    <xf numFmtId="0" fontId="22" fillId="16" borderId="1" xfId="11" quotePrefix="1" applyNumberFormat="1" applyFont="1" applyAlignment="1">
      <alignment horizontal="center" vertical="center" wrapText="1"/>
    </xf>
    <xf numFmtId="164" fontId="13" fillId="0" borderId="1" xfId="11" quotePrefix="1" applyFont="1" applyFill="1" applyAlignment="1">
      <alignment horizontal="left" wrapText="1"/>
    </xf>
    <xf numFmtId="164" fontId="30" fillId="0" borderId="1" xfId="0" applyFont="1"/>
    <xf numFmtId="49" fontId="1" fillId="16" borderId="1" xfId="11" quotePrefix="1" applyNumberFormat="1" applyFont="1" applyAlignment="1">
      <alignment horizontal="left"/>
    </xf>
    <xf numFmtId="176" fontId="5" fillId="9" borderId="8" xfId="11" applyNumberFormat="1" applyFont="1" applyFill="1" applyBorder="1" applyAlignment="1">
      <alignment horizontal="center" vertical="center" wrapText="1"/>
    </xf>
    <xf numFmtId="43" fontId="1" fillId="16" borderId="1" xfId="48" applyFont="1" applyFill="1"/>
    <xf numFmtId="43" fontId="29" fillId="0" borderId="1" xfId="48" applyFont="1"/>
    <xf numFmtId="43" fontId="1" fillId="0" borderId="1" xfId="48" applyFont="1"/>
    <xf numFmtId="43" fontId="90" fillId="0" borderId="1" xfId="48" applyFont="1"/>
    <xf numFmtId="49" fontId="8" fillId="16" borderId="1" xfId="43" applyNumberFormat="1" applyFont="1" applyAlignment="1">
      <alignment horizontal="center" vertical="center"/>
    </xf>
    <xf numFmtId="164" fontId="8" fillId="16" borderId="1" xfId="43" applyFont="1" applyAlignment="1">
      <alignment horizontal="center" vertical="center"/>
    </xf>
    <xf numFmtId="49" fontId="7" fillId="16" borderId="1" xfId="43" applyNumberFormat="1" applyFont="1" applyAlignment="1">
      <alignment horizontal="center"/>
    </xf>
    <xf numFmtId="49" fontId="25" fillId="16" borderId="1" xfId="43" applyNumberFormat="1" applyFont="1" applyAlignment="1">
      <alignment horizontal="center"/>
    </xf>
    <xf numFmtId="0" fontId="15" fillId="16" borderId="1" xfId="11" quotePrefix="1" applyNumberFormat="1" applyFont="1" applyAlignment="1">
      <alignment horizontal="center" vertical="center" wrapText="1"/>
    </xf>
    <xf numFmtId="0" fontId="13" fillId="16" borderId="1" xfId="43" applyNumberFormat="1" applyFont="1" applyAlignment="1">
      <alignment horizontal="center"/>
    </xf>
    <xf numFmtId="0" fontId="13" fillId="16" borderId="1" xfId="43" quotePrefix="1" applyNumberFormat="1" applyFont="1" applyAlignment="1">
      <alignment horizontal="center"/>
    </xf>
    <xf numFmtId="164" fontId="13" fillId="16" borderId="1" xfId="43" applyFont="1" applyAlignment="1">
      <alignment horizontal="center"/>
    </xf>
    <xf numFmtId="0" fontId="13" fillId="16" borderId="1" xfId="11" quotePrefix="1" applyNumberFormat="1" applyFont="1" applyAlignment="1">
      <alignment horizontal="center"/>
    </xf>
    <xf numFmtId="49" fontId="13" fillId="16" borderId="1" xfId="43" applyNumberFormat="1" applyFont="1" applyAlignment="1">
      <alignment horizontal="center"/>
    </xf>
    <xf numFmtId="164" fontId="7" fillId="16" borderId="1" xfId="43" applyFont="1" applyAlignment="1">
      <alignment horizontal="center"/>
    </xf>
    <xf numFmtId="164" fontId="13" fillId="16" borderId="1" xfId="43" quotePrefix="1" applyFont="1" applyAlignment="1">
      <alignment horizontal="center"/>
    </xf>
    <xf numFmtId="0" fontId="15" fillId="16" borderId="1" xfId="43" quotePrefix="1" applyNumberFormat="1" applyFont="1" applyAlignment="1">
      <alignment horizontal="center" vertical="center" wrapText="1"/>
    </xf>
    <xf numFmtId="164" fontId="1" fillId="0" borderId="1" xfId="0" applyFont="1" applyAlignment="1">
      <alignment wrapText="1"/>
    </xf>
    <xf numFmtId="164" fontId="1" fillId="0" borderId="1" xfId="0" quotePrefix="1" applyFont="1" applyAlignment="1">
      <alignment horizontal="right" wrapText="1"/>
    </xf>
    <xf numFmtId="1" fontId="19" fillId="0" borderId="6" xfId="11" applyNumberFormat="1" applyFont="1" applyFill="1" applyBorder="1" applyAlignment="1">
      <alignment horizontal="center" vertical="center"/>
    </xf>
    <xf numFmtId="165" fontId="4" fillId="15" borderId="6" xfId="12" applyNumberFormat="1" applyFont="1" applyFill="1" applyBorder="1" applyAlignment="1">
      <alignment horizontal="center" vertical="center"/>
    </xf>
    <xf numFmtId="9" fontId="34" fillId="16" borderId="1" xfId="42" applyFont="1"/>
    <xf numFmtId="175" fontId="13" fillId="16" borderId="1" xfId="43" applyNumberFormat="1" applyFont="1" applyAlignment="1">
      <alignment horizontal="center"/>
    </xf>
    <xf numFmtId="174" fontId="13" fillId="16" borderId="1" xfId="43" applyNumberFormat="1" applyFont="1" applyAlignment="1">
      <alignment horizontal="center"/>
    </xf>
    <xf numFmtId="174" fontId="7" fillId="16" borderId="1" xfId="43" applyNumberFormat="1" applyFont="1" applyAlignment="1">
      <alignment horizontal="center"/>
    </xf>
    <xf numFmtId="1" fontId="4" fillId="34" borderId="6" xfId="11" applyNumberFormat="1" applyFont="1" applyFill="1" applyBorder="1" applyAlignment="1">
      <alignment horizontal="center" vertical="center"/>
    </xf>
    <xf numFmtId="1" fontId="4" fillId="35" borderId="6" xfId="11" applyNumberFormat="1" applyFont="1" applyFill="1" applyBorder="1" applyAlignment="1">
      <alignment horizontal="center" vertical="center"/>
    </xf>
    <xf numFmtId="1" fontId="4" fillId="36" borderId="6" xfId="11" applyNumberFormat="1" applyFont="1" applyFill="1" applyBorder="1" applyAlignment="1">
      <alignment horizontal="center" vertical="center"/>
    </xf>
    <xf numFmtId="1" fontId="4" fillId="37" borderId="6" xfId="11" applyNumberFormat="1" applyFont="1" applyFill="1" applyBorder="1" applyAlignment="1">
      <alignment horizontal="center" vertical="center"/>
    </xf>
    <xf numFmtId="175" fontId="20" fillId="16" borderId="1" xfId="43" applyNumberFormat="1" applyFont="1" applyAlignment="1">
      <alignment horizontal="center"/>
    </xf>
    <xf numFmtId="175" fontId="15" fillId="0" borderId="1" xfId="43" applyNumberFormat="1" applyFont="1" applyFill="1" applyAlignment="1">
      <alignment horizontal="center"/>
    </xf>
    <xf numFmtId="165" fontId="56" fillId="0" borderId="1" xfId="48" applyNumberFormat="1" applyFont="1"/>
    <xf numFmtId="43" fontId="30" fillId="11" borderId="1" xfId="12" applyFont="1" applyFill="1"/>
    <xf numFmtId="173" fontId="90" fillId="16" borderId="1" xfId="48" applyNumberFormat="1" applyFont="1" applyFill="1"/>
    <xf numFmtId="165" fontId="1" fillId="0" borderId="1" xfId="48" quotePrefix="1" applyNumberFormat="1" applyFont="1"/>
    <xf numFmtId="165" fontId="1" fillId="0" borderId="1" xfId="48" applyNumberFormat="1" applyFont="1" applyAlignment="1">
      <alignment horizontal="center"/>
    </xf>
    <xf numFmtId="164" fontId="30" fillId="0" borderId="29" xfId="0" applyFont="1" applyBorder="1"/>
    <xf numFmtId="165" fontId="30" fillId="0" borderId="29" xfId="48" applyNumberFormat="1" applyFont="1" applyBorder="1"/>
    <xf numFmtId="165" fontId="30" fillId="16" borderId="1" xfId="48" applyNumberFormat="1" applyFont="1" applyFill="1"/>
    <xf numFmtId="165" fontId="29" fillId="26" borderId="1" xfId="48" applyNumberFormat="1" applyFont="1" applyFill="1"/>
    <xf numFmtId="164" fontId="29" fillId="26" borderId="1" xfId="0" applyFont="1" applyFill="1"/>
    <xf numFmtId="164" fontId="30" fillId="38" borderId="1" xfId="0" applyFont="1" applyFill="1"/>
    <xf numFmtId="165" fontId="34" fillId="38" borderId="1" xfId="48" applyNumberFormat="1" applyFont="1" applyFill="1"/>
    <xf numFmtId="166" fontId="121" fillId="16" borderId="1" xfId="11" applyNumberFormat="1" applyFont="1"/>
    <xf numFmtId="164" fontId="122" fillId="16" borderId="1" xfId="11" applyFont="1"/>
    <xf numFmtId="43" fontId="29" fillId="16" borderId="1" xfId="12" applyFont="1"/>
    <xf numFmtId="1" fontId="29" fillId="16" borderId="1" xfId="11" applyNumberFormat="1" applyFont="1"/>
    <xf numFmtId="43" fontId="122" fillId="16" borderId="1" xfId="12" applyFont="1"/>
    <xf numFmtId="164" fontId="30" fillId="0" borderId="19" xfId="0" applyFont="1" applyBorder="1"/>
    <xf numFmtId="165" fontId="30" fillId="0" borderId="19" xfId="48" applyNumberFormat="1" applyFont="1" applyBorder="1"/>
    <xf numFmtId="164" fontId="44" fillId="39" borderId="1" xfId="11" applyFont="1" applyFill="1"/>
    <xf numFmtId="166" fontId="123" fillId="16" borderId="1" xfId="11" applyNumberFormat="1" applyFont="1"/>
    <xf numFmtId="175" fontId="15" fillId="16" borderId="1" xfId="43" applyNumberFormat="1" applyFont="1" applyAlignment="1">
      <alignment horizontal="center"/>
    </xf>
    <xf numFmtId="1" fontId="46" fillId="16" borderId="13" xfId="13" applyNumberFormat="1" applyFont="1" applyBorder="1"/>
    <xf numFmtId="1" fontId="46" fillId="11" borderId="13" xfId="13" applyNumberFormat="1" applyFont="1" applyFill="1" applyBorder="1"/>
    <xf numFmtId="43" fontId="30" fillId="16" borderId="1" xfId="12" applyFont="1" applyAlignment="1">
      <alignment horizontal="center"/>
    </xf>
    <xf numFmtId="165" fontId="56" fillId="0" borderId="1" xfId="0" applyNumberFormat="1" applyFont="1"/>
    <xf numFmtId="165" fontId="34" fillId="11" borderId="1" xfId="48" applyNumberFormat="1" applyFont="1" applyFill="1"/>
    <xf numFmtId="177" fontId="30" fillId="11" borderId="1" xfId="0" applyNumberFormat="1" applyFont="1" applyFill="1"/>
    <xf numFmtId="171" fontId="110" fillId="11" borderId="1" xfId="11" applyNumberFormat="1" applyFont="1" applyFill="1" applyAlignment="1">
      <alignment horizontal="left" vertical="center"/>
    </xf>
    <xf numFmtId="0" fontId="15" fillId="11" borderId="1" xfId="11" applyNumberFormat="1" applyFont="1" applyFill="1" applyAlignment="1">
      <alignment horizontal="left"/>
    </xf>
    <xf numFmtId="16" fontId="110" fillId="11" borderId="1" xfId="11" applyNumberFormat="1" applyFont="1" applyFill="1"/>
    <xf numFmtId="44" fontId="110" fillId="11" borderId="1" xfId="13" applyFont="1" applyFill="1"/>
    <xf numFmtId="164" fontId="110" fillId="11" borderId="1" xfId="11" applyFont="1" applyFill="1"/>
    <xf numFmtId="165" fontId="110" fillId="16" borderId="15" xfId="48" applyNumberFormat="1" applyFont="1" applyFill="1" applyBorder="1"/>
    <xf numFmtId="0" fontId="22" fillId="16" borderId="1" xfId="11" applyNumberFormat="1" applyFont="1" applyAlignment="1">
      <alignment horizontal="left"/>
    </xf>
    <xf numFmtId="164" fontId="0" fillId="0" borderId="1" xfId="0" pivotButton="1"/>
    <xf numFmtId="164" fontId="0" fillId="0" borderId="1" xfId="0" applyAlignment="1">
      <alignment horizontal="left"/>
    </xf>
    <xf numFmtId="164" fontId="0" fillId="0" borderId="1" xfId="0" applyAlignment="1">
      <alignment horizontal="center"/>
    </xf>
    <xf numFmtId="43" fontId="13" fillId="16" borderId="15" xfId="48" applyFont="1" applyFill="1" applyBorder="1" applyAlignment="1">
      <alignment horizontal="left"/>
    </xf>
    <xf numFmtId="170" fontId="73" fillId="11" borderId="1" xfId="11" applyNumberFormat="1" applyFont="1" applyFill="1" applyAlignment="1">
      <alignment horizontal="left"/>
    </xf>
    <xf numFmtId="0" fontId="114" fillId="11" borderId="1" xfId="39" applyNumberFormat="1" applyFill="1" applyAlignment="1">
      <alignment horizontal="left" vertical="center" wrapText="1"/>
    </xf>
    <xf numFmtId="0" fontId="15" fillId="11" borderId="1" xfId="11" quotePrefix="1" applyNumberFormat="1" applyFont="1" applyFill="1" applyAlignment="1">
      <alignment horizontal="left" vertical="center" wrapText="1"/>
    </xf>
    <xf numFmtId="164" fontId="110" fillId="11" borderId="1" xfId="11" applyFont="1" applyFill="1" applyAlignment="1">
      <alignment horizontal="left"/>
    </xf>
    <xf numFmtId="171" fontId="20" fillId="0" borderId="1" xfId="11" applyNumberFormat="1" applyFont="1" applyFill="1" applyAlignment="1">
      <alignment horizontal="left"/>
    </xf>
    <xf numFmtId="171" fontId="15" fillId="0" borderId="1" xfId="11" applyNumberFormat="1" applyFont="1" applyFill="1" applyAlignment="1">
      <alignment horizontal="left"/>
    </xf>
    <xf numFmtId="17" fontId="22" fillId="16" borderId="1" xfId="11" quotePrefix="1" applyNumberFormat="1" applyFont="1" applyAlignment="1">
      <alignment horizontal="center" vertical="center" wrapText="1"/>
    </xf>
    <xf numFmtId="0" fontId="20" fillId="16" borderId="1" xfId="11" quotePrefix="1" applyNumberFormat="1" applyFont="1" applyAlignment="1">
      <alignment horizontal="center" vertical="center" wrapText="1"/>
    </xf>
    <xf numFmtId="0" fontId="20" fillId="16" borderId="1" xfId="43" applyNumberFormat="1" applyFont="1" applyAlignment="1">
      <alignment horizontal="center"/>
    </xf>
    <xf numFmtId="164" fontId="83" fillId="16" borderId="1" xfId="45" applyFont="1" applyFill="1"/>
    <xf numFmtId="44" fontId="83" fillId="16" borderId="1" xfId="45" applyNumberFormat="1" applyFont="1" applyFill="1" applyAlignment="1">
      <alignment horizontal="left" vertical="center" wrapText="1"/>
    </xf>
    <xf numFmtId="44" fontId="29" fillId="16" borderId="1" xfId="13" applyFont="1"/>
    <xf numFmtId="165" fontId="1" fillId="16" borderId="1" xfId="48" applyNumberFormat="1" applyFont="1" applyFill="1"/>
    <xf numFmtId="164" fontId="30" fillId="16" borderId="32" xfId="11" applyFont="1" applyBorder="1"/>
    <xf numFmtId="164" fontId="1" fillId="0" borderId="1" xfId="11" applyFont="1" applyFill="1"/>
    <xf numFmtId="164" fontId="30" fillId="40" borderId="1" xfId="11" applyFont="1" applyFill="1"/>
    <xf numFmtId="165" fontId="124" fillId="0" borderId="1" xfId="48" applyNumberFormat="1" applyFont="1"/>
    <xf numFmtId="165" fontId="30" fillId="0" borderId="1" xfId="48" applyNumberFormat="1" applyFont="1"/>
    <xf numFmtId="165" fontId="29" fillId="26" borderId="29" xfId="48" applyNumberFormat="1" applyFont="1" applyFill="1" applyBorder="1"/>
    <xf numFmtId="164" fontId="110" fillId="14" borderId="1" xfId="11" applyFont="1" applyFill="1" applyAlignment="1">
      <alignment horizontal="left"/>
    </xf>
    <xf numFmtId="164" fontId="44" fillId="15" borderId="1" xfId="11" applyFont="1" applyFill="1"/>
    <xf numFmtId="164" fontId="1" fillId="0" borderId="29" xfId="0" applyFont="1" applyBorder="1"/>
    <xf numFmtId="164" fontId="125" fillId="0" borderId="29" xfId="0" applyFont="1" applyBorder="1"/>
    <xf numFmtId="165" fontId="125" fillId="0" borderId="29" xfId="48" applyNumberFormat="1" applyFont="1" applyBorder="1"/>
    <xf numFmtId="175" fontId="13" fillId="26" borderId="1" xfId="43" applyNumberFormat="1" applyFont="1" applyFill="1" applyAlignment="1">
      <alignment horizontal="center"/>
    </xf>
    <xf numFmtId="16" fontId="22" fillId="16" borderId="1" xfId="11" quotePrefix="1" applyNumberFormat="1" applyFont="1" applyAlignment="1">
      <alignment horizontal="center" vertical="center" wrapText="1"/>
    </xf>
    <xf numFmtId="170" fontId="15" fillId="0" borderId="1" xfId="11" applyNumberFormat="1" applyFont="1" applyFill="1"/>
    <xf numFmtId="165" fontId="34" fillId="26" borderId="29" xfId="48" applyNumberFormat="1" applyFont="1" applyFill="1" applyBorder="1"/>
    <xf numFmtId="165" fontId="34" fillId="29" borderId="1" xfId="48" applyNumberFormat="1" applyFont="1" applyFill="1"/>
    <xf numFmtId="164" fontId="126" fillId="29" borderId="1" xfId="0" applyFont="1" applyFill="1"/>
    <xf numFmtId="165" fontId="127" fillId="29" borderId="1" xfId="48" applyNumberFormat="1" applyFont="1" applyFill="1"/>
    <xf numFmtId="43" fontId="91" fillId="16" borderId="1" xfId="48" applyFont="1" applyFill="1"/>
    <xf numFmtId="164" fontId="46" fillId="0" borderId="1" xfId="0" applyFont="1"/>
    <xf numFmtId="168" fontId="128" fillId="16" borderId="1" xfId="11" applyNumberFormat="1" applyFont="1" applyAlignment="1">
      <alignment horizontal="left" vertical="center" wrapText="1"/>
    </xf>
    <xf numFmtId="0" fontId="128" fillId="16" borderId="1" xfId="11" applyNumberFormat="1" applyFont="1" applyAlignment="1">
      <alignment horizontal="left" vertical="center" wrapText="1"/>
    </xf>
    <xf numFmtId="178" fontId="0" fillId="0" borderId="1" xfId="0" applyNumberFormat="1"/>
    <xf numFmtId="164" fontId="1" fillId="0" borderId="1" xfId="0" applyFont="1" applyAlignment="1">
      <alignment horizontal="center"/>
    </xf>
    <xf numFmtId="0" fontId="0" fillId="0" borderId="1" xfId="0" applyNumberFormat="1" applyAlignment="1">
      <alignment horizontal="center"/>
    </xf>
    <xf numFmtId="165" fontId="30" fillId="0" borderId="1" xfId="48" applyNumberFormat="1" applyFont="1" applyAlignment="1">
      <alignment vertical="center"/>
    </xf>
    <xf numFmtId="165" fontId="30" fillId="16" borderId="1" xfId="48" applyNumberFormat="1" applyFont="1" applyFill="1" applyAlignment="1">
      <alignment vertical="center"/>
    </xf>
    <xf numFmtId="165" fontId="30" fillId="0" borderId="1" xfId="48" applyNumberFormat="1" applyFont="1" applyAlignment="1">
      <alignment horizontal="center" vertical="center"/>
    </xf>
    <xf numFmtId="165" fontId="30" fillId="16" borderId="1" xfId="48" applyNumberFormat="1" applyFont="1" applyFill="1" applyAlignment="1">
      <alignment horizontal="center" vertical="center"/>
    </xf>
    <xf numFmtId="178" fontId="30" fillId="0" borderId="1" xfId="0" applyNumberFormat="1" applyFont="1" applyAlignment="1">
      <alignment horizontal="center"/>
    </xf>
    <xf numFmtId="166" fontId="91" fillId="16" borderId="1" xfId="11" quotePrefix="1" applyNumberFormat="1" applyFont="1"/>
    <xf numFmtId="166" fontId="7" fillId="0" borderId="1" xfId="11" applyNumberFormat="1" applyFont="1" applyFill="1"/>
    <xf numFmtId="43" fontId="1" fillId="0" borderId="1" xfId="12" applyFont="1" applyFill="1"/>
    <xf numFmtId="164" fontId="1" fillId="0" borderId="1" xfId="11" quotePrefix="1" applyFont="1" applyFill="1"/>
    <xf numFmtId="0" fontId="2" fillId="0" borderId="1" xfId="45" applyNumberFormat="1" applyFont="1" applyAlignment="1">
      <alignment horizontal="left" vertical="center" wrapText="1"/>
    </xf>
    <xf numFmtId="0" fontId="14" fillId="16" borderId="1" xfId="43" quotePrefix="1" applyNumberFormat="1" applyFont="1" applyAlignment="1">
      <alignment horizontal="center"/>
    </xf>
    <xf numFmtId="164" fontId="14" fillId="16" borderId="1" xfId="43" applyFont="1" applyAlignment="1">
      <alignment horizontal="center"/>
    </xf>
    <xf numFmtId="49" fontId="14" fillId="16" borderId="1" xfId="43" applyNumberFormat="1" applyFont="1" applyAlignment="1">
      <alignment horizontal="center"/>
    </xf>
    <xf numFmtId="9" fontId="1" fillId="16" borderId="1" xfId="47" applyFont="1" applyFill="1"/>
    <xf numFmtId="164" fontId="2" fillId="0" borderId="1" xfId="45" applyFont="1" applyAlignment="1">
      <alignment vertical="center" wrapText="1"/>
    </xf>
    <xf numFmtId="166" fontId="14" fillId="16" borderId="1" xfId="43" applyNumberFormat="1" applyFont="1"/>
    <xf numFmtId="165" fontId="22" fillId="16" borderId="1" xfId="48" quotePrefix="1" applyNumberFormat="1" applyFont="1" applyFill="1" applyAlignment="1">
      <alignment horizontal="center" vertical="center" wrapText="1"/>
    </xf>
    <xf numFmtId="173" fontId="125" fillId="0" borderId="29" xfId="0" applyNumberFormat="1" applyFont="1" applyBorder="1"/>
    <xf numFmtId="43" fontId="1" fillId="0" borderId="1" xfId="0" applyNumberFormat="1" applyFont="1"/>
    <xf numFmtId="43" fontId="129" fillId="41" borderId="1" xfId="0" applyNumberFormat="1" applyFont="1" applyFill="1"/>
    <xf numFmtId="165" fontId="88" fillId="11" borderId="13" xfId="48" applyNumberFormat="1" applyFont="1" applyFill="1" applyBorder="1"/>
    <xf numFmtId="175" fontId="13" fillId="0" borderId="1" xfId="43" applyNumberFormat="1" applyFont="1" applyFill="1" applyAlignment="1">
      <alignment horizontal="center"/>
    </xf>
    <xf numFmtId="171" fontId="130" fillId="0" borderId="1" xfId="0" applyNumberFormat="1" applyFont="1" applyAlignment="1">
      <alignment horizontal="left"/>
    </xf>
    <xf numFmtId="166" fontId="91" fillId="0" borderId="1" xfId="0" applyNumberFormat="1" applyFont="1"/>
    <xf numFmtId="43" fontId="91" fillId="0" borderId="1" xfId="0" applyNumberFormat="1" applyFont="1"/>
    <xf numFmtId="0" fontId="15" fillId="0" borderId="1" xfId="11" applyNumberFormat="1" applyFont="1" applyFill="1" applyAlignment="1">
      <alignment horizontal="left"/>
    </xf>
    <xf numFmtId="164" fontId="15" fillId="0" borderId="1" xfId="11" applyFont="1" applyFill="1"/>
    <xf numFmtId="16" fontId="15" fillId="0" borderId="1" xfId="11" applyNumberFormat="1" applyFont="1" applyFill="1"/>
    <xf numFmtId="44" fontId="15" fillId="0" borderId="1" xfId="13" applyFont="1" applyFill="1"/>
    <xf numFmtId="164" fontId="15" fillId="0" borderId="1" xfId="11" quotePrefix="1" applyFont="1" applyFill="1"/>
    <xf numFmtId="1" fontId="90" fillId="16" borderId="33" xfId="13" applyNumberFormat="1" applyFont="1" applyBorder="1"/>
    <xf numFmtId="1" fontId="30" fillId="16" borderId="34" xfId="13" applyNumberFormat="1" applyFont="1" applyBorder="1"/>
    <xf numFmtId="1" fontId="90" fillId="16" borderId="35" xfId="13" applyNumberFormat="1" applyFont="1" applyBorder="1"/>
    <xf numFmtId="0" fontId="15" fillId="0" borderId="1" xfId="11" quotePrefix="1" applyNumberFormat="1" applyFont="1" applyFill="1" applyAlignment="1">
      <alignment horizontal="left"/>
    </xf>
    <xf numFmtId="164" fontId="0" fillId="0" borderId="1" xfId="0" pivotButton="1" applyAlignment="1">
      <alignment horizontal="center" vertical="center"/>
    </xf>
    <xf numFmtId="164" fontId="0" fillId="0" borderId="1" xfId="0" applyAlignment="1">
      <alignment horizontal="center" vertical="center"/>
    </xf>
    <xf numFmtId="165" fontId="0" fillId="0" borderId="1" xfId="0" applyNumberFormat="1" applyAlignment="1">
      <alignment vertical="center"/>
    </xf>
    <xf numFmtId="1" fontId="1" fillId="16" borderId="1" xfId="13" applyNumberFormat="1" applyFont="1" applyAlignment="1">
      <alignment horizontal="left"/>
    </xf>
    <xf numFmtId="1" fontId="90" fillId="16" borderId="1" xfId="13" applyNumberFormat="1" applyFont="1" applyAlignment="1">
      <alignment horizontal="left"/>
    </xf>
    <xf numFmtId="1" fontId="88" fillId="16" borderId="19" xfId="13" applyNumberFormat="1" applyFont="1" applyBorder="1"/>
    <xf numFmtId="1" fontId="30" fillId="16" borderId="36" xfId="13" applyNumberFormat="1" applyFont="1" applyBorder="1"/>
    <xf numFmtId="165" fontId="90" fillId="16" borderId="1" xfId="11" applyNumberFormat="1" applyFont="1"/>
    <xf numFmtId="179" fontId="90" fillId="16" borderId="1" xfId="48" applyNumberFormat="1" applyFont="1" applyFill="1"/>
    <xf numFmtId="1" fontId="30" fillId="11" borderId="13" xfId="13" applyNumberFormat="1" applyFont="1" applyFill="1" applyBorder="1"/>
    <xf numFmtId="164" fontId="1" fillId="16" borderId="37" xfId="11" applyFont="1" applyBorder="1"/>
    <xf numFmtId="164" fontId="30" fillId="16" borderId="11" xfId="11" applyFont="1" applyBorder="1"/>
    <xf numFmtId="164" fontId="1" fillId="16" borderId="11" xfId="11" applyFont="1" applyBorder="1"/>
    <xf numFmtId="9" fontId="1" fillId="16" borderId="11" xfId="42" applyFont="1" applyBorder="1"/>
    <xf numFmtId="165" fontId="30" fillId="16" borderId="1" xfId="12" applyNumberFormat="1" applyFont="1" applyAlignment="1">
      <alignment horizontal="center" vertical="center"/>
    </xf>
    <xf numFmtId="164" fontId="30" fillId="16" borderId="38" xfId="11" applyFont="1" applyBorder="1"/>
    <xf numFmtId="164" fontId="30" fillId="39" borderId="1" xfId="11" applyFont="1" applyFill="1"/>
    <xf numFmtId="165" fontId="1" fillId="39" borderId="1" xfId="12" applyNumberFormat="1" applyFont="1" applyFill="1"/>
    <xf numFmtId="164" fontId="1" fillId="39" borderId="1" xfId="11" applyFont="1" applyFill="1"/>
    <xf numFmtId="43" fontId="1" fillId="29" borderId="1" xfId="12" applyFont="1" applyFill="1"/>
    <xf numFmtId="164" fontId="30" fillId="29" borderId="13" xfId="11" applyFont="1" applyFill="1" applyBorder="1"/>
    <xf numFmtId="165" fontId="90" fillId="16" borderId="13" xfId="12" applyNumberFormat="1" applyFont="1" applyBorder="1"/>
    <xf numFmtId="165" fontId="90" fillId="17" borderId="13" xfId="12" applyNumberFormat="1" applyFont="1" applyFill="1" applyBorder="1"/>
    <xf numFmtId="164" fontId="30" fillId="17" borderId="1" xfId="11" applyFont="1" applyFill="1"/>
    <xf numFmtId="165" fontId="90" fillId="17" borderId="1" xfId="48" applyNumberFormat="1" applyFont="1" applyFill="1"/>
    <xf numFmtId="165" fontId="90" fillId="26" borderId="1" xfId="48" applyNumberFormat="1" applyFont="1" applyFill="1"/>
    <xf numFmtId="1" fontId="88" fillId="16" borderId="29" xfId="13" applyNumberFormat="1" applyFont="1" applyBorder="1"/>
    <xf numFmtId="164" fontId="90" fillId="16" borderId="29" xfId="11" applyFont="1" applyBorder="1"/>
    <xf numFmtId="1" fontId="30" fillId="16" borderId="40" xfId="13" applyNumberFormat="1" applyFont="1" applyBorder="1"/>
    <xf numFmtId="164" fontId="88" fillId="16" borderId="40" xfId="11" applyFont="1" applyBorder="1" applyAlignment="1">
      <alignment horizontal="left" wrapText="1"/>
    </xf>
    <xf numFmtId="1" fontId="88" fillId="11" borderId="40" xfId="13" applyNumberFormat="1" applyFont="1" applyFill="1" applyBorder="1"/>
    <xf numFmtId="1" fontId="88" fillId="16" borderId="40" xfId="13" applyNumberFormat="1" applyFont="1" applyBorder="1"/>
    <xf numFmtId="164" fontId="88" fillId="16" borderId="36" xfId="11" applyFont="1" applyBorder="1" applyAlignment="1">
      <alignment horizontal="left" wrapText="1"/>
    </xf>
    <xf numFmtId="1" fontId="88" fillId="11" borderId="36" xfId="13" applyNumberFormat="1" applyFont="1" applyFill="1" applyBorder="1"/>
    <xf numFmtId="1" fontId="88" fillId="16" borderId="36" xfId="13" applyNumberFormat="1" applyFont="1" applyBorder="1"/>
    <xf numFmtId="165" fontId="30" fillId="11" borderId="1" xfId="48" applyNumberFormat="1" applyFont="1" applyFill="1"/>
    <xf numFmtId="165" fontId="131" fillId="42" borderId="1" xfId="88" applyNumberFormat="1"/>
    <xf numFmtId="164" fontId="15" fillId="16" borderId="1" xfId="11" quotePrefix="1" applyFont="1"/>
    <xf numFmtId="164" fontId="15" fillId="16" borderId="1" xfId="11" applyFont="1" applyAlignment="1">
      <alignment horizontal="left"/>
    </xf>
    <xf numFmtId="173" fontId="90" fillId="43" borderId="1" xfId="11" applyNumberFormat="1" applyFont="1" applyFill="1"/>
    <xf numFmtId="1" fontId="90" fillId="16" borderId="39" xfId="13" applyNumberFormat="1" applyFont="1" applyBorder="1"/>
    <xf numFmtId="9" fontId="30" fillId="16" borderId="40" xfId="42" applyFont="1" applyBorder="1"/>
    <xf numFmtId="165" fontId="30" fillId="16" borderId="29" xfId="12" applyNumberFormat="1" applyFont="1" applyBorder="1"/>
    <xf numFmtId="9" fontId="90" fillId="16" borderId="13" xfId="47" applyFont="1" applyFill="1" applyBorder="1"/>
    <xf numFmtId="180" fontId="90" fillId="11" borderId="13" xfId="13" applyNumberFormat="1" applyFont="1" applyFill="1" applyBorder="1"/>
    <xf numFmtId="181" fontId="90" fillId="11" borderId="13" xfId="13" applyNumberFormat="1" applyFont="1" applyFill="1" applyBorder="1"/>
    <xf numFmtId="166" fontId="7" fillId="26" borderId="13" xfId="11" applyNumberFormat="1" applyFont="1" applyFill="1" applyBorder="1"/>
    <xf numFmtId="164" fontId="1" fillId="26" borderId="13" xfId="11" applyFont="1" applyFill="1" applyBorder="1"/>
    <xf numFmtId="164" fontId="90" fillId="26" borderId="13" xfId="11" applyFont="1" applyFill="1" applyBorder="1"/>
    <xf numFmtId="43" fontId="1" fillId="26" borderId="13" xfId="12" applyFont="1" applyFill="1" applyBorder="1"/>
    <xf numFmtId="43" fontId="90" fillId="26" borderId="13" xfId="48" applyFont="1" applyFill="1" applyBorder="1"/>
    <xf numFmtId="0" fontId="128" fillId="16" borderId="1" xfId="11" quotePrefix="1" applyNumberFormat="1" applyFont="1" applyAlignment="1">
      <alignment horizontal="center" vertical="center" wrapText="1"/>
    </xf>
    <xf numFmtId="0" fontId="128" fillId="16" borderId="1" xfId="43" quotePrefix="1" applyNumberFormat="1" applyFont="1" applyAlignment="1">
      <alignment horizontal="center"/>
    </xf>
    <xf numFmtId="164" fontId="132" fillId="0" borderId="1" xfId="0" applyFont="1"/>
    <xf numFmtId="165" fontId="7" fillId="16" borderId="14" xfId="12" applyNumberFormat="1" applyFont="1" applyBorder="1" applyAlignment="1">
      <alignment horizontal="right"/>
    </xf>
    <xf numFmtId="164" fontId="30" fillId="0" borderId="37" xfId="0" applyFont="1" applyBorder="1"/>
    <xf numFmtId="164" fontId="1" fillId="26" borderId="13" xfId="11" quotePrefix="1" applyFont="1" applyFill="1" applyBorder="1"/>
    <xf numFmtId="164" fontId="74" fillId="16" borderId="1" xfId="45" applyFont="1" applyFill="1"/>
    <xf numFmtId="173" fontId="30" fillId="16" borderId="1" xfId="11" applyNumberFormat="1" applyFont="1"/>
    <xf numFmtId="171" fontId="15" fillId="0" borderId="1" xfId="11" quotePrefix="1" applyNumberFormat="1" applyFont="1" applyFill="1" applyAlignment="1">
      <alignment horizontal="left" vertical="center"/>
    </xf>
    <xf numFmtId="165" fontId="6" fillId="16" borderId="1" xfId="12" applyNumberFormat="1" applyFont="1" applyAlignment="1">
      <alignment horizontal="right"/>
    </xf>
    <xf numFmtId="164" fontId="0" fillId="11" borderId="1" xfId="0" applyFill="1"/>
    <xf numFmtId="165" fontId="0" fillId="16" borderId="1" xfId="48" applyNumberFormat="1" applyFont="1" applyFill="1"/>
    <xf numFmtId="166" fontId="20" fillId="16" borderId="1" xfId="43" applyNumberFormat="1" applyFont="1"/>
    <xf numFmtId="44" fontId="10" fillId="16" borderId="1" xfId="13" applyFont="1"/>
    <xf numFmtId="164" fontId="10" fillId="16" borderId="1" xfId="43" applyFont="1"/>
    <xf numFmtId="44" fontId="133" fillId="16" borderId="1" xfId="45" applyNumberFormat="1" applyFont="1" applyFill="1" applyAlignment="1">
      <alignment horizontal="left" vertical="center" wrapText="1"/>
    </xf>
    <xf numFmtId="49" fontId="10" fillId="16" borderId="1" xfId="43" applyNumberFormat="1" applyFont="1" applyAlignment="1">
      <alignment horizontal="center"/>
    </xf>
    <xf numFmtId="0" fontId="134" fillId="16" borderId="1" xfId="11" quotePrefix="1" applyNumberFormat="1" applyFont="1" applyAlignment="1">
      <alignment horizontal="center" vertical="center" wrapText="1"/>
    </xf>
    <xf numFmtId="49" fontId="10" fillId="16" borderId="1" xfId="43" applyNumberFormat="1" applyFont="1"/>
    <xf numFmtId="17" fontId="134" fillId="16" borderId="1" xfId="11" quotePrefix="1" applyNumberFormat="1" applyFont="1" applyAlignment="1">
      <alignment horizontal="center" vertical="center" wrapText="1"/>
    </xf>
    <xf numFmtId="164" fontId="10" fillId="16" borderId="1" xfId="43" applyFont="1" applyAlignment="1">
      <alignment horizontal="center"/>
    </xf>
    <xf numFmtId="175" fontId="20" fillId="0" borderId="1" xfId="43" applyNumberFormat="1" applyFont="1" applyFill="1" applyAlignment="1">
      <alignment horizontal="center"/>
    </xf>
    <xf numFmtId="164" fontId="133" fillId="16" borderId="1" xfId="45" applyFont="1" applyFill="1"/>
    <xf numFmtId="164" fontId="10" fillId="16" borderId="1" xfId="43" quotePrefix="1" applyFont="1"/>
    <xf numFmtId="164" fontId="135" fillId="16" borderId="1" xfId="39" applyFont="1" applyAlignment="1">
      <alignment horizontal="left"/>
    </xf>
    <xf numFmtId="175" fontId="20" fillId="16" borderId="1" xfId="43" applyNumberFormat="1" applyFont="1"/>
    <xf numFmtId="164" fontId="20" fillId="16" borderId="1" xfId="43" applyFont="1" applyAlignment="1">
      <alignment horizontal="center"/>
    </xf>
    <xf numFmtId="165" fontId="7" fillId="16" borderId="14" xfId="12" applyNumberFormat="1" applyFont="1" applyBorder="1"/>
    <xf numFmtId="171" fontId="15" fillId="16" borderId="1" xfId="11" applyNumberFormat="1" applyFont="1" applyAlignment="1">
      <alignment horizontal="left" vertical="center"/>
    </xf>
    <xf numFmtId="16" fontId="20" fillId="16" borderId="1" xfId="11" applyNumberFormat="1" applyFont="1"/>
    <xf numFmtId="9" fontId="34" fillId="16" borderId="13" xfId="42" applyFont="1" applyBorder="1"/>
    <xf numFmtId="49" fontId="13" fillId="11" borderId="1" xfId="11" applyNumberFormat="1" applyFont="1" applyFill="1" applyAlignment="1">
      <alignment horizontal="left"/>
    </xf>
    <xf numFmtId="16" fontId="13" fillId="11" borderId="1" xfId="11" applyNumberFormat="1" applyFont="1" applyFill="1"/>
    <xf numFmtId="44" fontId="13" fillId="11" borderId="1" xfId="13" applyFont="1" applyFill="1"/>
    <xf numFmtId="164" fontId="13" fillId="11" borderId="1" xfId="11" quotePrefix="1" applyFont="1" applyFill="1"/>
    <xf numFmtId="0" fontId="20" fillId="0" borderId="1" xfId="11" applyNumberFormat="1" applyFont="1" applyFill="1" applyAlignment="1">
      <alignment horizontal="left"/>
    </xf>
    <xf numFmtId="171" fontId="20" fillId="0" borderId="1" xfId="11" quotePrefix="1" applyNumberFormat="1" applyFont="1" applyFill="1" applyAlignment="1">
      <alignment horizontal="left" vertical="center"/>
    </xf>
    <xf numFmtId="0" fontId="15" fillId="0" borderId="1" xfId="11" applyNumberFormat="1" applyFont="1" applyFill="1" applyAlignment="1">
      <alignment horizontal="left" vertical="top"/>
    </xf>
    <xf numFmtId="164" fontId="2" fillId="16" borderId="1" xfId="45" applyFont="1" applyFill="1" applyAlignment="1">
      <alignment horizontal="left" vertical="top"/>
    </xf>
    <xf numFmtId="0" fontId="15" fillId="0" borderId="1" xfId="11" quotePrefix="1" applyNumberFormat="1" applyFont="1" applyFill="1"/>
    <xf numFmtId="165" fontId="30" fillId="0" borderId="1" xfId="12" applyNumberFormat="1" applyFont="1" applyFill="1" applyAlignment="1">
      <alignment horizontal="center" vertical="center"/>
    </xf>
    <xf numFmtId="165" fontId="1" fillId="0" borderId="1" xfId="12" applyNumberFormat="1" applyFont="1" applyFill="1"/>
    <xf numFmtId="44" fontId="1" fillId="0" borderId="1" xfId="13" applyFont="1" applyFill="1"/>
    <xf numFmtId="43" fontId="30" fillId="0" borderId="15" xfId="12" applyFont="1" applyFill="1" applyBorder="1"/>
    <xf numFmtId="9" fontId="1" fillId="0" borderId="11" xfId="42" applyFont="1" applyFill="1" applyBorder="1"/>
    <xf numFmtId="164" fontId="1" fillId="0" borderId="37" xfId="11" applyFont="1" applyFill="1" applyBorder="1"/>
    <xf numFmtId="43" fontId="1" fillId="26" borderId="1" xfId="12" applyFont="1" applyFill="1"/>
    <xf numFmtId="164" fontId="1" fillId="26" borderId="1" xfId="11" applyFont="1" applyFill="1"/>
    <xf numFmtId="164" fontId="30" fillId="26" borderId="38" xfId="11" applyFont="1" applyFill="1" applyBorder="1"/>
    <xf numFmtId="164" fontId="1" fillId="16" borderId="1" xfId="11" applyFont="1" applyAlignment="1">
      <alignment horizontal="left"/>
    </xf>
    <xf numFmtId="44" fontId="29" fillId="16" borderId="1" xfId="13" applyFont="1" applyAlignment="1">
      <alignment horizontal="left"/>
    </xf>
    <xf numFmtId="9" fontId="1" fillId="16" borderId="1" xfId="42" applyFont="1" applyAlignment="1">
      <alignment horizontal="left"/>
    </xf>
    <xf numFmtId="49" fontId="0" fillId="0" borderId="1" xfId="0" applyNumberFormat="1"/>
    <xf numFmtId="164" fontId="15" fillId="16" borderId="1" xfId="11" applyFont="1" applyAlignment="1">
      <alignment horizontal="left" vertical="center"/>
    </xf>
    <xf numFmtId="182" fontId="1" fillId="16" borderId="1" xfId="12" applyNumberFormat="1" applyFont="1"/>
    <xf numFmtId="0" fontId="15" fillId="0" borderId="1" xfId="11" applyNumberFormat="1" applyFont="1" applyFill="1"/>
    <xf numFmtId="16" fontId="20" fillId="0" borderId="1" xfId="11" applyNumberFormat="1" applyFont="1" applyFill="1"/>
    <xf numFmtId="165" fontId="15" fillId="16" borderId="1" xfId="12" applyNumberFormat="1" applyFont="1"/>
    <xf numFmtId="43" fontId="15" fillId="16" borderId="1" xfId="48" applyFont="1" applyFill="1" applyAlignment="1">
      <alignment horizontal="left"/>
    </xf>
    <xf numFmtId="164" fontId="135" fillId="16" borderId="1" xfId="39" applyFont="1"/>
    <xf numFmtId="166" fontId="136" fillId="16" borderId="1" xfId="11" applyNumberFormat="1" applyFont="1"/>
    <xf numFmtId="16" fontId="132" fillId="16" borderId="1" xfId="11" applyNumberFormat="1" applyFont="1"/>
    <xf numFmtId="43" fontId="136" fillId="16" borderId="1" xfId="48" applyFont="1" applyFill="1"/>
    <xf numFmtId="166" fontId="136" fillId="16" borderId="1" xfId="11" quotePrefix="1" applyNumberFormat="1" applyFont="1"/>
    <xf numFmtId="164" fontId="30" fillId="16" borderId="37" xfId="11" applyFont="1" applyBorder="1"/>
    <xf numFmtId="164" fontId="137" fillId="16" borderId="1" xfId="11" quotePrefix="1" applyFont="1"/>
    <xf numFmtId="1" fontId="88" fillId="17" borderId="36" xfId="13" applyNumberFormat="1" applyFont="1" applyFill="1" applyBorder="1"/>
    <xf numFmtId="1" fontId="30" fillId="17" borderId="36" xfId="13" applyNumberFormat="1" applyFont="1" applyFill="1" applyBorder="1"/>
    <xf numFmtId="1" fontId="88" fillId="17" borderId="40" xfId="13" applyNumberFormat="1" applyFont="1" applyFill="1" applyBorder="1"/>
    <xf numFmtId="170" fontId="65" fillId="16" borderId="1" xfId="11" applyNumberFormat="1" applyFont="1"/>
    <xf numFmtId="16" fontId="30" fillId="16" borderId="1" xfId="11" applyNumberFormat="1" applyFont="1"/>
    <xf numFmtId="43" fontId="123" fillId="16" borderId="1" xfId="48" applyFont="1" applyFill="1"/>
    <xf numFmtId="166" fontId="123" fillId="16" borderId="1" xfId="11" quotePrefix="1" applyNumberFormat="1" applyFont="1"/>
    <xf numFmtId="164" fontId="98" fillId="16" borderId="1" xfId="11" applyFont="1"/>
    <xf numFmtId="9" fontId="34" fillId="16" borderId="39" xfId="42" applyFont="1" applyBorder="1"/>
    <xf numFmtId="9" fontId="29" fillId="16" borderId="1" xfId="42" applyFont="1"/>
    <xf numFmtId="164" fontId="138" fillId="16" borderId="29" xfId="11" applyFont="1" applyBorder="1"/>
    <xf numFmtId="173" fontId="138" fillId="16" borderId="29" xfId="11" applyNumberFormat="1" applyFont="1" applyBorder="1"/>
    <xf numFmtId="165" fontId="139" fillId="16" borderId="29" xfId="48" applyNumberFormat="1" applyFont="1" applyFill="1" applyBorder="1"/>
    <xf numFmtId="164" fontId="138" fillId="16" borderId="1" xfId="11" applyFont="1"/>
    <xf numFmtId="173" fontId="138" fillId="16" borderId="1" xfId="11" applyNumberFormat="1" applyFont="1"/>
    <xf numFmtId="9" fontId="139" fillId="16" borderId="1" xfId="47" applyFont="1" applyFill="1"/>
    <xf numFmtId="9" fontId="34" fillId="16" borderId="1" xfId="47" applyFont="1" applyFill="1"/>
    <xf numFmtId="165" fontId="88" fillId="11" borderId="40" xfId="48" applyNumberFormat="1" applyFont="1" applyFill="1" applyBorder="1"/>
    <xf numFmtId="1" fontId="88" fillId="26" borderId="40" xfId="13" applyNumberFormat="1" applyFont="1" applyFill="1" applyBorder="1"/>
    <xf numFmtId="173" fontId="30" fillId="16" borderId="1" xfId="48" applyNumberFormat="1" applyFont="1" applyFill="1"/>
    <xf numFmtId="16" fontId="14" fillId="16" borderId="1" xfId="11" applyNumberFormat="1" applyFont="1"/>
    <xf numFmtId="0" fontId="22" fillId="0" borderId="1" xfId="11" applyNumberFormat="1" applyFont="1" applyFill="1" applyAlignment="1">
      <alignment horizontal="left"/>
    </xf>
    <xf numFmtId="16" fontId="20" fillId="0" borderId="1" xfId="11" applyNumberFormat="1" applyFont="1" applyFill="1" applyAlignment="1">
      <alignment horizontal="left"/>
    </xf>
    <xf numFmtId="165" fontId="30" fillId="38" borderId="1" xfId="48" applyNumberFormat="1" applyFont="1" applyFill="1"/>
    <xf numFmtId="43" fontId="121" fillId="16" borderId="1" xfId="48" applyFont="1" applyFill="1"/>
    <xf numFmtId="166" fontId="121" fillId="16" borderId="1" xfId="11" quotePrefix="1" applyNumberFormat="1" applyFont="1"/>
    <xf numFmtId="164" fontId="1" fillId="44" borderId="1" xfId="0" applyFont="1" applyFill="1"/>
    <xf numFmtId="9" fontId="88" fillId="11" borderId="40" xfId="47" applyFont="1" applyFill="1" applyBorder="1"/>
    <xf numFmtId="164" fontId="91" fillId="16" borderId="1" xfId="48" applyNumberFormat="1" applyFont="1" applyFill="1"/>
    <xf numFmtId="14" fontId="65" fillId="16" borderId="1" xfId="11" applyNumberFormat="1" applyFont="1"/>
    <xf numFmtId="44" fontId="30" fillId="16" borderId="1" xfId="89" applyFont="1" applyFill="1"/>
    <xf numFmtId="166" fontId="141" fillId="16" borderId="1" xfId="11" applyNumberFormat="1" applyFont="1"/>
    <xf numFmtId="16" fontId="142" fillId="16" borderId="1" xfId="11" applyNumberFormat="1" applyFont="1"/>
    <xf numFmtId="164" fontId="143" fillId="16" borderId="1" xfId="48" applyNumberFormat="1" applyFont="1" applyFill="1"/>
    <xf numFmtId="166" fontId="144" fillId="0" borderId="1" xfId="0" applyNumberFormat="1" applyFont="1"/>
    <xf numFmtId="166" fontId="145" fillId="26" borderId="13" xfId="11" applyNumberFormat="1" applyFont="1" applyFill="1" applyBorder="1"/>
    <xf numFmtId="9" fontId="30" fillId="0" borderId="1" xfId="47" applyFont="1"/>
    <xf numFmtId="166" fontId="141" fillId="0" borderId="1" xfId="0" applyNumberFormat="1" applyFont="1"/>
    <xf numFmtId="166" fontId="144" fillId="16" borderId="1" xfId="11" applyNumberFormat="1" applyFont="1"/>
    <xf numFmtId="16" fontId="146" fillId="16" borderId="1" xfId="11" applyNumberFormat="1" applyFont="1"/>
    <xf numFmtId="164" fontId="147" fillId="16" borderId="1" xfId="48" applyNumberFormat="1" applyFont="1" applyFill="1"/>
    <xf numFmtId="9" fontId="56" fillId="0" borderId="1" xfId="47" applyFont="1"/>
    <xf numFmtId="164" fontId="30" fillId="0" borderId="1" xfId="0" applyFont="1" applyAlignment="1">
      <alignment horizontal="right"/>
    </xf>
    <xf numFmtId="165" fontId="57" fillId="0" borderId="1" xfId="48" applyNumberFormat="1" applyFont="1"/>
    <xf numFmtId="164" fontId="124" fillId="11" borderId="1" xfId="11" applyFont="1" applyFill="1"/>
    <xf numFmtId="173" fontId="124" fillId="11" borderId="1" xfId="11" applyNumberFormat="1" applyFont="1" applyFill="1"/>
    <xf numFmtId="167" fontId="0" fillId="0" borderId="1" xfId="48" applyNumberFormat="1" applyFont="1"/>
    <xf numFmtId="164" fontId="19" fillId="16" borderId="1" xfId="11" applyFont="1" applyAlignment="1">
      <alignment horizontal="left"/>
    </xf>
    <xf numFmtId="165" fontId="1" fillId="11" borderId="1" xfId="48" applyNumberFormat="1" applyFont="1" applyFill="1"/>
    <xf numFmtId="164" fontId="56" fillId="11" borderId="1" xfId="0" applyFont="1" applyFill="1"/>
    <xf numFmtId="164" fontId="1" fillId="11" borderId="1" xfId="0" applyFont="1" applyFill="1"/>
    <xf numFmtId="171" fontId="15" fillId="11" borderId="1" xfId="11" quotePrefix="1" applyNumberFormat="1" applyFont="1" applyFill="1" applyAlignment="1">
      <alignment horizontal="left" vertical="center"/>
    </xf>
    <xf numFmtId="164" fontId="15" fillId="11" borderId="1" xfId="11" applyFont="1" applyFill="1"/>
    <xf numFmtId="16" fontId="15" fillId="11" borderId="1" xfId="11" applyNumberFormat="1" applyFont="1" applyFill="1"/>
    <xf numFmtId="44" fontId="15" fillId="11" borderId="1" xfId="13" applyFont="1" applyFill="1"/>
    <xf numFmtId="164" fontId="2" fillId="11" borderId="1" xfId="45" applyFont="1" applyFill="1"/>
    <xf numFmtId="0" fontId="15" fillId="11" borderId="1" xfId="11" quotePrefix="1" applyNumberFormat="1" applyFont="1" applyFill="1" applyAlignment="1">
      <alignment horizontal="left"/>
    </xf>
    <xf numFmtId="164" fontId="15" fillId="11" borderId="1" xfId="11" quotePrefix="1" applyFont="1" applyFill="1"/>
    <xf numFmtId="164" fontId="15" fillId="16" borderId="1" xfId="11" quotePrefix="1" applyFont="1" applyAlignment="1">
      <alignment wrapText="1"/>
    </xf>
    <xf numFmtId="164" fontId="30" fillId="0" borderId="29" xfId="11" applyFont="1" applyFill="1" applyBorder="1"/>
    <xf numFmtId="173" fontId="88" fillId="0" borderId="29" xfId="11" applyNumberFormat="1" applyFont="1" applyFill="1" applyBorder="1"/>
    <xf numFmtId="165" fontId="34" fillId="0" borderId="29" xfId="48" applyNumberFormat="1" applyFont="1" applyBorder="1"/>
    <xf numFmtId="165" fontId="34" fillId="16" borderId="29" xfId="48" applyNumberFormat="1" applyFont="1" applyFill="1" applyBorder="1"/>
    <xf numFmtId="165" fontId="30" fillId="11" borderId="1" xfId="12" applyNumberFormat="1" applyFont="1" applyFill="1" applyAlignment="1">
      <alignment horizontal="center" vertical="center"/>
    </xf>
    <xf numFmtId="44" fontId="1" fillId="11" borderId="1" xfId="13" applyFont="1" applyFill="1"/>
    <xf numFmtId="43" fontId="30" fillId="11" borderId="15" xfId="12" applyFont="1" applyFill="1" applyBorder="1"/>
    <xf numFmtId="164" fontId="30" fillId="11" borderId="38" xfId="11" applyFont="1" applyFill="1" applyBorder="1"/>
    <xf numFmtId="9" fontId="1" fillId="11" borderId="11" xfId="42" applyFont="1" applyFill="1" applyBorder="1"/>
    <xf numFmtId="164" fontId="1" fillId="11" borderId="37" xfId="11" applyFont="1" applyFill="1" applyBorder="1"/>
    <xf numFmtId="167" fontId="1" fillId="39" borderId="1" xfId="48" applyNumberFormat="1" applyFont="1" applyFill="1"/>
    <xf numFmtId="164" fontId="88" fillId="0" borderId="40" xfId="11" applyFont="1" applyFill="1" applyBorder="1" applyAlignment="1">
      <alignment horizontal="left" wrapText="1"/>
    </xf>
    <xf numFmtId="164" fontId="148" fillId="26" borderId="13" xfId="11" applyFont="1" applyFill="1" applyBorder="1"/>
    <xf numFmtId="164" fontId="30" fillId="22" borderId="13" xfId="11" applyFont="1" applyFill="1" applyBorder="1"/>
    <xf numFmtId="164" fontId="30" fillId="22" borderId="13" xfId="11" quotePrefix="1" applyFont="1" applyFill="1" applyBorder="1"/>
    <xf numFmtId="164" fontId="1" fillId="22" borderId="13" xfId="11" applyFont="1" applyFill="1" applyBorder="1"/>
    <xf numFmtId="164" fontId="1" fillId="22" borderId="13" xfId="11" quotePrefix="1" applyFont="1" applyFill="1" applyBorder="1"/>
    <xf numFmtId="1" fontId="124" fillId="26" borderId="40" xfId="13" applyNumberFormat="1" applyFont="1" applyFill="1" applyBorder="1"/>
    <xf numFmtId="43" fontId="88" fillId="16" borderId="1" xfId="48" applyFont="1" applyFill="1" applyAlignment="1">
      <alignment horizontal="left" wrapText="1"/>
    </xf>
    <xf numFmtId="165" fontId="88" fillId="16" borderId="1" xfId="48" applyNumberFormat="1" applyFont="1" applyFill="1" applyAlignment="1">
      <alignment horizontal="left" wrapText="1"/>
    </xf>
    <xf numFmtId="9" fontId="88" fillId="16" borderId="1" xfId="47" applyFont="1" applyFill="1" applyAlignment="1">
      <alignment horizontal="right" wrapText="1"/>
    </xf>
    <xf numFmtId="43" fontId="124" fillId="16" borderId="1" xfId="48" applyFont="1" applyFill="1" applyAlignment="1">
      <alignment horizontal="left" wrapText="1"/>
    </xf>
    <xf numFmtId="43" fontId="124" fillId="16" borderId="19" xfId="48" applyFont="1" applyFill="1" applyBorder="1" applyAlignment="1">
      <alignment horizontal="left" wrapText="1"/>
    </xf>
    <xf numFmtId="173" fontId="88" fillId="0" borderId="19" xfId="48" applyNumberFormat="1" applyFont="1" applyBorder="1" applyAlignment="1">
      <alignment horizontal="left" wrapText="1"/>
    </xf>
    <xf numFmtId="43" fontId="124" fillId="44" borderId="1" xfId="48" applyFont="1" applyFill="1" applyAlignment="1">
      <alignment horizontal="left" wrapText="1"/>
    </xf>
    <xf numFmtId="43" fontId="124" fillId="44" borderId="19" xfId="48" applyFont="1" applyFill="1" applyBorder="1" applyAlignment="1">
      <alignment horizontal="left" wrapText="1"/>
    </xf>
    <xf numFmtId="43" fontId="88" fillId="0" borderId="1" xfId="48" applyFont="1" applyAlignment="1">
      <alignment horizontal="left" wrapText="1"/>
    </xf>
    <xf numFmtId="169" fontId="149" fillId="16" borderId="1" xfId="11" applyNumberFormat="1" applyFont="1" applyAlignment="1">
      <alignment horizontal="left" wrapText="1"/>
    </xf>
    <xf numFmtId="177" fontId="30" fillId="21" borderId="1" xfId="0" applyNumberFormat="1" applyFont="1" applyFill="1"/>
    <xf numFmtId="173" fontId="30" fillId="0" borderId="1" xfId="0" applyNumberFormat="1" applyFont="1"/>
    <xf numFmtId="165" fontId="46" fillId="0" borderId="1" xfId="48" applyNumberFormat="1" applyFont="1"/>
    <xf numFmtId="164" fontId="46" fillId="44" borderId="1" xfId="0" applyFont="1" applyFill="1"/>
    <xf numFmtId="165" fontId="46" fillId="11" borderId="1" xfId="48" applyNumberFormat="1" applyFont="1" applyFill="1"/>
    <xf numFmtId="164" fontId="46" fillId="11" borderId="1" xfId="0" applyFont="1" applyFill="1"/>
    <xf numFmtId="182" fontId="56" fillId="0" borderId="1" xfId="47" applyNumberFormat="1" applyFont="1"/>
    <xf numFmtId="183" fontId="30" fillId="0" borderId="1" xfId="89" applyNumberFormat="1" applyFont="1"/>
    <xf numFmtId="165" fontId="57" fillId="11" borderId="41" xfId="48" applyNumberFormat="1" applyFont="1" applyFill="1" applyBorder="1"/>
    <xf numFmtId="164" fontId="30" fillId="0" borderId="1" xfId="0" applyFont="1" applyAlignment="1">
      <alignment vertical="center"/>
    </xf>
    <xf numFmtId="173" fontId="56" fillId="0" borderId="1" xfId="0" applyNumberFormat="1" applyFont="1"/>
    <xf numFmtId="165" fontId="57" fillId="35" borderId="1" xfId="48" applyNumberFormat="1" applyFont="1" applyFill="1"/>
    <xf numFmtId="173" fontId="30" fillId="0" borderId="29" xfId="0" applyNumberFormat="1" applyFont="1" applyBorder="1"/>
    <xf numFmtId="173" fontId="1" fillId="0" borderId="1" xfId="0" applyNumberFormat="1" applyFont="1"/>
    <xf numFmtId="183" fontId="56" fillId="0" borderId="1" xfId="89" applyNumberFormat="1" applyFont="1"/>
    <xf numFmtId="164" fontId="56" fillId="46" borderId="1" xfId="0" applyFont="1" applyFill="1"/>
    <xf numFmtId="164" fontId="1" fillId="46" borderId="1" xfId="0" applyFont="1" applyFill="1"/>
    <xf numFmtId="165" fontId="56" fillId="46" borderId="1" xfId="48" applyNumberFormat="1" applyFont="1" applyFill="1"/>
    <xf numFmtId="9" fontId="56" fillId="46" borderId="1" xfId="47" applyFont="1" applyFill="1"/>
    <xf numFmtId="173" fontId="57" fillId="0" borderId="19" xfId="0" applyNumberFormat="1" applyFont="1" applyBorder="1"/>
    <xf numFmtId="177" fontId="30" fillId="21" borderId="1" xfId="0" applyNumberFormat="1" applyFont="1" applyFill="1" applyAlignment="1">
      <alignment horizontal="right"/>
    </xf>
    <xf numFmtId="164" fontId="43" fillId="0" borderId="1" xfId="0" applyFont="1"/>
    <xf numFmtId="165" fontId="29" fillId="16" borderId="1" xfId="12" applyNumberFormat="1" applyFont="1"/>
    <xf numFmtId="164" fontId="40" fillId="0" borderId="1" xfId="0" applyFont="1"/>
    <xf numFmtId="43" fontId="91" fillId="16" borderId="1" xfId="48" quotePrefix="1" applyFont="1" applyFill="1"/>
    <xf numFmtId="184" fontId="88" fillId="29" borderId="13" xfId="11" applyNumberFormat="1" applyFont="1" applyFill="1" applyBorder="1" applyAlignment="1">
      <alignment horizontal="center"/>
    </xf>
    <xf numFmtId="171" fontId="15" fillId="11" borderId="1" xfId="11" applyNumberFormat="1" applyFont="1" applyFill="1" applyAlignment="1">
      <alignment horizontal="left"/>
    </xf>
    <xf numFmtId="170" fontId="15" fillId="11" borderId="1" xfId="11" applyNumberFormat="1" applyFont="1" applyFill="1"/>
    <xf numFmtId="165" fontId="15" fillId="11" borderId="1" xfId="12" applyNumberFormat="1" applyFont="1" applyFill="1"/>
    <xf numFmtId="43" fontId="15" fillId="11" borderId="1" xfId="48" applyFont="1" applyFill="1" applyAlignment="1">
      <alignment horizontal="left"/>
    </xf>
    <xf numFmtId="164" fontId="22" fillId="16" borderId="1" xfId="11" applyFont="1"/>
    <xf numFmtId="164" fontId="22" fillId="16" borderId="1" xfId="11" applyFont="1" applyAlignment="1">
      <alignment horizontal="left"/>
    </xf>
    <xf numFmtId="164" fontId="22" fillId="16" borderId="1" xfId="11" applyFont="1" applyAlignment="1">
      <alignment horizontal="left" vertical="center"/>
    </xf>
    <xf numFmtId="0" fontId="22" fillId="0" borderId="1" xfId="11" applyNumberFormat="1" applyFont="1" applyFill="1" applyAlignment="1">
      <alignment horizontal="left" vertical="top"/>
    </xf>
    <xf numFmtId="164" fontId="30" fillId="26" borderId="1" xfId="0" applyFont="1" applyFill="1" applyAlignment="1">
      <alignment horizontal="center"/>
    </xf>
    <xf numFmtId="164" fontId="0" fillId="26" borderId="1" xfId="0" applyFill="1"/>
    <xf numFmtId="165" fontId="0" fillId="26" borderId="1" xfId="48" applyNumberFormat="1" applyFont="1" applyFill="1"/>
    <xf numFmtId="167" fontId="0" fillId="26" borderId="1" xfId="48" applyNumberFormat="1" applyFont="1" applyFill="1"/>
    <xf numFmtId="165" fontId="46" fillId="26" borderId="1" xfId="48" applyNumberFormat="1" applyFont="1" applyFill="1"/>
    <xf numFmtId="164" fontId="1" fillId="0" borderId="1" xfId="0" quotePrefix="1" applyFont="1"/>
    <xf numFmtId="16" fontId="14" fillId="16" borderId="1" xfId="11" applyNumberFormat="1" applyFont="1" applyAlignment="1">
      <alignment horizontal="left"/>
    </xf>
    <xf numFmtId="44" fontId="14" fillId="16" borderId="1" xfId="13" applyFont="1" applyAlignment="1">
      <alignment horizontal="left"/>
    </xf>
    <xf numFmtId="164" fontId="15" fillId="0" borderId="1" xfId="11" applyFont="1" applyFill="1" applyAlignment="1">
      <alignment horizontal="left"/>
    </xf>
    <xf numFmtId="16" fontId="13" fillId="16" borderId="1" xfId="11" applyNumberFormat="1" applyFont="1" applyAlignment="1">
      <alignment horizontal="left"/>
    </xf>
    <xf numFmtId="44" fontId="13" fillId="16" borderId="1" xfId="13" applyFont="1" applyAlignment="1">
      <alignment horizontal="left"/>
    </xf>
    <xf numFmtId="185" fontId="90" fillId="16" borderId="1" xfId="11" applyNumberFormat="1" applyFont="1"/>
    <xf numFmtId="49" fontId="7" fillId="16" borderId="1" xfId="43" quotePrefix="1" applyNumberFormat="1" applyFont="1" applyAlignment="1">
      <alignment horizontal="center"/>
    </xf>
    <xf numFmtId="44" fontId="2" fillId="16" borderId="1" xfId="45" applyNumberFormat="1" applyFont="1" applyFill="1" applyAlignment="1">
      <alignment horizontal="left" vertical="center" wrapText="1"/>
    </xf>
    <xf numFmtId="164" fontId="1" fillId="16" borderId="1" xfId="0" applyFont="1" applyFill="1"/>
    <xf numFmtId="49" fontId="13" fillId="16" borderId="1" xfId="11" quotePrefix="1" applyNumberFormat="1" applyFont="1" applyAlignment="1">
      <alignment horizontal="left"/>
    </xf>
    <xf numFmtId="182" fontId="90" fillId="16" borderId="1" xfId="47" applyNumberFormat="1" applyFont="1" applyFill="1"/>
    <xf numFmtId="171" fontId="150" fillId="0" borderId="1" xfId="11" quotePrefix="1" applyNumberFormat="1" applyFont="1" applyFill="1" applyAlignment="1">
      <alignment horizontal="left" vertical="center"/>
    </xf>
    <xf numFmtId="0" fontId="150" fillId="0" borderId="1" xfId="11" applyNumberFormat="1" applyFont="1" applyFill="1" applyAlignment="1">
      <alignment horizontal="left"/>
    </xf>
    <xf numFmtId="164" fontId="150" fillId="0" borderId="1" xfId="11" applyFont="1" applyFill="1"/>
    <xf numFmtId="16" fontId="150" fillId="0" borderId="1" xfId="11" applyNumberFormat="1" applyFont="1" applyFill="1"/>
    <xf numFmtId="44" fontId="150" fillId="0" borderId="1" xfId="13" applyFont="1" applyFill="1"/>
    <xf numFmtId="164" fontId="110" fillId="0" borderId="1" xfId="11" applyFont="1" applyFill="1"/>
    <xf numFmtId="49" fontId="110" fillId="0" borderId="1" xfId="11" applyNumberFormat="1" applyFont="1" applyFill="1" applyAlignment="1">
      <alignment horizontal="left"/>
    </xf>
    <xf numFmtId="44" fontId="110" fillId="0" borderId="1" xfId="13" applyFont="1" applyFill="1"/>
    <xf numFmtId="164" fontId="110" fillId="0" borderId="1" xfId="11" applyFont="1" applyFill="1" applyAlignment="1">
      <alignment horizontal="left"/>
    </xf>
    <xf numFmtId="171" fontId="20" fillId="11" borderId="1" xfId="11" quotePrefix="1" applyNumberFormat="1" applyFont="1" applyFill="1" applyAlignment="1">
      <alignment horizontal="left" vertical="center"/>
    </xf>
    <xf numFmtId="16" fontId="20" fillId="11" borderId="1" xfId="11" applyNumberFormat="1" applyFont="1" applyFill="1" applyAlignment="1">
      <alignment horizontal="left"/>
    </xf>
    <xf numFmtId="0" fontId="20" fillId="11" borderId="1" xfId="11" applyNumberFormat="1" applyFont="1" applyFill="1" applyAlignment="1">
      <alignment horizontal="left"/>
    </xf>
    <xf numFmtId="165" fontId="88" fillId="0" borderId="1" xfId="48" applyNumberFormat="1" applyFont="1" applyAlignment="1">
      <alignment horizontal="left" wrapText="1"/>
    </xf>
    <xf numFmtId="165" fontId="19" fillId="16" borderId="1" xfId="12" applyNumberFormat="1" applyFont="1"/>
    <xf numFmtId="164" fontId="19" fillId="16" borderId="1" xfId="11" quotePrefix="1" applyFont="1"/>
    <xf numFmtId="170" fontId="10" fillId="16" borderId="1" xfId="11" applyNumberFormat="1" applyFont="1"/>
    <xf numFmtId="9" fontId="30" fillId="16" borderId="1" xfId="47" applyFont="1" applyFill="1"/>
    <xf numFmtId="166" fontId="91" fillId="0" borderId="1" xfId="0" quotePrefix="1" applyNumberFormat="1" applyFont="1"/>
    <xf numFmtId="169" fontId="14" fillId="9" borderId="8" xfId="11" applyNumberFormat="1" applyFont="1" applyFill="1" applyBorder="1" applyAlignment="1">
      <alignment vertical="center" wrapText="1"/>
    </xf>
    <xf numFmtId="169" fontId="14" fillId="14" borderId="14" xfId="11" quotePrefix="1" applyNumberFormat="1" applyFont="1" applyFill="1" applyBorder="1" applyAlignment="1">
      <alignment horizontal="right" vertical="center"/>
    </xf>
    <xf numFmtId="169" fontId="13" fillId="16" borderId="14" xfId="11" applyNumberFormat="1" applyFont="1" applyBorder="1"/>
    <xf numFmtId="169" fontId="1" fillId="16" borderId="1" xfId="11" applyNumberFormat="1" applyFont="1"/>
    <xf numFmtId="169" fontId="15" fillId="16" borderId="1" xfId="11" applyNumberFormat="1" applyFont="1" applyAlignment="1">
      <alignment horizontal="left" vertical="center" wrapText="1"/>
    </xf>
    <xf numFmtId="169" fontId="36" fillId="16" borderId="1" xfId="11" applyNumberFormat="1" applyFont="1" applyAlignment="1">
      <alignment horizontal="left" vertical="center" wrapText="1"/>
    </xf>
    <xf numFmtId="169" fontId="41" fillId="16" borderId="1" xfId="11" applyNumberFormat="1" applyFont="1" applyAlignment="1">
      <alignment horizontal="left" vertical="center" wrapText="1"/>
    </xf>
    <xf numFmtId="169" fontId="20" fillId="16" borderId="1" xfId="11" applyNumberFormat="1" applyFont="1" applyAlignment="1">
      <alignment horizontal="left" vertical="center" wrapText="1"/>
    </xf>
    <xf numFmtId="169" fontId="13" fillId="16" borderId="15" xfId="11" applyNumberFormat="1" applyFont="1" applyBorder="1"/>
    <xf numFmtId="0" fontId="15" fillId="11" borderId="1" xfId="11" applyNumberFormat="1" applyFont="1" applyFill="1" applyAlignment="1">
      <alignment horizontal="left" vertical="center" wrapText="1"/>
    </xf>
    <xf numFmtId="169" fontId="15" fillId="11" borderId="1" xfId="11" applyNumberFormat="1" applyFont="1" applyFill="1" applyAlignment="1">
      <alignment horizontal="left" vertical="center" wrapText="1"/>
    </xf>
    <xf numFmtId="0" fontId="151" fillId="16" borderId="1" xfId="90"/>
    <xf numFmtId="0" fontId="151" fillId="21" borderId="1" xfId="90" applyFill="1"/>
    <xf numFmtId="0" fontId="152" fillId="16" borderId="1" xfId="90" applyFont="1"/>
    <xf numFmtId="21" fontId="151" fillId="21" borderId="1" xfId="90" applyNumberFormat="1" applyFill="1"/>
    <xf numFmtId="16" fontId="15" fillId="0" borderId="1" xfId="11" quotePrefix="1" applyNumberFormat="1" applyFont="1" applyFill="1"/>
    <xf numFmtId="0" fontId="155" fillId="21" borderId="1" xfId="90" applyFont="1" applyFill="1"/>
    <xf numFmtId="0" fontId="155" fillId="16" borderId="1" xfId="90" applyFont="1"/>
    <xf numFmtId="43" fontId="151" fillId="16" borderId="1" xfId="48" applyFont="1" applyFill="1"/>
    <xf numFmtId="166" fontId="153" fillId="26" borderId="1" xfId="11" applyNumberFormat="1" applyFont="1" applyFill="1"/>
    <xf numFmtId="171" fontId="20" fillId="16" borderId="1" xfId="11" quotePrefix="1" applyNumberFormat="1" applyFont="1" applyAlignment="1">
      <alignment horizontal="left" vertical="center"/>
    </xf>
    <xf numFmtId="0" fontId="20" fillId="16" borderId="1" xfId="11" applyNumberFormat="1" applyFont="1" applyAlignment="1">
      <alignment horizontal="left"/>
    </xf>
    <xf numFmtId="0" fontId="152" fillId="16" borderId="1" xfId="90" applyFont="1" applyAlignment="1">
      <alignment horizontal="center"/>
    </xf>
    <xf numFmtId="0" fontId="151" fillId="16" borderId="1" xfId="90" applyAlignment="1">
      <alignment horizontal="center"/>
    </xf>
    <xf numFmtId="43" fontId="152" fillId="16" borderId="1" xfId="90" applyNumberFormat="1" applyFont="1"/>
    <xf numFmtId="164" fontId="124" fillId="0" borderId="1" xfId="0" applyFont="1" applyAlignment="1">
      <alignment vertical="center" wrapText="1"/>
    </xf>
    <xf numFmtId="171" fontId="15" fillId="0" borderId="42" xfId="11" quotePrefix="1" applyNumberFormat="1" applyFont="1" applyFill="1" applyBorder="1" applyAlignment="1">
      <alignment horizontal="left" vertical="center" wrapText="1"/>
    </xf>
    <xf numFmtId="164" fontId="13" fillId="16" borderId="42" xfId="11" applyFont="1" applyBorder="1" applyAlignment="1">
      <alignment vertical="center" wrapText="1"/>
    </xf>
    <xf numFmtId="164" fontId="13" fillId="16" borderId="42" xfId="11" applyFont="1" applyBorder="1" applyAlignment="1">
      <alignment horizontal="left" vertical="center" wrapText="1"/>
    </xf>
    <xf numFmtId="164" fontId="0" fillId="0" borderId="42" xfId="0" applyBorder="1" applyAlignment="1">
      <alignment vertical="center" wrapText="1"/>
    </xf>
    <xf numFmtId="14" fontId="13" fillId="16" borderId="42" xfId="11" applyNumberFormat="1" applyFont="1" applyBorder="1" applyAlignment="1">
      <alignment vertical="center" wrapText="1"/>
    </xf>
    <xf numFmtId="186" fontId="110" fillId="16" borderId="42" xfId="11" applyNumberFormat="1" applyFont="1" applyBorder="1" applyAlignment="1">
      <alignment horizontal="left" vertical="center" wrapText="1"/>
    </xf>
    <xf numFmtId="164" fontId="124" fillId="0" borderId="1" xfId="0" applyFont="1" applyAlignment="1">
      <alignment horizontal="center" vertical="center" wrapText="1"/>
    </xf>
    <xf numFmtId="170" fontId="20" fillId="0" borderId="1" xfId="11" applyNumberFormat="1" applyFont="1" applyFill="1"/>
    <xf numFmtId="165" fontId="20" fillId="16" borderId="1" xfId="12" applyNumberFormat="1" applyFont="1"/>
    <xf numFmtId="164" fontId="74" fillId="0" borderId="1" xfId="45" applyFont="1"/>
    <xf numFmtId="164" fontId="20" fillId="16" borderId="1" xfId="11" quotePrefix="1" applyFont="1"/>
    <xf numFmtId="21" fontId="155" fillId="21" borderId="1" xfId="90" applyNumberFormat="1" applyFont="1" applyFill="1"/>
    <xf numFmtId="43" fontId="155" fillId="16" borderId="1" xfId="48" applyFont="1" applyFill="1"/>
    <xf numFmtId="49" fontId="2" fillId="16" borderId="1" xfId="45" applyNumberFormat="1" applyFont="1" applyFill="1" applyAlignment="1">
      <alignment horizontal="left"/>
    </xf>
    <xf numFmtId="0" fontId="15" fillId="16" borderId="1" xfId="11" applyNumberFormat="1" applyFont="1"/>
    <xf numFmtId="0" fontId="15" fillId="16" borderId="1" xfId="11" quotePrefix="1" applyNumberFormat="1" applyFont="1" applyAlignment="1">
      <alignment horizontal="left"/>
    </xf>
    <xf numFmtId="164" fontId="13" fillId="33" borderId="1" xfId="11" applyFont="1" applyFill="1"/>
    <xf numFmtId="171" fontId="156" fillId="0" borderId="1" xfId="11" applyNumberFormat="1" applyFont="1" applyFill="1" applyAlignment="1">
      <alignment horizontal="left"/>
    </xf>
    <xf numFmtId="170" fontId="156" fillId="0" borderId="1" xfId="11" applyNumberFormat="1" applyFont="1" applyFill="1"/>
    <xf numFmtId="170" fontId="157" fillId="0" borderId="1" xfId="11" applyNumberFormat="1" applyFont="1" applyFill="1"/>
    <xf numFmtId="44" fontId="2" fillId="16" borderId="1" xfId="45" applyNumberFormat="1" applyFont="1" applyFill="1"/>
    <xf numFmtId="16" fontId="151" fillId="16" borderId="1" xfId="90" applyNumberFormat="1"/>
    <xf numFmtId="164" fontId="90" fillId="22" borderId="1" xfId="11" applyFont="1" applyFill="1"/>
    <xf numFmtId="166" fontId="91" fillId="22" borderId="1" xfId="11" applyNumberFormat="1" applyFont="1" applyFill="1"/>
    <xf numFmtId="164" fontId="154" fillId="22" borderId="1" xfId="11" applyFont="1" applyFill="1" applyAlignment="1">
      <alignment horizontal="left"/>
    </xf>
    <xf numFmtId="43" fontId="91" fillId="22" borderId="1" xfId="48" applyFont="1" applyFill="1"/>
    <xf numFmtId="14" fontId="90" fillId="22" borderId="1" xfId="11" applyNumberFormat="1" applyFont="1" applyFill="1"/>
    <xf numFmtId="166" fontId="153" fillId="22" borderId="1" xfId="11" applyNumberFormat="1" applyFont="1" applyFill="1"/>
    <xf numFmtId="164" fontId="1" fillId="22" borderId="1" xfId="11" applyFont="1" applyFill="1"/>
    <xf numFmtId="14" fontId="1" fillId="22" borderId="1" xfId="11" applyNumberFormat="1" applyFont="1" applyFill="1"/>
    <xf numFmtId="43" fontId="123" fillId="22" borderId="1" xfId="48" applyFont="1" applyFill="1"/>
    <xf numFmtId="165" fontId="90" fillId="16" borderId="13" xfId="48" applyNumberFormat="1" applyFont="1" applyFill="1" applyBorder="1"/>
    <xf numFmtId="0" fontId="152" fillId="16" borderId="1" xfId="90" applyFont="1" applyAlignment="1">
      <alignment horizontal="right"/>
    </xf>
    <xf numFmtId="0" fontId="151" fillId="22" borderId="1" xfId="90" applyFill="1"/>
    <xf numFmtId="21" fontId="151" fillId="22" borderId="1" xfId="90" applyNumberFormat="1" applyFill="1"/>
    <xf numFmtId="0" fontId="151" fillId="47" borderId="1" xfId="90" applyFill="1"/>
    <xf numFmtId="165" fontId="152" fillId="47" borderId="1" xfId="90" applyNumberFormat="1" applyFont="1" applyFill="1"/>
    <xf numFmtId="43" fontId="152" fillId="47" borderId="1" xfId="90" applyNumberFormat="1" applyFont="1" applyFill="1"/>
    <xf numFmtId="166" fontId="158" fillId="26" borderId="1" xfId="11" applyNumberFormat="1" applyFont="1" applyFill="1"/>
    <xf numFmtId="187" fontId="152" fillId="16" borderId="1" xfId="90" applyNumberFormat="1" applyFont="1"/>
    <xf numFmtId="187" fontId="151" fillId="21" borderId="1" xfId="90" applyNumberFormat="1" applyFill="1"/>
    <xf numFmtId="187" fontId="155" fillId="21" borderId="1" xfId="90" applyNumberFormat="1" applyFont="1" applyFill="1"/>
    <xf numFmtId="187" fontId="151" fillId="22" borderId="1" xfId="90" applyNumberFormat="1" applyFill="1"/>
    <xf numFmtId="187" fontId="151" fillId="47" borderId="1" xfId="90" applyNumberFormat="1" applyFill="1"/>
    <xf numFmtId="187" fontId="151" fillId="16" borderId="1" xfId="90" applyNumberFormat="1"/>
    <xf numFmtId="43" fontId="151" fillId="22" borderId="1" xfId="48" applyFont="1" applyFill="1"/>
    <xf numFmtId="43" fontId="151" fillId="16" borderId="1" xfId="90" applyNumberFormat="1"/>
    <xf numFmtId="165" fontId="139" fillId="16" borderId="13" xfId="48" applyNumberFormat="1" applyFont="1" applyFill="1" applyBorder="1"/>
    <xf numFmtId="164" fontId="13" fillId="16" borderId="1" xfId="11" quotePrefix="1" applyFont="1" applyAlignment="1">
      <alignment wrapText="1"/>
    </xf>
    <xf numFmtId="43" fontId="159" fillId="16" borderId="1" xfId="48" applyFont="1" applyFill="1"/>
    <xf numFmtId="0" fontId="159" fillId="16" borderId="1" xfId="90" applyFont="1"/>
    <xf numFmtId="166" fontId="160" fillId="26" borderId="1" xfId="11" applyNumberFormat="1" applyFont="1" applyFill="1"/>
    <xf numFmtId="165" fontId="90" fillId="22" borderId="1" xfId="48" applyNumberFormat="1" applyFont="1" applyFill="1"/>
    <xf numFmtId="165" fontId="139" fillId="16" borderId="1" xfId="48" applyNumberFormat="1" applyFont="1" applyFill="1"/>
    <xf numFmtId="165" fontId="99" fillId="22" borderId="1" xfId="48" applyNumberFormat="1" applyFont="1" applyFill="1"/>
    <xf numFmtId="0" fontId="151" fillId="45" borderId="1" xfId="90" applyFill="1"/>
    <xf numFmtId="187" fontId="151" fillId="45" borderId="1" xfId="90" applyNumberFormat="1" applyFill="1"/>
    <xf numFmtId="21" fontId="151" fillId="45" borderId="1" xfId="90" applyNumberFormat="1" applyFill="1"/>
    <xf numFmtId="16" fontId="151" fillId="16" borderId="1" xfId="90" applyNumberFormat="1" applyAlignment="1">
      <alignment horizontal="center"/>
    </xf>
    <xf numFmtId="43" fontId="151" fillId="22" borderId="1" xfId="90" applyNumberFormat="1" applyFill="1"/>
    <xf numFmtId="187" fontId="155" fillId="16" borderId="1" xfId="90" applyNumberFormat="1" applyFont="1"/>
    <xf numFmtId="21" fontId="155" fillId="16" borderId="1" xfId="90" applyNumberFormat="1" applyFont="1"/>
    <xf numFmtId="171" fontId="15" fillId="22" borderId="1" xfId="11" quotePrefix="1" applyNumberFormat="1" applyFont="1" applyFill="1" applyAlignment="1">
      <alignment horizontal="left" vertical="center"/>
    </xf>
    <xf numFmtId="164" fontId="13" fillId="22" borderId="1" xfId="11" applyFont="1" applyFill="1"/>
    <xf numFmtId="16" fontId="15" fillId="22" borderId="1" xfId="11" quotePrefix="1" applyNumberFormat="1" applyFont="1" applyFill="1"/>
    <xf numFmtId="16" fontId="15" fillId="22" borderId="1" xfId="11" applyNumberFormat="1" applyFont="1" applyFill="1"/>
    <xf numFmtId="49" fontId="110" fillId="22" borderId="1" xfId="11" applyNumberFormat="1" applyFont="1" applyFill="1" applyAlignment="1">
      <alignment horizontal="left"/>
    </xf>
    <xf numFmtId="0" fontId="159" fillId="45" borderId="1" xfId="90" applyFont="1" applyFill="1"/>
    <xf numFmtId="187" fontId="159" fillId="45" borderId="1" xfId="90" applyNumberFormat="1" applyFont="1" applyFill="1"/>
    <xf numFmtId="21" fontId="159" fillId="45" borderId="1" xfId="90" applyNumberFormat="1" applyFont="1" applyFill="1"/>
    <xf numFmtId="16" fontId="159" fillId="16" borderId="1" xfId="90" applyNumberFormat="1" applyFont="1"/>
    <xf numFmtId="164" fontId="20" fillId="16" borderId="1" xfId="11" applyFont="1" applyAlignment="1">
      <alignment horizontal="left"/>
    </xf>
    <xf numFmtId="0" fontId="20" fillId="0" borderId="1" xfId="11" applyNumberFormat="1" applyFont="1" applyFill="1"/>
    <xf numFmtId="164" fontId="20" fillId="0" borderId="1" xfId="11" applyFont="1" applyFill="1"/>
    <xf numFmtId="164" fontId="20" fillId="16" borderId="1" xfId="11" applyFont="1" applyAlignment="1">
      <alignment horizontal="left" vertical="center"/>
    </xf>
    <xf numFmtId="43" fontId="30" fillId="16" borderId="1" xfId="12" applyFont="1" applyAlignment="1">
      <alignment horizontal="center" wrapText="1"/>
    </xf>
    <xf numFmtId="164" fontId="2" fillId="16" borderId="1" xfId="45" applyFont="1" applyFill="1" applyAlignment="1">
      <alignment horizontal="left"/>
    </xf>
    <xf numFmtId="0" fontId="2" fillId="22" borderId="1" xfId="45" applyNumberFormat="1" applyFont="1" applyFill="1"/>
    <xf numFmtId="164" fontId="13" fillId="16" borderId="1" xfId="11" applyFont="1" applyAlignment="1">
      <alignment wrapText="1"/>
    </xf>
    <xf numFmtId="16" fontId="155" fillId="16" borderId="1" xfId="90" applyNumberFormat="1" applyFont="1"/>
    <xf numFmtId="43" fontId="155" fillId="16" borderId="1" xfId="90" applyNumberFormat="1" applyFont="1"/>
    <xf numFmtId="0" fontId="155" fillId="45" borderId="1" xfId="90" applyFont="1" applyFill="1"/>
    <xf numFmtId="187" fontId="155" fillId="45" borderId="1" xfId="90" applyNumberFormat="1" applyFont="1" applyFill="1"/>
    <xf numFmtId="21" fontId="155" fillId="45" borderId="1" xfId="90" applyNumberFormat="1" applyFont="1" applyFill="1"/>
    <xf numFmtId="16" fontId="15" fillId="0" borderId="1" xfId="11" applyNumberFormat="1" applyFont="1" applyFill="1" applyAlignment="1">
      <alignment horizontal="left"/>
    </xf>
    <xf numFmtId="164" fontId="2" fillId="16" borderId="1" xfId="45" quotePrefix="1" applyFont="1" applyFill="1"/>
    <xf numFmtId="173" fontId="0" fillId="0" borderId="1" xfId="0" applyNumberFormat="1"/>
    <xf numFmtId="165" fontId="88" fillId="0" borderId="1" xfId="48" applyNumberFormat="1" applyFont="1" applyAlignment="1">
      <alignment horizontal="right" wrapText="1"/>
    </xf>
    <xf numFmtId="165" fontId="88" fillId="0" borderId="19" xfId="48" applyNumberFormat="1" applyFont="1" applyBorder="1" applyAlignment="1">
      <alignment horizontal="left" wrapText="1"/>
    </xf>
    <xf numFmtId="43" fontId="20" fillId="16" borderId="1" xfId="48" applyFont="1" applyFill="1" applyAlignment="1">
      <alignment horizontal="left"/>
    </xf>
    <xf numFmtId="0" fontId="2" fillId="0" borderId="1" xfId="39" applyNumberFormat="1" applyFont="1" applyFill="1" applyAlignment="1">
      <alignment horizontal="left" vertical="center" wrapText="1"/>
    </xf>
    <xf numFmtId="188" fontId="151" fillId="45" borderId="1" xfId="90" applyNumberFormat="1" applyFill="1" applyAlignment="1">
      <alignment horizontal="left"/>
    </xf>
    <xf numFmtId="188" fontId="159" fillId="45" borderId="1" xfId="90" applyNumberFormat="1" applyFont="1" applyFill="1" applyAlignment="1">
      <alignment horizontal="left"/>
    </xf>
    <xf numFmtId="16" fontId="20" fillId="0" borderId="1" xfId="11" quotePrefix="1" applyNumberFormat="1" applyFont="1" applyFill="1"/>
    <xf numFmtId="164" fontId="20" fillId="33" borderId="1" xfId="11" applyFont="1" applyFill="1"/>
    <xf numFmtId="188" fontId="151" fillId="45" borderId="1" xfId="90" applyNumberFormat="1" applyFill="1"/>
    <xf numFmtId="0" fontId="32" fillId="45" borderId="1" xfId="90" applyFont="1" applyFill="1"/>
    <xf numFmtId="171" fontId="20" fillId="22" borderId="1" xfId="11" quotePrefix="1" applyNumberFormat="1" applyFont="1" applyFill="1" applyAlignment="1">
      <alignment horizontal="left" vertical="center"/>
    </xf>
    <xf numFmtId="164" fontId="20" fillId="22" borderId="1" xfId="11" applyFont="1" applyFill="1"/>
    <xf numFmtId="49" fontId="20" fillId="22" borderId="1" xfId="11" applyNumberFormat="1" applyFont="1" applyFill="1" applyAlignment="1">
      <alignment horizontal="left"/>
    </xf>
    <xf numFmtId="16" fontId="20" fillId="22" borderId="1" xfId="11" applyNumberFormat="1" applyFont="1" applyFill="1"/>
    <xf numFmtId="15" fontId="151" fillId="45" borderId="1" xfId="90" applyNumberFormat="1" applyFill="1" applyAlignment="1">
      <alignment horizontal="left"/>
    </xf>
    <xf numFmtId="171" fontId="15" fillId="12" borderId="1" xfId="11" quotePrefix="1" applyNumberFormat="1" applyFont="1" applyFill="1" applyAlignment="1">
      <alignment horizontal="left" vertical="center"/>
    </xf>
    <xf numFmtId="164" fontId="110" fillId="12" borderId="1" xfId="11" applyFont="1" applyFill="1"/>
    <xf numFmtId="16" fontId="15" fillId="12" borderId="1" xfId="11" quotePrefix="1" applyNumberFormat="1" applyFont="1" applyFill="1"/>
    <xf numFmtId="16" fontId="15" fillId="12" borderId="1" xfId="11" applyNumberFormat="1" applyFont="1" applyFill="1"/>
    <xf numFmtId="164" fontId="15" fillId="12" borderId="1" xfId="11" applyFont="1" applyFill="1"/>
    <xf numFmtId="164" fontId="15" fillId="12" borderId="1" xfId="11" applyFont="1" applyFill="1" applyAlignment="1">
      <alignment horizontal="left"/>
    </xf>
    <xf numFmtId="164" fontId="15" fillId="12" borderId="1" xfId="11" applyFont="1" applyFill="1" applyAlignment="1">
      <alignment horizontal="left" vertical="center"/>
    </xf>
    <xf numFmtId="164" fontId="15" fillId="12" borderId="1" xfId="11" quotePrefix="1" applyFont="1" applyFill="1"/>
    <xf numFmtId="164" fontId="2" fillId="12" borderId="1" xfId="45" applyFont="1" applyFill="1"/>
    <xf numFmtId="164" fontId="30" fillId="16" borderId="13" xfId="11" applyFont="1" applyBorder="1"/>
    <xf numFmtId="164" fontId="30" fillId="29" borderId="13" xfId="11" applyFont="1" applyFill="1" applyBorder="1" applyAlignment="1">
      <alignment horizontal="center"/>
    </xf>
    <xf numFmtId="164" fontId="30" fillId="11" borderId="13" xfId="11" quotePrefix="1" applyFont="1" applyFill="1" applyBorder="1"/>
    <xf numFmtId="0" fontId="0" fillId="0" borderId="0" xfId="0" applyNumberFormat="1" applyBorder="1"/>
    <xf numFmtId="173" fontId="43" fillId="0" borderId="29" xfId="0" applyNumberFormat="1" applyFont="1" applyBorder="1"/>
    <xf numFmtId="173" fontId="161" fillId="0" borderId="29" xfId="0" applyNumberFormat="1" applyFont="1" applyBorder="1"/>
    <xf numFmtId="0" fontId="0" fillId="0" borderId="1" xfId="0" applyNumberFormat="1"/>
    <xf numFmtId="164" fontId="162" fillId="0" borderId="29" xfId="0" applyFont="1" applyBorder="1"/>
    <xf numFmtId="173" fontId="162" fillId="0" borderId="29" xfId="0" applyNumberFormat="1" applyFont="1" applyBorder="1"/>
    <xf numFmtId="164" fontId="114" fillId="0" borderId="1" xfId="45"/>
    <xf numFmtId="164" fontId="114" fillId="16" borderId="1" xfId="45" applyFill="1"/>
    <xf numFmtId="43" fontId="140" fillId="16" borderId="1" xfId="48" applyFill="1"/>
    <xf numFmtId="2" fontId="88" fillId="0" borderId="1" xfId="48" applyNumberFormat="1" applyFont="1" applyAlignment="1">
      <alignment horizontal="right" wrapText="1"/>
    </xf>
    <xf numFmtId="1" fontId="88" fillId="0" borderId="19" xfId="48" applyNumberFormat="1" applyFont="1" applyBorder="1" applyAlignment="1">
      <alignment horizontal="right" wrapText="1"/>
    </xf>
    <xf numFmtId="164" fontId="5" fillId="16" borderId="11" xfId="11" applyFont="1" applyBorder="1" applyAlignment="1">
      <alignment horizontal="center"/>
    </xf>
    <xf numFmtId="0" fontId="0" fillId="0" borderId="11" xfId="0" applyNumberFormat="1" applyBorder="1"/>
    <xf numFmtId="164" fontId="119" fillId="16" borderId="21" xfId="11" applyFont="1" applyBorder="1" applyAlignment="1">
      <alignment horizontal="center"/>
    </xf>
    <xf numFmtId="0" fontId="0" fillId="0" borderId="21" xfId="0" applyNumberFormat="1" applyBorder="1"/>
    <xf numFmtId="164" fontId="30" fillId="11" borderId="1" xfId="0" applyFont="1" applyFill="1" applyAlignment="1">
      <alignment horizontal="center"/>
    </xf>
    <xf numFmtId="164" fontId="0" fillId="0" borderId="1" xfId="0"/>
    <xf numFmtId="164" fontId="30" fillId="45" borderId="1" xfId="0" applyFont="1" applyFill="1" applyAlignment="1">
      <alignment horizontal="center"/>
    </xf>
    <xf numFmtId="0" fontId="0" fillId="0" borderId="0" xfId="0" applyNumberFormat="1" applyBorder="1"/>
    <xf numFmtId="164" fontId="30" fillId="17" borderId="1" xfId="0" applyFont="1" applyFill="1" applyAlignment="1">
      <alignment horizontal="center"/>
    </xf>
    <xf numFmtId="164" fontId="124" fillId="11" borderId="12" xfId="11" applyFont="1" applyFill="1" applyBorder="1" applyAlignment="1">
      <alignment horizontal="center"/>
    </xf>
    <xf numFmtId="164" fontId="90" fillId="16" borderId="1" xfId="11" applyFont="1"/>
    <xf numFmtId="1" fontId="1" fillId="16" borderId="1" xfId="13" applyNumberFormat="1" applyFont="1" applyAlignment="1">
      <alignment horizontal="left"/>
    </xf>
    <xf numFmtId="164" fontId="1" fillId="16" borderId="43" xfId="11" applyFont="1" applyBorder="1" applyAlignment="1">
      <alignment horizontal="center"/>
    </xf>
    <xf numFmtId="0" fontId="0" fillId="0" borderId="22" xfId="0" applyNumberFormat="1" applyBorder="1"/>
    <xf numFmtId="171" fontId="22" fillId="0" borderId="1" xfId="11" quotePrefix="1" applyNumberFormat="1" applyFont="1" applyFill="1" applyAlignment="1">
      <alignment horizontal="center" vertical="center"/>
    </xf>
    <xf numFmtId="171" fontId="22" fillId="26" borderId="1" xfId="11" quotePrefix="1" applyNumberFormat="1" applyFont="1" applyFill="1" applyAlignment="1">
      <alignment horizontal="center" vertical="center"/>
    </xf>
  </cellXfs>
  <cellStyles count="91">
    <cellStyle name="Accent3" xfId="88" builtinId="37"/>
    <cellStyle name="Comma" xfId="48" builtinId="3"/>
    <cellStyle name="Comma 2" xfId="10" xr:uid="{00000000-0005-0000-0000-00000A000000}"/>
    <cellStyle name="Comma 2 2" xfId="58" xr:uid="{00000000-0005-0000-0000-00003A000000}"/>
    <cellStyle name="Comma 3" xfId="12" xr:uid="{00000000-0005-0000-0000-00000C000000}"/>
    <cellStyle name="Comma 3 2" xfId="59" xr:uid="{00000000-0005-0000-0000-00003B000000}"/>
    <cellStyle name="Comma 4" xfId="41" xr:uid="{00000000-0005-0000-0000-000029000000}"/>
    <cellStyle name="Comma 4 2" xfId="85" xr:uid="{00000000-0005-0000-0000-000055000000}"/>
    <cellStyle name="Comma 5" xfId="86" xr:uid="{00000000-0005-0000-0000-000056000000}"/>
    <cellStyle name="Currency" xfId="89" builtinId="4"/>
    <cellStyle name="Currency 2" xfId="13" xr:uid="{00000000-0005-0000-0000-00000D000000}"/>
    <cellStyle name="Currency 2 2" xfId="60" xr:uid="{00000000-0005-0000-0000-00003C000000}"/>
    <cellStyle name="Currency 3" xfId="40" xr:uid="{00000000-0005-0000-0000-000028000000}"/>
    <cellStyle name="Currency 3 2" xfId="84" xr:uid="{00000000-0005-0000-0000-000054000000}"/>
    <cellStyle name="Hyperlink" xfId="45" builtinId="8"/>
    <cellStyle name="Hyperlink 2" xfId="39" xr:uid="{00000000-0005-0000-0000-000027000000}"/>
    <cellStyle name="Normal" xfId="0" builtinId="0"/>
    <cellStyle name="Normal 10" xfId="11" xr:uid="{00000000-0005-0000-0000-00000B000000}"/>
    <cellStyle name="Normal 11" xfId="14" xr:uid="{00000000-0005-0000-0000-00000E000000}"/>
    <cellStyle name="Normal 12" xfId="15" xr:uid="{00000000-0005-0000-0000-00000F000000}"/>
    <cellStyle name="Normal 12 2" xfId="61" xr:uid="{00000000-0005-0000-0000-00003D000000}"/>
    <cellStyle name="Normal 13" xfId="16" xr:uid="{00000000-0005-0000-0000-000010000000}"/>
    <cellStyle name="Normal 13 2" xfId="62" xr:uid="{00000000-0005-0000-0000-00003E000000}"/>
    <cellStyle name="Normal 14" xfId="17" xr:uid="{00000000-0005-0000-0000-000011000000}"/>
    <cellStyle name="Normal 14 2" xfId="63" xr:uid="{00000000-0005-0000-0000-00003F000000}"/>
    <cellStyle name="Normal 15" xfId="18" xr:uid="{00000000-0005-0000-0000-000012000000}"/>
    <cellStyle name="Normal 15 2" xfId="64" xr:uid="{00000000-0005-0000-0000-000040000000}"/>
    <cellStyle name="Normal 16" xfId="19" xr:uid="{00000000-0005-0000-0000-000013000000}"/>
    <cellStyle name="Normal 16 2" xfId="65" xr:uid="{00000000-0005-0000-0000-000041000000}"/>
    <cellStyle name="Normal 17" xfId="20" xr:uid="{00000000-0005-0000-0000-000014000000}"/>
    <cellStyle name="Normal 17 2" xfId="66" xr:uid="{00000000-0005-0000-0000-000042000000}"/>
    <cellStyle name="Normal 18" xfId="21" xr:uid="{00000000-0005-0000-0000-000015000000}"/>
    <cellStyle name="Normal 18 2" xfId="67" xr:uid="{00000000-0005-0000-0000-000043000000}"/>
    <cellStyle name="Normal 19" xfId="22" xr:uid="{00000000-0005-0000-0000-000016000000}"/>
    <cellStyle name="Normal 19 2" xfId="68" xr:uid="{00000000-0005-0000-0000-000044000000}"/>
    <cellStyle name="Normal 2" xfId="1" xr:uid="{00000000-0005-0000-0000-000001000000}"/>
    <cellStyle name="Normal 2 2" xfId="49" xr:uid="{00000000-0005-0000-0000-000031000000}"/>
    <cellStyle name="Normal 20" xfId="23" xr:uid="{00000000-0005-0000-0000-000017000000}"/>
    <cellStyle name="Normal 20 2" xfId="69" xr:uid="{00000000-0005-0000-0000-000045000000}"/>
    <cellStyle name="Normal 21" xfId="24" xr:uid="{00000000-0005-0000-0000-000018000000}"/>
    <cellStyle name="Normal 21 2" xfId="70" xr:uid="{00000000-0005-0000-0000-000046000000}"/>
    <cellStyle name="Normal 22" xfId="25" xr:uid="{00000000-0005-0000-0000-000019000000}"/>
    <cellStyle name="Normal 22 2" xfId="71" xr:uid="{00000000-0005-0000-0000-000047000000}"/>
    <cellStyle name="Normal 23" xfId="26" xr:uid="{00000000-0005-0000-0000-00001A000000}"/>
    <cellStyle name="Normal 23 2" xfId="72" xr:uid="{00000000-0005-0000-0000-000048000000}"/>
    <cellStyle name="Normal 24" xfId="27" xr:uid="{00000000-0005-0000-0000-00001B000000}"/>
    <cellStyle name="Normal 24 2" xfId="73" xr:uid="{00000000-0005-0000-0000-000049000000}"/>
    <cellStyle name="Normal 25" xfId="28" xr:uid="{00000000-0005-0000-0000-00001C000000}"/>
    <cellStyle name="Normal 25 2" xfId="74" xr:uid="{00000000-0005-0000-0000-00004A000000}"/>
    <cellStyle name="Normal 26" xfId="29" xr:uid="{00000000-0005-0000-0000-00001D000000}"/>
    <cellStyle name="Normal 26 2" xfId="75" xr:uid="{00000000-0005-0000-0000-00004B000000}"/>
    <cellStyle name="Normal 27" xfId="30" xr:uid="{00000000-0005-0000-0000-00001E000000}"/>
    <cellStyle name="Normal 27 2" xfId="76" xr:uid="{00000000-0005-0000-0000-00004C000000}"/>
    <cellStyle name="Normal 28" xfId="31" xr:uid="{00000000-0005-0000-0000-00001F000000}"/>
    <cellStyle name="Normal 28 2" xfId="77" xr:uid="{00000000-0005-0000-0000-00004D000000}"/>
    <cellStyle name="Normal 29" xfId="32" xr:uid="{00000000-0005-0000-0000-000020000000}"/>
    <cellStyle name="Normal 29 2" xfId="78" xr:uid="{00000000-0005-0000-0000-00004E000000}"/>
    <cellStyle name="Normal 3" xfId="2" xr:uid="{00000000-0005-0000-0000-000002000000}"/>
    <cellStyle name="Normal 3 2" xfId="50" xr:uid="{00000000-0005-0000-0000-000032000000}"/>
    <cellStyle name="Normal 30" xfId="33" xr:uid="{00000000-0005-0000-0000-000021000000}"/>
    <cellStyle name="Normal 30 2" xfId="79" xr:uid="{00000000-0005-0000-0000-00004F000000}"/>
    <cellStyle name="Normal 31" xfId="34" xr:uid="{00000000-0005-0000-0000-000022000000}"/>
    <cellStyle name="Normal 31 2" xfId="80" xr:uid="{00000000-0005-0000-0000-000050000000}"/>
    <cellStyle name="Normal 32" xfId="35" xr:uid="{00000000-0005-0000-0000-000023000000}"/>
    <cellStyle name="Normal 32 2" xfId="44" xr:uid="{00000000-0005-0000-0000-00002C000000}"/>
    <cellStyle name="Normal 33" xfId="36" xr:uid="{00000000-0005-0000-0000-000024000000}"/>
    <cellStyle name="Normal 33 2" xfId="81" xr:uid="{00000000-0005-0000-0000-000051000000}"/>
    <cellStyle name="Normal 34" xfId="37" xr:uid="{00000000-0005-0000-0000-000025000000}"/>
    <cellStyle name="Normal 34 2" xfId="82" xr:uid="{00000000-0005-0000-0000-000052000000}"/>
    <cellStyle name="Normal 35" xfId="38" xr:uid="{00000000-0005-0000-0000-000026000000}"/>
    <cellStyle name="Normal 35 2" xfId="83" xr:uid="{00000000-0005-0000-0000-000053000000}"/>
    <cellStyle name="Normal 36" xfId="43" xr:uid="{00000000-0005-0000-0000-00002B000000}"/>
    <cellStyle name="Normal 37" xfId="46" xr:uid="{00000000-0005-0000-0000-00002E000000}"/>
    <cellStyle name="Normal 38" xfId="87" xr:uid="{00000000-0005-0000-0000-000057000000}"/>
    <cellStyle name="Normal 39" xfId="90" xr:uid="{00000000-0005-0000-0000-00005A000000}"/>
    <cellStyle name="Normal 4" xfId="3" xr:uid="{00000000-0005-0000-0000-000003000000}"/>
    <cellStyle name="Normal 4 2" xfId="51" xr:uid="{00000000-0005-0000-0000-000033000000}"/>
    <cellStyle name="Normal 5" xfId="4" xr:uid="{00000000-0005-0000-0000-000004000000}"/>
    <cellStyle name="Normal 5 2" xfId="52" xr:uid="{00000000-0005-0000-0000-000034000000}"/>
    <cellStyle name="Normal 6" xfId="5" xr:uid="{00000000-0005-0000-0000-000005000000}"/>
    <cellStyle name="Normal 6 2" xfId="53" xr:uid="{00000000-0005-0000-0000-000035000000}"/>
    <cellStyle name="Normal 7" xfId="6" xr:uid="{00000000-0005-0000-0000-000006000000}"/>
    <cellStyle name="Normal 7 2" xfId="54" xr:uid="{00000000-0005-0000-0000-000036000000}"/>
    <cellStyle name="Normal 8" xfId="7" xr:uid="{00000000-0005-0000-0000-000007000000}"/>
    <cellStyle name="Normal 8 2" xfId="55" xr:uid="{00000000-0005-0000-0000-000037000000}"/>
    <cellStyle name="Normal 9" xfId="8" xr:uid="{00000000-0005-0000-0000-000008000000}"/>
    <cellStyle name="Normal 9 2" xfId="56" xr:uid="{00000000-0005-0000-0000-000038000000}"/>
    <cellStyle name="Percent" xfId="47" builtinId="5"/>
    <cellStyle name="Percent 2" xfId="9" xr:uid="{00000000-0005-0000-0000-000009000000}"/>
    <cellStyle name="Percent 2 2" xfId="57" xr:uid="{00000000-0005-0000-0000-000039000000}"/>
    <cellStyle name="Percent 3" xfId="42" xr:uid="{00000000-0005-0000-0000-00002A000000}"/>
  </cellStyles>
  <dxfs count="436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_-* #,##0_-;\-* #,##0_-;_-* &quot;-&quot;??_-;_-@_-"/>
    </dxf>
    <dxf>
      <numFmt numFmtId="165" formatCode="_-* #,##0_-;\-* #,##0_-;_-* &quot;-&quot;??_-;_-@_-"/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_-* #,##0_-;\-* #,##0_-;_-* &quot;-&quot;??_-;_-@_-"/>
    </dxf>
    <dxf>
      <alignment horizontal="general"/>
    </dxf>
    <dxf>
      <alignment horizontal="general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7" tint="0.39994506668294322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6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pivotCacheDefinition" Target="pivotCache/pivotCacheDefinition5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2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1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'2018 Pivots'!$R$24:$S$24</c:f>
              <c:strCache>
                <c:ptCount val="2"/>
                <c:pt idx="0">
                  <c:v> 2018 </c:v>
                </c:pt>
                <c:pt idx="1">
                  <c:v> Year 6 </c:v>
                </c:pt>
              </c:strCache>
            </c:strRef>
          </c:tx>
          <c:spPr>
            <a:ln w="38100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Pivots'!$T$24:$AE$24</c:f>
              <c:numCache>
                <c:formatCode>_-* #,##0_-;\-* #,##0_-;_-* "-"??_-;_-@_-</c:formatCode>
                <c:ptCount val="12"/>
                <c:pt idx="0">
                  <c:v>8277.4700000000012</c:v>
                </c:pt>
                <c:pt idx="1">
                  <c:v>10607.11</c:v>
                </c:pt>
                <c:pt idx="2">
                  <c:v>7155.05</c:v>
                </c:pt>
                <c:pt idx="3">
                  <c:v>4371.0150000000003</c:v>
                </c:pt>
                <c:pt idx="4">
                  <c:v>4002.63</c:v>
                </c:pt>
                <c:pt idx="5">
                  <c:v>3243.6</c:v>
                </c:pt>
                <c:pt idx="6">
                  <c:v>2859.03</c:v>
                </c:pt>
                <c:pt idx="7">
                  <c:v>4792.59</c:v>
                </c:pt>
                <c:pt idx="8">
                  <c:v>6443.88</c:v>
                </c:pt>
                <c:pt idx="9">
                  <c:v>3908.03</c:v>
                </c:pt>
                <c:pt idx="10">
                  <c:v>8299.08</c:v>
                </c:pt>
                <c:pt idx="11">
                  <c:v>4642.25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F7-4CE9-913C-77111F372F40}"/>
            </c:ext>
          </c:extLst>
        </c:ser>
        <c:ser>
          <c:idx val="1"/>
          <c:order val="1"/>
          <c:tx>
            <c:strRef>
              <c:f>'2018 Pivots'!$R$25:$S$25</c:f>
              <c:strCache>
                <c:ptCount val="2"/>
                <c:pt idx="0">
                  <c:v> 2017 </c:v>
                </c:pt>
                <c:pt idx="1">
                  <c:v> Year 5 </c:v>
                </c:pt>
              </c:strCache>
            </c:strRef>
          </c:tx>
          <c:spPr>
            <a:ln w="3810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Pivots'!$T$25:$AE$25</c:f>
              <c:numCache>
                <c:formatCode>_-* #,##0_-;\-* #,##0_-;_-* "-"??_-;_-@_-</c:formatCode>
                <c:ptCount val="12"/>
                <c:pt idx="0">
                  <c:v>3203.5</c:v>
                </c:pt>
                <c:pt idx="1">
                  <c:v>6685</c:v>
                </c:pt>
                <c:pt idx="2">
                  <c:v>6242.83</c:v>
                </c:pt>
                <c:pt idx="3">
                  <c:v>6063.17</c:v>
                </c:pt>
                <c:pt idx="4">
                  <c:v>5851.71</c:v>
                </c:pt>
                <c:pt idx="5">
                  <c:v>5479.93</c:v>
                </c:pt>
                <c:pt idx="6">
                  <c:v>3603.81</c:v>
                </c:pt>
                <c:pt idx="7">
                  <c:v>4658.8500000000004</c:v>
                </c:pt>
                <c:pt idx="8">
                  <c:v>10821.67</c:v>
                </c:pt>
                <c:pt idx="9">
                  <c:v>9224.58</c:v>
                </c:pt>
                <c:pt idx="10">
                  <c:v>10504.09</c:v>
                </c:pt>
                <c:pt idx="11">
                  <c:v>4329.0300000000007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F7-4CE9-913C-77111F372F40}"/>
            </c:ext>
          </c:extLst>
        </c:ser>
        <c:ser>
          <c:idx val="2"/>
          <c:order val="2"/>
          <c:tx>
            <c:strRef>
              <c:f>'2018 Pivots'!$R$26:$S$26</c:f>
              <c:strCache>
                <c:ptCount val="2"/>
                <c:pt idx="0">
                  <c:v> 2016 </c:v>
                </c:pt>
                <c:pt idx="1">
                  <c:v> Year 4 </c:v>
                </c:pt>
              </c:strCache>
            </c:strRef>
          </c:tx>
          <c:spPr>
            <a:ln w="3810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Pivots'!$T$26:$AE$26</c:f>
              <c:numCache>
                <c:formatCode>_-* #,##0_-;\-* #,##0_-;_-* "-"??_-;_-@_-</c:formatCode>
                <c:ptCount val="12"/>
                <c:pt idx="0">
                  <c:v>4537</c:v>
                </c:pt>
                <c:pt idx="1">
                  <c:v>4319</c:v>
                </c:pt>
                <c:pt idx="2">
                  <c:v>3722</c:v>
                </c:pt>
                <c:pt idx="3">
                  <c:v>4551</c:v>
                </c:pt>
                <c:pt idx="4">
                  <c:v>3618</c:v>
                </c:pt>
                <c:pt idx="5">
                  <c:v>2779</c:v>
                </c:pt>
                <c:pt idx="6">
                  <c:v>2709</c:v>
                </c:pt>
                <c:pt idx="7">
                  <c:v>7253</c:v>
                </c:pt>
                <c:pt idx="8">
                  <c:v>3793</c:v>
                </c:pt>
                <c:pt idx="9">
                  <c:v>10484</c:v>
                </c:pt>
                <c:pt idx="10">
                  <c:v>4868</c:v>
                </c:pt>
                <c:pt idx="11">
                  <c:v>5007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F7-4CE9-913C-77111F372F40}"/>
            </c:ext>
          </c:extLst>
        </c:ser>
        <c:ser>
          <c:idx val="3"/>
          <c:order val="3"/>
          <c:tx>
            <c:strRef>
              <c:f>'2018 Pivots'!$R$27:$S$27</c:f>
              <c:strCache>
                <c:ptCount val="2"/>
                <c:pt idx="0">
                  <c:v> 2015 </c:v>
                </c:pt>
                <c:pt idx="1">
                  <c:v> Year 3 </c:v>
                </c:pt>
              </c:strCache>
            </c:strRef>
          </c:tx>
          <c:spPr>
            <a:ln w="3810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Pivots'!$T$27:$AE$27</c:f>
              <c:numCache>
                <c:formatCode>_-* #,##0_-;\-* #,##0_-;_-* "-"??_-;_-@_-</c:formatCode>
                <c:ptCount val="12"/>
                <c:pt idx="0">
                  <c:v>3710</c:v>
                </c:pt>
                <c:pt idx="1">
                  <c:v>3750</c:v>
                </c:pt>
                <c:pt idx="2">
                  <c:v>7113</c:v>
                </c:pt>
                <c:pt idx="3">
                  <c:v>3715</c:v>
                </c:pt>
                <c:pt idx="4">
                  <c:v>2288</c:v>
                </c:pt>
                <c:pt idx="5">
                  <c:v>3255</c:v>
                </c:pt>
                <c:pt idx="6">
                  <c:v>1762</c:v>
                </c:pt>
                <c:pt idx="7">
                  <c:v>3933</c:v>
                </c:pt>
                <c:pt idx="8">
                  <c:v>8306</c:v>
                </c:pt>
                <c:pt idx="9">
                  <c:v>5405</c:v>
                </c:pt>
                <c:pt idx="10">
                  <c:v>3604</c:v>
                </c:pt>
                <c:pt idx="11">
                  <c:v>12228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DF7-4CE9-913C-77111F372F40}"/>
            </c:ext>
          </c:extLst>
        </c:ser>
        <c:ser>
          <c:idx val="4"/>
          <c:order val="4"/>
          <c:tx>
            <c:strRef>
              <c:f>'2018 Pivots'!$R$28:$S$28</c:f>
              <c:strCache>
                <c:ptCount val="2"/>
                <c:pt idx="0">
                  <c:v> 2014 </c:v>
                </c:pt>
                <c:pt idx="1">
                  <c:v> Year 2 </c:v>
                </c:pt>
              </c:strCache>
            </c:strRef>
          </c:tx>
          <c:spPr>
            <a:ln w="38100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Pivots'!$T$28:$AE$28</c:f>
              <c:numCache>
                <c:formatCode>_-* #,##0_-;\-* #,##0_-;_-* "-"??_-;_-@_-</c:formatCode>
                <c:ptCount val="12"/>
                <c:pt idx="0">
                  <c:v>3179</c:v>
                </c:pt>
                <c:pt idx="1">
                  <c:v>2874</c:v>
                </c:pt>
                <c:pt idx="2">
                  <c:v>4826</c:v>
                </c:pt>
                <c:pt idx="3">
                  <c:v>3453</c:v>
                </c:pt>
                <c:pt idx="4">
                  <c:v>4975</c:v>
                </c:pt>
                <c:pt idx="5">
                  <c:v>3386</c:v>
                </c:pt>
                <c:pt idx="6">
                  <c:v>3633</c:v>
                </c:pt>
                <c:pt idx="7">
                  <c:v>3855</c:v>
                </c:pt>
                <c:pt idx="8">
                  <c:v>6440</c:v>
                </c:pt>
                <c:pt idx="9">
                  <c:v>3536</c:v>
                </c:pt>
                <c:pt idx="10">
                  <c:v>2851</c:v>
                </c:pt>
                <c:pt idx="11">
                  <c:v>7614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DF7-4CE9-913C-77111F372F40}"/>
            </c:ext>
          </c:extLst>
        </c:ser>
        <c:ser>
          <c:idx val="5"/>
          <c:order val="5"/>
          <c:tx>
            <c:strRef>
              <c:f>'2018 Pivots'!$R$29:$S$29</c:f>
              <c:strCache>
                <c:ptCount val="2"/>
                <c:pt idx="0">
                  <c:v> 2013 </c:v>
                </c:pt>
                <c:pt idx="1">
                  <c:v> Year 1 </c:v>
                </c:pt>
              </c:strCache>
            </c:strRef>
          </c:tx>
          <c:spPr>
            <a:ln w="38100" cap="rnd">
              <a:solidFill>
                <a:schemeClr val="accent6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Pivots'!$T$29:$AE$29</c:f>
              <c:numCache>
                <c:formatCode>_-* #,##0_-;\-* #,##0_-;_-* "-"??_-;_-@_-</c:formatCode>
                <c:ptCount val="12"/>
                <c:pt idx="10">
                  <c:v>3008</c:v>
                </c:pt>
                <c:pt idx="11">
                  <c:v>6386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DF7-4CE9-913C-77111F372F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013833136"/>
        <c:axId val="1398278352"/>
      </c:lineChart>
      <c:catAx>
        <c:axId val="1013833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8278352"/>
        <c:crosses val="autoZero"/>
        <c:auto val="1"/>
        <c:lblAlgn val="ctr"/>
        <c:lblOffset val="100"/>
        <c:noMultiLvlLbl val="0"/>
      </c:catAx>
      <c:valAx>
        <c:axId val="139827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c:spPr>
        </c:min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833136"/>
        <c:crosses val="autoZero"/>
        <c:crossBetween val="between"/>
      </c:valAx>
    </c:plotArea>
    <c:legend>
      <c:legendPos val="t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578642</xdr:colOff>
      <xdr:row>33</xdr:row>
      <xdr:rowOff>45243</xdr:rowOff>
    </xdr:from>
    <xdr:to>
      <xdr:col>34</xdr:col>
      <xdr:colOff>271462</xdr:colOff>
      <xdr:row>72</xdr:row>
      <xdr:rowOff>128588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805.498545601848" createdVersion="6" refreshedVersion="6" minRefreshableVersion="3" recordCount="1065" xr:uid="{00000000-000A-0000-FFFF-FFFF02000000}">
  <cacheSource type="worksheet">
    <worksheetSource ref="A120:G1458" sheet="Sales 2018"/>
  </cacheSource>
  <cacheFields count="8">
    <cacheField name="Date" numFmtId="0">
      <sharedItems containsNonDate="0" containsDate="1" containsString="0" containsBlank="1" minDate="2018-01-01T00:00:00" maxDate="2018-12-31T00:00:00" count="226">
        <m/>
        <d v="2018-12-30T00:00:00"/>
        <d v="2018-12-27T00:00:00"/>
        <d v="2018-12-25T00:00:00"/>
        <d v="2018-12-24T00:00:00"/>
        <d v="2018-12-21T00:00:00"/>
        <d v="2018-12-20T00:00:00"/>
        <d v="2018-12-19T00:00:00"/>
        <d v="2018-12-18T00:00:00"/>
        <d v="2018-12-16T00:00:00"/>
        <d v="2018-12-15T00:00:00"/>
        <d v="2018-12-13T00:00:00"/>
        <d v="2018-12-12T00:00:00"/>
        <d v="2018-12-11T00:00:00"/>
        <d v="2018-12-10T00:00:00"/>
        <d v="2018-12-09T00:00:00"/>
        <d v="2018-12-05T00:00:00"/>
        <d v="2018-12-04T00:00:00"/>
        <d v="2018-12-02T00:00:00"/>
        <d v="2018-12-01T00:00:00"/>
        <d v="2018-11-30T00:00:00"/>
        <d v="2018-11-29T00:00:00"/>
        <d v="2018-11-27T00:00:00"/>
        <d v="2018-11-26T00:00:00"/>
        <d v="2018-11-25T00:00:00"/>
        <d v="2018-11-24T00:00:00"/>
        <d v="2018-11-23T00:00:00"/>
        <d v="2018-11-21T00:00:00"/>
        <d v="2018-11-20T00:00:00"/>
        <d v="2018-11-18T00:00:00"/>
        <d v="2018-11-16T00:00:00"/>
        <d v="2018-11-15T00:00:00"/>
        <d v="2018-11-11T00:00:00"/>
        <d v="2018-11-14T00:00:00"/>
        <d v="2018-11-07T00:00:00"/>
        <d v="2018-11-05T00:00:00"/>
        <d v="2018-11-03T00:00:00"/>
        <d v="2018-11-01T00:00:00"/>
        <d v="2018-10-31T00:00:00"/>
        <d v="2018-10-29T00:00:00"/>
        <d v="2018-10-25T00:00:00"/>
        <d v="2018-10-23T00:00:00"/>
        <d v="2018-10-21T00:00:00"/>
        <d v="2018-10-20T00:00:00"/>
        <d v="2018-10-19T00:00:00"/>
        <d v="2018-10-18T00:00:00"/>
        <d v="2018-10-17T00:00:00"/>
        <d v="2018-10-16T00:00:00"/>
        <d v="2018-10-15T00:00:00"/>
        <d v="2018-10-12T00:00:00"/>
        <d v="2018-10-07T00:00:00"/>
        <d v="2018-10-06T00:00:00"/>
        <d v="2018-10-03T00:00:00"/>
        <d v="2018-10-01T00:00:00"/>
        <d v="2018-09-30T00:00:00"/>
        <d v="2018-09-29T00:00:00"/>
        <d v="2018-09-28T00:00:00"/>
        <d v="2018-09-27T00:00:00"/>
        <d v="2018-09-24T00:00:00"/>
        <d v="2018-09-23T00:00:00"/>
        <d v="2018-09-22T00:00:00"/>
        <d v="2018-09-21T00:00:00"/>
        <d v="2018-09-20T00:00:00"/>
        <d v="2018-09-19T00:00:00"/>
        <d v="2018-09-18T00:00:00"/>
        <d v="2018-09-16T00:00:00"/>
        <d v="2018-09-14T00:00:00"/>
        <d v="2018-09-13T00:00:00"/>
        <d v="2018-09-09T00:00:00"/>
        <d v="2018-09-08T00:00:00"/>
        <d v="2018-09-06T00:00:00"/>
        <d v="2018-09-05T00:00:00"/>
        <d v="2018-09-04T00:00:00"/>
        <d v="2018-09-02T00:00:00"/>
        <d v="2018-09-01T00:00:00"/>
        <d v="2018-08-31T00:00:00"/>
        <d v="2018-08-28T00:00:00"/>
        <d v="2018-08-27T00:00:00"/>
        <d v="2018-08-25T00:00:00"/>
        <d v="2018-08-22T00:00:00"/>
        <d v="2018-08-20T00:00:00"/>
        <d v="2018-08-19T00:00:00"/>
        <d v="2018-08-13T00:00:00"/>
        <d v="2018-08-08T00:00:00"/>
        <d v="2018-08-06T00:00:00"/>
        <d v="2018-08-05T00:00:00"/>
        <d v="2018-08-02T00:00:00"/>
        <d v="2018-08-01T00:00:00"/>
        <d v="2018-07-30T00:00:00"/>
        <d v="2018-07-29T00:00:00"/>
        <d v="2018-07-27T00:00:00"/>
        <d v="2018-07-26T00:00:00"/>
        <d v="2018-07-25T00:00:00"/>
        <d v="2018-07-23T00:00:00"/>
        <d v="2018-07-19T00:00:00"/>
        <d v="2018-07-16T00:00:00"/>
        <d v="2018-07-11T00:00:00"/>
        <d v="2018-07-10T00:00:00"/>
        <d v="2018-07-06T00:00:00"/>
        <d v="2018-07-05T00:00:00"/>
        <d v="2018-07-03T00:00:00"/>
        <d v="2018-07-02T00:00:00"/>
        <d v="2018-07-01T00:00:00"/>
        <d v="2018-06-26T00:00:00"/>
        <d v="2018-06-24T00:00:00"/>
        <d v="2018-06-21T00:00:00"/>
        <d v="2018-06-18T00:00:00"/>
        <d v="2018-06-17T00:00:00"/>
        <d v="2018-06-16T00:00:00"/>
        <d v="2018-06-12T00:00:00"/>
        <d v="2018-06-08T00:00:00"/>
        <d v="2018-06-07T00:00:00"/>
        <d v="2018-06-06T00:00:00"/>
        <d v="2018-06-04T00:00:00"/>
        <d v="2018-06-03T00:00:00"/>
        <d v="2018-06-02T00:00:00"/>
        <d v="2018-06-01T00:00:00"/>
        <d v="2018-05-31T00:00:00"/>
        <d v="2018-05-30T00:00:00"/>
        <d v="2018-05-29T00:00:00"/>
        <d v="2018-05-23T00:00:00"/>
        <d v="2018-05-25T00:00:00"/>
        <d v="2018-05-19T00:00:00"/>
        <d v="2018-05-18T00:00:00"/>
        <d v="2018-05-17T00:00:00"/>
        <d v="2018-05-16T00:00:00"/>
        <d v="2018-05-15T00:00:00"/>
        <d v="2018-05-14T00:00:00"/>
        <d v="2018-05-13T00:00:00"/>
        <d v="2018-05-12T00:00:00"/>
        <d v="2018-05-10T00:00:00"/>
        <d v="2018-05-09T00:00:00"/>
        <d v="2018-05-08T00:00:00"/>
        <d v="2018-05-07T00:00:00"/>
        <d v="2018-05-04T00:00:00"/>
        <d v="2018-05-03T00:00:00"/>
        <d v="2018-05-01T00:00:00"/>
        <d v="2018-04-30T00:00:00"/>
        <d v="2018-04-29T00:00:00"/>
        <d v="2018-04-27T00:00:00"/>
        <d v="2018-04-26T00:00:00"/>
        <d v="2018-04-25T00:00:00"/>
        <d v="2018-04-24T00:00:00"/>
        <d v="2018-04-22T00:00:00"/>
        <d v="2018-04-20T00:00:00"/>
        <d v="2018-04-19T00:00:00"/>
        <d v="2018-04-16T00:00:00"/>
        <d v="2018-04-14T00:00:00"/>
        <d v="2018-04-12T00:00:00"/>
        <d v="2018-04-11T00:00:00"/>
        <d v="2018-04-10T00:00:00"/>
        <d v="2018-04-09T00:00:00"/>
        <d v="2018-04-06T00:00:00"/>
        <d v="2018-04-05T00:00:00"/>
        <d v="2018-04-04T00:00:00"/>
        <d v="2018-04-03T00:00:00"/>
        <d v="2018-04-02T00:00:00"/>
        <d v="2018-04-01T00:00:00"/>
        <d v="2018-03-29T00:00:00"/>
        <d v="2018-03-27T00:00:00"/>
        <d v="2018-03-23T00:00:00"/>
        <d v="2018-03-26T00:00:00"/>
        <d v="2018-03-22T00:00:00"/>
        <d v="2018-03-18T00:00:00"/>
        <d v="2018-03-15T00:00:00"/>
        <d v="2018-03-14T00:00:00"/>
        <d v="2018-03-13T00:00:00"/>
        <d v="2018-03-12T00:00:00"/>
        <d v="2018-03-09T00:00:00"/>
        <d v="2018-03-08T00:00:00"/>
        <d v="2018-03-07T00:00:00"/>
        <d v="2018-03-06T00:00:00"/>
        <d v="2018-03-05T00:00:00"/>
        <d v="2018-03-04T00:00:00"/>
        <d v="2018-03-03T00:00:00"/>
        <d v="2018-03-02T00:00:00"/>
        <d v="2018-03-01T00:00:00"/>
        <d v="2018-02-28T00:00:00"/>
        <d v="2018-02-27T00:00:00"/>
        <d v="2018-02-26T00:00:00"/>
        <d v="2018-02-24T00:00:00"/>
        <d v="2018-02-23T00:00:00"/>
        <d v="2018-02-22T00:00:00"/>
        <d v="2018-02-21T00:00:00"/>
        <d v="2018-02-20T00:00:00"/>
        <d v="2018-02-19T00:00:00"/>
        <d v="2018-02-16T00:00:00"/>
        <d v="2018-02-15T00:00:00"/>
        <d v="2018-02-14T00:00:00"/>
        <d v="2018-02-13T00:00:00"/>
        <d v="2018-02-12T00:00:00"/>
        <d v="2018-02-11T00:00:00"/>
        <d v="2018-02-10T00:00:00"/>
        <d v="2018-02-09T00:00:00"/>
        <d v="2018-02-08T00:00:00"/>
        <d v="2018-02-06T00:00:00"/>
        <d v="2018-02-05T00:00:00"/>
        <d v="2018-02-04T00:00:00"/>
        <d v="2018-02-03T00:00:00"/>
        <d v="2018-02-02T00:00:00"/>
        <d v="2018-02-01T00:00:00"/>
        <d v="2018-01-31T00:00:00"/>
        <d v="2018-01-30T00:00:00"/>
        <d v="2018-01-29T00:00:00"/>
        <d v="2018-01-28T00:00:00"/>
        <d v="2018-01-26T00:00:00"/>
        <d v="2018-01-27T00:00:00"/>
        <d v="2018-01-25T00:00:00"/>
        <d v="2018-01-24T00:00:00"/>
        <d v="2018-01-22T00:00:00"/>
        <d v="2018-01-18T00:00:00"/>
        <d v="2018-01-17T00:00:00"/>
        <d v="2018-01-16T00:00:00"/>
        <d v="2018-01-15T00:00:00"/>
        <d v="2018-01-14T00:00:00"/>
        <d v="2018-01-12T00:00:00"/>
        <d v="2018-01-10T00:00:00"/>
        <d v="2018-01-09T00:00:00"/>
        <d v="2018-01-08T00:00:00"/>
        <d v="2018-01-07T00:00:00"/>
        <d v="2018-01-06T00:00:00"/>
        <d v="2018-01-05T00:00:00"/>
        <d v="2018-01-04T00:00:00"/>
        <d v="2018-01-03T00:00:00"/>
        <d v="2018-01-02T00:00:00"/>
        <d v="2018-01-01T00:00:00"/>
      </sharedItems>
      <fieldGroup par="7" base="0">
        <rangePr groupBy="days" startDate="2018-01-01T00:00:00" endDate="2018-12-31T00:00:00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1/12/2018"/>
        </groupItems>
      </fieldGroup>
    </cacheField>
    <cacheField name="Client" numFmtId="0">
      <sharedItems containsBlank="1"/>
    </cacheField>
    <cacheField name="Category" numFmtId="0">
      <sharedItems containsBlank="1" count="14">
        <m/>
        <s v="4. Pick n Mix Out"/>
        <s v="2. Workshops"/>
        <s v="7. Other"/>
        <s v="1. Courses/masterclasses"/>
        <s v="6. 1-2-1"/>
        <s v="3. Pick n Mix Inc"/>
        <s v="5. Mentoring"/>
        <s v="3. Pick n mix" u="1"/>
        <s v="pick n mix" u="1"/>
        <s v="mentoring" u="1"/>
        <s v="4. Mentoring" u="1"/>
        <s v="other" u="1"/>
        <s v="6. Other" u="1"/>
      </sharedItems>
    </cacheField>
    <cacheField name="Funding" numFmtId="0">
      <sharedItems containsBlank="1" count="9">
        <m/>
        <s v="PicknMix"/>
        <s v="Stripe"/>
        <s v="Paypal"/>
        <s v="W-Play"/>
        <s v="Bank"/>
        <s v="Various"/>
        <s v="Cash"/>
        <s v="Groupon"/>
      </sharedItems>
    </cacheField>
    <cacheField name="Amount" numFmtId="0">
      <sharedItems containsString="0" containsBlank="1" containsNumber="1" minValue="-1316" maxValue="1320"/>
    </cacheField>
    <cacheField name="Event" numFmtId="0">
      <sharedItems containsBlank="1"/>
    </cacheField>
    <cacheField name="Source" numFmtId="0">
      <sharedItems containsBlank="1" count="8">
        <m/>
        <s v="Existing"/>
        <s v="Google"/>
        <s v="Groupon"/>
        <s v="Facebook"/>
        <s v="ELS"/>
        <s v="Batsford"/>
        <s v="Other"/>
      </sharedItems>
    </cacheField>
    <cacheField name="Months" numFmtId="0" databaseField="0">
      <fieldGroup base="0">
        <rangePr groupBy="months" startDate="2018-01-01T00:00:00" endDate="2018-12-31T00:00:00"/>
        <groupItems count="14">
          <s v="&lt;01/01/2018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1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102.520154282407" createdVersion="6" refreshedVersion="6" minRefreshableVersion="3" recordCount="530" xr:uid="{00000000-000A-0000-FFFF-FFFF01000000}">
  <cacheSource type="worksheet">
    <worksheetSource ref="B124" sheet="Sales 2017"/>
  </cacheSource>
  <cacheFields count="8">
    <cacheField name="Date" numFmtId="0">
      <sharedItems containsNonDate="0" containsDate="1" containsString="0" containsBlank="1" minDate="2017-01-01T00:00:00" maxDate="2017-12-28T00:00:00" count="219">
        <m/>
        <d v="2017-12-27T00:00:00"/>
        <d v="2017-12-26T00:00:00"/>
        <d v="2017-12-24T00:00:00"/>
        <d v="2017-12-22T00:00:00"/>
        <d v="2017-12-21T00:00:00"/>
        <d v="2017-12-20T00:00:00"/>
        <d v="2017-12-19T00:00:00"/>
        <d v="2017-12-16T00:00:00"/>
        <d v="2017-12-14T00:00:00"/>
        <d v="2017-12-13T00:00:00"/>
        <d v="2017-12-12T00:00:00"/>
        <d v="2017-12-11T00:00:00"/>
        <d v="2017-12-10T00:00:00"/>
        <d v="2017-12-09T00:00:00"/>
        <d v="2017-12-06T00:00:00"/>
        <d v="2017-12-04T00:00:00"/>
        <d v="2017-12-01T00:00:00"/>
        <d v="2017-11-30T00:00:00"/>
        <d v="2017-11-29T00:00:00"/>
        <d v="2017-11-28T00:00:00"/>
        <d v="2017-11-21T00:00:00"/>
        <d v="2017-11-27T00:00:00"/>
        <d v="2017-11-19T00:00:00"/>
        <d v="2017-11-16T00:00:00"/>
        <d v="2017-11-11T00:00:00"/>
        <d v="2017-11-12T00:00:00"/>
        <d v="2017-11-10T00:00:00"/>
        <d v="2017-11-09T00:00:00"/>
        <d v="2017-11-08T00:00:00"/>
        <d v="2017-11-07T00:00:00"/>
        <d v="2017-11-01T00:00:00"/>
        <d v="2017-10-29T00:00:00"/>
        <d v="2017-10-27T00:00:00"/>
        <d v="2017-10-26T00:00:00"/>
        <d v="2017-10-24T00:00:00"/>
        <d v="2017-10-23T00:00:00"/>
        <d v="2017-10-22T00:00:00"/>
        <d v="2017-10-19T00:00:00"/>
        <d v="2017-10-18T00:00:00"/>
        <d v="2017-10-17T00:00:00"/>
        <d v="2017-10-16T00:00:00"/>
        <d v="2017-10-14T00:00:00"/>
        <d v="2017-10-12T00:00:00"/>
        <d v="2017-10-11T00:00:00"/>
        <d v="2017-10-10T00:00:00"/>
        <d v="2017-10-09T00:00:00"/>
        <d v="2017-10-08T00:00:00"/>
        <d v="2017-10-07T00:00:00"/>
        <d v="2017-10-04T00:00:00"/>
        <d v="2017-10-03T00:00:00"/>
        <d v="2017-10-02T00:00:00"/>
        <d v="2017-10-01T00:00:00"/>
        <d v="2017-09-30T00:00:00"/>
        <d v="2017-09-29T00:00:00"/>
        <d v="2017-09-28T00:00:00"/>
        <d v="2017-09-27T00:00:00"/>
        <d v="2017-09-26T00:00:00"/>
        <d v="2017-09-25T00:00:00"/>
        <d v="2017-09-24T00:00:00"/>
        <d v="2017-09-23T00:00:00"/>
        <d v="2017-09-22T00:00:00"/>
        <d v="2017-09-21T00:00:00"/>
        <d v="2017-09-20T00:00:00"/>
        <d v="2017-09-19T00:00:00"/>
        <d v="2017-09-18T00:00:00"/>
        <d v="2017-09-17T00:00:00"/>
        <d v="2017-09-16T00:00:00"/>
        <d v="2017-09-14T00:00:00"/>
        <d v="2017-09-13T00:00:00"/>
        <d v="2017-09-12T00:00:00"/>
        <d v="2017-09-11T00:00:00"/>
        <d v="2017-09-10T00:00:00"/>
        <d v="2017-09-08T00:00:00"/>
        <d v="2017-09-07T00:00:00"/>
        <d v="2017-09-06T00:00:00"/>
        <d v="2017-09-05T00:00:00"/>
        <d v="2017-09-04T00:00:00"/>
        <d v="2017-09-01T00:00:00"/>
        <d v="2017-08-31T00:00:00"/>
        <d v="2017-08-30T00:00:00"/>
        <d v="2017-08-29T00:00:00"/>
        <d v="2017-08-26T00:00:00"/>
        <d v="2017-08-25T00:00:00"/>
        <d v="2017-08-23T00:00:00"/>
        <d v="2017-08-22T00:00:00"/>
        <d v="2017-08-21T00:00:00"/>
        <d v="2017-08-07T00:00:00"/>
        <d v="2017-08-15T00:00:00"/>
        <d v="2017-08-19T00:00:00"/>
        <d v="2017-08-18T00:00:00"/>
        <d v="2017-08-17T00:00:00"/>
        <d v="2017-08-16T00:00:00"/>
        <d v="2017-08-14T00:00:00"/>
        <d v="2017-08-12T00:00:00"/>
        <d v="2017-08-06T00:00:00"/>
        <d v="2017-08-03T00:00:00"/>
        <d v="2017-08-01T00:00:00"/>
        <d v="2017-07-31T00:00:00"/>
        <d v="2017-07-25T00:00:00"/>
        <d v="2017-07-24T00:00:00"/>
        <d v="2017-07-23T00:00:00"/>
        <d v="2017-07-21T00:00:00"/>
        <d v="2017-07-18T00:00:00"/>
        <d v="2017-07-17T00:00:00"/>
        <d v="2017-07-16T00:00:00"/>
        <d v="2017-07-14T00:00:00"/>
        <d v="2017-07-06T00:00:00"/>
        <d v="2017-07-04T00:00:00"/>
        <d v="2017-07-03T00:00:00"/>
        <d v="2017-07-01T00:00:00"/>
        <d v="2017-06-30T00:00:00"/>
        <d v="2017-06-28T00:00:00"/>
        <d v="2017-06-23T00:00:00"/>
        <d v="2017-06-22T00:00:00"/>
        <d v="2017-06-21T00:00:00"/>
        <d v="2017-06-18T00:00:00"/>
        <d v="2017-06-17T00:00:00"/>
        <d v="2017-06-16T00:00:00"/>
        <d v="2017-06-15T00:00:00"/>
        <d v="2017-06-14T00:00:00"/>
        <d v="2017-06-13T00:00:00"/>
        <d v="2017-06-12T00:00:00"/>
        <d v="2017-06-11T00:00:00"/>
        <d v="2017-06-10T00:00:00"/>
        <d v="2017-06-09T00:00:00"/>
        <d v="2017-06-08T00:00:00"/>
        <d v="2017-06-07T00:00:00"/>
        <d v="2017-06-06T00:00:00"/>
        <d v="2017-06-05T00:00:00"/>
        <d v="2017-06-03T00:00:00"/>
        <d v="2017-06-02T00:00:00"/>
        <d v="2017-06-01T00:00:00"/>
        <d v="2017-05-31T00:00:00"/>
        <d v="2017-05-30T00:00:00"/>
        <d v="2017-05-29T00:00:00"/>
        <d v="2017-05-28T00:00:00"/>
        <d v="2017-05-27T00:00:00"/>
        <d v="2017-05-25T00:00:00"/>
        <d v="2017-05-24T00:00:00"/>
        <d v="2017-05-18T00:00:00"/>
        <d v="2017-05-17T00:00:00"/>
        <d v="2017-05-16T00:00:00"/>
        <d v="2017-05-15T00:00:00"/>
        <d v="2017-05-11T00:00:00"/>
        <d v="2017-05-10T00:00:00"/>
        <d v="2017-05-09T00:00:00"/>
        <d v="2017-05-08T00:00:00"/>
        <d v="2017-05-07T00:00:00"/>
        <d v="2017-05-06T00:00:00"/>
        <d v="2017-05-01T00:00:00"/>
        <d v="2017-04-30T00:00:00"/>
        <d v="2017-04-28T00:00:00"/>
        <d v="2017-04-27T00:00:00"/>
        <d v="2017-04-24T00:00:00"/>
        <d v="2017-04-23T00:00:00"/>
        <d v="2017-04-20T00:00:00"/>
        <d v="2017-04-19T00:00:00"/>
        <d v="2017-04-17T00:00:00"/>
        <d v="2017-04-14T00:00:00"/>
        <d v="2017-04-11T00:00:00"/>
        <d v="2017-04-10T00:00:00"/>
        <d v="2017-04-09T00:00:00"/>
        <d v="2017-04-07T00:00:00"/>
        <d v="2017-04-06T00:00:00"/>
        <d v="2017-04-04T00:00:00"/>
        <d v="2017-04-03T00:00:00"/>
        <d v="2017-04-02T00:00:00"/>
        <d v="2017-04-01T00:00:00"/>
        <d v="2017-03-30T00:00:00"/>
        <d v="2017-03-28T00:00:00"/>
        <d v="2017-03-27T00:00:00"/>
        <d v="2017-03-26T00:00:00"/>
        <d v="2017-03-23T00:00:00"/>
        <d v="2017-03-21T00:00:00"/>
        <d v="2017-03-20T00:00:00"/>
        <d v="2017-03-19T00:00:00"/>
        <d v="2017-03-18T00:00:00"/>
        <d v="2017-03-17T00:00:00"/>
        <d v="2017-03-16T00:00:00"/>
        <d v="2017-03-15T00:00:00"/>
        <d v="2017-03-13T00:00:00"/>
        <d v="2017-03-10T00:00:00"/>
        <d v="2017-03-09T00:00:00"/>
        <d v="2017-03-04T00:00:00"/>
        <d v="2017-03-01T00:00:00"/>
        <d v="2017-02-28T00:00:00"/>
        <d v="2017-02-27T00:00:00"/>
        <d v="2017-02-26T00:00:00"/>
        <d v="2017-02-24T00:00:00"/>
        <d v="2017-02-23T00:00:00"/>
        <d v="2017-02-22T00:00:00"/>
        <d v="2017-02-21T00:00:00"/>
        <d v="2017-02-20T00:00:00"/>
        <d v="2017-02-17T00:00:00"/>
        <d v="2017-02-16T00:00:00"/>
        <d v="2017-02-15T00:00:00"/>
        <d v="2017-02-14T00:00:00"/>
        <d v="2017-02-13T00:00:00"/>
        <d v="2017-02-12T00:00:00"/>
        <d v="2017-02-11T00:00:00"/>
        <d v="2017-02-10T00:00:00"/>
        <d v="2017-02-08T00:00:00"/>
        <d v="2017-02-07T00:00:00"/>
        <d v="2017-02-03T00:00:00"/>
        <d v="2017-01-31T00:00:00"/>
        <d v="2017-01-27T00:00:00"/>
        <d v="2017-01-26T00:00:00"/>
        <d v="2017-01-25T00:00:00"/>
        <d v="2017-01-17T00:00:00"/>
        <d v="2017-01-14T00:00:00"/>
        <d v="2017-01-13T00:00:00"/>
        <d v="2017-01-11T00:00:00"/>
        <d v="2017-01-08T00:00:00"/>
        <d v="2017-01-07T00:00:00"/>
        <d v="2017-01-05T00:00:00"/>
        <d v="2017-01-04T00:00:00"/>
        <d v="2017-01-03T00:00:00"/>
        <d v="2017-01-01T00:00:00"/>
      </sharedItems>
      <fieldGroup par="7" base="0">
        <rangePr groupBy="days" startDate="2017-01-01T00:00:00" endDate="2017-12-28T00:00:00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8/12/2017"/>
        </groupItems>
      </fieldGroup>
    </cacheField>
    <cacheField name="Client" numFmtId="0">
      <sharedItems containsBlank="1"/>
    </cacheField>
    <cacheField name="Category" numFmtId="0">
      <sharedItems containsBlank="1" count="7">
        <m/>
        <s v="courses/masterclasses"/>
        <s v="other"/>
        <s v="workshops"/>
        <s v="1-2-1"/>
        <s v="pick n mix"/>
        <s v="mentoring"/>
      </sharedItems>
    </cacheField>
    <cacheField name="Funding" numFmtId="0">
      <sharedItems containsBlank="1" count="8">
        <m/>
        <s v="PayPal"/>
        <s v="Stripe"/>
        <s v="Bank"/>
        <s v="W-Play"/>
        <s v="Groupon"/>
        <s v="Various"/>
        <s v="Cash"/>
      </sharedItems>
    </cacheField>
    <cacheField name="Amount" numFmtId="0">
      <sharedItems containsString="0" containsBlank="1" containsNumber="1" minValue="7.75" maxValue="2493"/>
    </cacheField>
    <cacheField name="Event" numFmtId="0">
      <sharedItems containsBlank="1"/>
    </cacheField>
    <cacheField name="Source" numFmtId="0">
      <sharedItems containsBlank="1"/>
    </cacheField>
    <cacheField name="Months" numFmtId="0" databaseField="0">
      <fieldGroup base="0">
        <rangePr groupBy="months" startDate="2017-01-01T00:00:00" endDate="2017-12-28T00:00:00"/>
        <groupItems count="14">
          <s v="&lt;01/01/2017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8/12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102.486167592593" createdVersion="6" refreshedVersion="6" minRefreshableVersion="3" recordCount="529" xr:uid="{00000000-000A-0000-FFFF-FFFF00000000}">
  <cacheSource type="worksheet">
    <worksheetSource ref="B124" sheet="Sales 2017"/>
  </cacheSource>
  <cacheFields count="8">
    <cacheField name="Date" numFmtId="0">
      <sharedItems containsNonDate="0" containsDate="1" containsString="0" containsBlank="1" minDate="2017-01-01T00:00:00" maxDate="2017-12-28T00:00:00" count="219">
        <m/>
        <d v="2017-12-27T00:00:00"/>
        <d v="2017-12-26T00:00:00"/>
        <d v="2017-12-24T00:00:00"/>
        <d v="2017-12-22T00:00:00"/>
        <d v="2017-12-21T00:00:00"/>
        <d v="2017-12-20T00:00:00"/>
        <d v="2017-12-19T00:00:00"/>
        <d v="2017-12-16T00:00:00"/>
        <d v="2017-12-14T00:00:00"/>
        <d v="2017-12-13T00:00:00"/>
        <d v="2017-12-12T00:00:00"/>
        <d v="2017-12-11T00:00:00"/>
        <d v="2017-12-10T00:00:00"/>
        <d v="2017-12-09T00:00:00"/>
        <d v="2017-12-06T00:00:00"/>
        <d v="2017-12-04T00:00:00"/>
        <d v="2017-12-01T00:00:00"/>
        <d v="2017-11-30T00:00:00"/>
        <d v="2017-11-29T00:00:00"/>
        <d v="2017-11-28T00:00:00"/>
        <d v="2017-11-21T00:00:00"/>
        <d v="2017-11-27T00:00:00"/>
        <d v="2017-11-19T00:00:00"/>
        <d v="2017-11-16T00:00:00"/>
        <d v="2017-11-11T00:00:00"/>
        <d v="2017-11-12T00:00:00"/>
        <d v="2017-11-10T00:00:00"/>
        <d v="2017-11-09T00:00:00"/>
        <d v="2017-11-08T00:00:00"/>
        <d v="2017-11-07T00:00:00"/>
        <d v="2017-11-01T00:00:00"/>
        <d v="2017-10-29T00:00:00"/>
        <d v="2017-10-27T00:00:00"/>
        <d v="2017-10-26T00:00:00"/>
        <d v="2017-10-24T00:00:00"/>
        <d v="2017-10-23T00:00:00"/>
        <d v="2017-10-22T00:00:00"/>
        <d v="2017-10-19T00:00:00"/>
        <d v="2017-10-18T00:00:00"/>
        <d v="2017-10-17T00:00:00"/>
        <d v="2017-10-16T00:00:00"/>
        <d v="2017-10-14T00:00:00"/>
        <d v="2017-10-12T00:00:00"/>
        <d v="2017-10-11T00:00:00"/>
        <d v="2017-10-10T00:00:00"/>
        <d v="2017-10-09T00:00:00"/>
        <d v="2017-10-08T00:00:00"/>
        <d v="2017-10-07T00:00:00"/>
        <d v="2017-10-04T00:00:00"/>
        <d v="2017-10-03T00:00:00"/>
        <d v="2017-10-02T00:00:00"/>
        <d v="2017-10-01T00:00:00"/>
        <d v="2017-09-30T00:00:00"/>
        <d v="2017-09-29T00:00:00"/>
        <d v="2017-09-28T00:00:00"/>
        <d v="2017-09-27T00:00:00"/>
        <d v="2017-09-26T00:00:00"/>
        <d v="2017-09-25T00:00:00"/>
        <d v="2017-09-24T00:00:00"/>
        <d v="2017-09-23T00:00:00"/>
        <d v="2017-09-22T00:00:00"/>
        <d v="2017-09-21T00:00:00"/>
        <d v="2017-09-20T00:00:00"/>
        <d v="2017-09-19T00:00:00"/>
        <d v="2017-09-18T00:00:00"/>
        <d v="2017-09-17T00:00:00"/>
        <d v="2017-09-16T00:00:00"/>
        <d v="2017-09-14T00:00:00"/>
        <d v="2017-09-13T00:00:00"/>
        <d v="2017-09-12T00:00:00"/>
        <d v="2017-09-11T00:00:00"/>
        <d v="2017-09-10T00:00:00"/>
        <d v="2017-09-08T00:00:00"/>
        <d v="2017-09-07T00:00:00"/>
        <d v="2017-09-06T00:00:00"/>
        <d v="2017-09-05T00:00:00"/>
        <d v="2017-09-04T00:00:00"/>
        <d v="2017-09-01T00:00:00"/>
        <d v="2017-08-31T00:00:00"/>
        <d v="2017-08-30T00:00:00"/>
        <d v="2017-08-29T00:00:00"/>
        <d v="2017-08-26T00:00:00"/>
        <d v="2017-08-25T00:00:00"/>
        <d v="2017-08-23T00:00:00"/>
        <d v="2017-08-22T00:00:00"/>
        <d v="2017-08-21T00:00:00"/>
        <d v="2017-08-07T00:00:00"/>
        <d v="2017-08-15T00:00:00"/>
        <d v="2017-08-19T00:00:00"/>
        <d v="2017-08-18T00:00:00"/>
        <d v="2017-08-17T00:00:00"/>
        <d v="2017-08-16T00:00:00"/>
        <d v="2017-08-14T00:00:00"/>
        <d v="2017-08-12T00:00:00"/>
        <d v="2017-08-06T00:00:00"/>
        <d v="2017-08-03T00:00:00"/>
        <d v="2017-08-01T00:00:00"/>
        <d v="2017-07-31T00:00:00"/>
        <d v="2017-07-25T00:00:00"/>
        <d v="2017-07-24T00:00:00"/>
        <d v="2017-07-23T00:00:00"/>
        <d v="2017-07-21T00:00:00"/>
        <d v="2017-07-18T00:00:00"/>
        <d v="2017-07-17T00:00:00"/>
        <d v="2017-07-16T00:00:00"/>
        <d v="2017-07-14T00:00:00"/>
        <d v="2017-07-06T00:00:00"/>
        <d v="2017-07-04T00:00:00"/>
        <d v="2017-07-03T00:00:00"/>
        <d v="2017-07-01T00:00:00"/>
        <d v="2017-06-30T00:00:00"/>
        <d v="2017-06-28T00:00:00"/>
        <d v="2017-06-23T00:00:00"/>
        <d v="2017-06-22T00:00:00"/>
        <d v="2017-06-21T00:00:00"/>
        <d v="2017-06-18T00:00:00"/>
        <d v="2017-06-17T00:00:00"/>
        <d v="2017-06-16T00:00:00"/>
        <d v="2017-06-15T00:00:00"/>
        <d v="2017-06-14T00:00:00"/>
        <d v="2017-06-13T00:00:00"/>
        <d v="2017-06-12T00:00:00"/>
        <d v="2017-06-11T00:00:00"/>
        <d v="2017-06-10T00:00:00"/>
        <d v="2017-06-09T00:00:00"/>
        <d v="2017-06-08T00:00:00"/>
        <d v="2017-06-07T00:00:00"/>
        <d v="2017-06-06T00:00:00"/>
        <d v="2017-06-05T00:00:00"/>
        <d v="2017-06-03T00:00:00"/>
        <d v="2017-06-02T00:00:00"/>
        <d v="2017-06-01T00:00:00"/>
        <d v="2017-05-31T00:00:00"/>
        <d v="2017-05-30T00:00:00"/>
        <d v="2017-05-29T00:00:00"/>
        <d v="2017-05-28T00:00:00"/>
        <d v="2017-05-27T00:00:00"/>
        <d v="2017-05-25T00:00:00"/>
        <d v="2017-05-24T00:00:00"/>
        <d v="2017-05-18T00:00:00"/>
        <d v="2017-05-17T00:00:00"/>
        <d v="2017-05-16T00:00:00"/>
        <d v="2017-05-15T00:00:00"/>
        <d v="2017-05-11T00:00:00"/>
        <d v="2017-05-10T00:00:00"/>
        <d v="2017-05-09T00:00:00"/>
        <d v="2017-05-08T00:00:00"/>
        <d v="2017-05-07T00:00:00"/>
        <d v="2017-05-06T00:00:00"/>
        <d v="2017-05-01T00:00:00"/>
        <d v="2017-04-30T00:00:00"/>
        <d v="2017-04-28T00:00:00"/>
        <d v="2017-04-27T00:00:00"/>
        <d v="2017-04-24T00:00:00"/>
        <d v="2017-04-23T00:00:00"/>
        <d v="2017-04-20T00:00:00"/>
        <d v="2017-04-19T00:00:00"/>
        <d v="2017-04-17T00:00:00"/>
        <d v="2017-04-14T00:00:00"/>
        <d v="2017-04-11T00:00:00"/>
        <d v="2017-04-10T00:00:00"/>
        <d v="2017-04-09T00:00:00"/>
        <d v="2017-04-07T00:00:00"/>
        <d v="2017-04-06T00:00:00"/>
        <d v="2017-04-04T00:00:00"/>
        <d v="2017-04-03T00:00:00"/>
        <d v="2017-04-02T00:00:00"/>
        <d v="2017-04-01T00:00:00"/>
        <d v="2017-03-30T00:00:00"/>
        <d v="2017-03-28T00:00:00"/>
        <d v="2017-03-27T00:00:00"/>
        <d v="2017-03-26T00:00:00"/>
        <d v="2017-03-23T00:00:00"/>
        <d v="2017-03-21T00:00:00"/>
        <d v="2017-03-20T00:00:00"/>
        <d v="2017-03-19T00:00:00"/>
        <d v="2017-03-18T00:00:00"/>
        <d v="2017-03-17T00:00:00"/>
        <d v="2017-03-16T00:00:00"/>
        <d v="2017-03-15T00:00:00"/>
        <d v="2017-03-13T00:00:00"/>
        <d v="2017-03-10T00:00:00"/>
        <d v="2017-03-09T00:00:00"/>
        <d v="2017-03-04T00:00:00"/>
        <d v="2017-03-01T00:00:00"/>
        <d v="2017-02-28T00:00:00"/>
        <d v="2017-02-27T00:00:00"/>
        <d v="2017-02-26T00:00:00"/>
        <d v="2017-02-24T00:00:00"/>
        <d v="2017-02-23T00:00:00"/>
        <d v="2017-02-22T00:00:00"/>
        <d v="2017-02-21T00:00:00"/>
        <d v="2017-02-20T00:00:00"/>
        <d v="2017-02-17T00:00:00"/>
        <d v="2017-02-16T00:00:00"/>
        <d v="2017-02-15T00:00:00"/>
        <d v="2017-02-14T00:00:00"/>
        <d v="2017-02-13T00:00:00"/>
        <d v="2017-02-12T00:00:00"/>
        <d v="2017-02-11T00:00:00"/>
        <d v="2017-02-10T00:00:00"/>
        <d v="2017-02-08T00:00:00"/>
        <d v="2017-02-07T00:00:00"/>
        <d v="2017-02-03T00:00:00"/>
        <d v="2017-01-31T00:00:00"/>
        <d v="2017-01-27T00:00:00"/>
        <d v="2017-01-26T00:00:00"/>
        <d v="2017-01-25T00:00:00"/>
        <d v="2017-01-17T00:00:00"/>
        <d v="2017-01-14T00:00:00"/>
        <d v="2017-01-13T00:00:00"/>
        <d v="2017-01-11T00:00:00"/>
        <d v="2017-01-08T00:00:00"/>
        <d v="2017-01-07T00:00:00"/>
        <d v="2017-01-05T00:00:00"/>
        <d v="2017-01-04T00:00:00"/>
        <d v="2017-01-03T00:00:00"/>
        <d v="2017-01-01T00:00:00"/>
      </sharedItems>
      <fieldGroup par="7" base="0">
        <rangePr groupBy="days" startDate="2017-01-01T00:00:00" endDate="2017-12-28T00:00:00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8/12/2017"/>
        </groupItems>
      </fieldGroup>
    </cacheField>
    <cacheField name="Client" numFmtId="0">
      <sharedItems containsBlank="1"/>
    </cacheField>
    <cacheField name="Category" numFmtId="0">
      <sharedItems containsBlank="1" count="7">
        <m/>
        <s v="courses/masterclasses"/>
        <s v="other"/>
        <s v="workshops"/>
        <s v="1-2-1"/>
        <s v="pick n mix"/>
        <s v="mentoring"/>
      </sharedItems>
    </cacheField>
    <cacheField name="Funding" numFmtId="0">
      <sharedItems containsBlank="1" count="8">
        <m/>
        <s v="PayPal"/>
        <s v="Stripe"/>
        <s v="Bank"/>
        <s v="W-Play"/>
        <s v="Groupon"/>
        <s v="Various"/>
        <s v="Cash"/>
      </sharedItems>
    </cacheField>
    <cacheField name="Amount" numFmtId="0">
      <sharedItems containsString="0" containsBlank="1" containsNumber="1" minValue="7.75" maxValue="2493"/>
    </cacheField>
    <cacheField name="Event" numFmtId="0">
      <sharedItems containsBlank="1" count="143">
        <m/>
        <s v="5wk Course"/>
        <s v="Digital Gift Card"/>
        <s v="Intro Class"/>
        <s v="4wk Extended Course"/>
        <s v="Batsford Calendar"/>
        <s v="Masterclass Critique"/>
        <s v="Hartland April"/>
        <s v="1-2-1"/>
        <s v="Gift Voucher"/>
        <s v="Forum"/>
        <s v="LR Course"/>
        <s v="Intermediates Course"/>
        <s v="Pick N Mix Payments"/>
        <s v="Mentoring Subs"/>
        <s v="4wk Ext Course"/>
        <s v="Xmas Photo Walk"/>
        <s v="Batsford Workshop March"/>
        <s v="Various"/>
        <s v="LR Organisation"/>
        <s v="3 Prints"/>
        <s v="Intermediates"/>
        <s v="Xmas Sparkle"/>
        <s v="Northumbria Workshop"/>
        <s v="Xmas Walk"/>
        <s v="Masterclass"/>
        <s v="Various Workshops"/>
        <s v="Bluebells"/>
        <s v="4wk Beginners"/>
        <s v="Xposure"/>
        <s v="Poppies"/>
        <s v="Batsford"/>
        <s v="Fireworks"/>
        <s v="Intentions Course"/>
        <s v="Lightroom Course"/>
        <s v="1-2-1 Lightroom"/>
        <s v="France"/>
        <s v="Panel Review"/>
        <s v="Batsford/Fireworks"/>
        <s v="1 day workshop"/>
        <s v="Pick N Mix"/>
        <s v="Pocket Guides"/>
        <s v="4wk Course"/>
        <s v="Workshop"/>
        <s v="Mentoring + Courses"/>
        <s v="Batsford Workshop"/>
        <s v="Lakes"/>
        <s v="Beginner Course"/>
        <s v="Photo Shoot"/>
        <s v="Pick N MixPlan"/>
        <s v="Chesterton Workshop"/>
        <s v="Pocket Guide"/>
        <s v="ARPS Panel"/>
        <s v="Xposure Festival"/>
        <s v="Tripod Hire"/>
        <s v="Northumbria"/>
        <s v="Age Uk Course"/>
        <s v="1-2-1 Tuition"/>
        <s v="Prints"/>
        <s v="Creative Editing Masterclass"/>
        <s v="Deposit 4wk Course"/>
        <s v="4wk Course Ken"/>
        <s v="5wk Course Ken"/>
        <s v="Peak District"/>
        <s v="Anglesey Workshop"/>
        <s v="Prints-Zenfolio"/>
        <s v="Plan shortfall"/>
        <s v="Batsford - Oct"/>
        <s v="Monhtly Mentoring"/>
        <s v="Intro Class x 2"/>
        <s v="3 x Masterclasses"/>
        <s v="Chesterton Sunset"/>
        <s v="Photo Walk"/>
        <s v="?"/>
        <s v="Norfolk"/>
        <s v="Portriats Course"/>
        <s v="photo critique"/>
        <s v="Course"/>
        <s v="Chesterton Windmill"/>
        <s v="Sherbourne Prints"/>
        <s v="Sensor Clean"/>
        <s v="Sunset"/>
        <s v="Delphiniums"/>
        <s v="ELS Payment"/>
        <s v="Abstract Workshop"/>
        <s v="Settle Plan"/>
        <s v="Portraits Workshop"/>
        <s v="Workshops"/>
        <s v="19 Poppies"/>
        <s v="22 Poppies"/>
        <s v="21 Poppies"/>
        <s v="4wk extended"/>
        <s v="Mentoring "/>
        <s v="Pick N Mix Subs"/>
        <s v="Intermed Course"/>
        <s v="Lightroom"/>
        <s v="Anglesey"/>
        <s v="Macro Masterclass"/>
        <s v="Monthly Mentoring"/>
        <s v="sunset workshop"/>
        <s v="Sharpshooters"/>
        <s v="Prem Mentoring"/>
        <s v="5wk Course Soli"/>
        <s v="Fairy Glen Workshop"/>
        <s v="Pick N Mix plans"/>
        <s v="Mentoring Plans"/>
        <s v="Family SS/Workshop"/>
        <s v="Schools Course"/>
        <s v="Yorkshire"/>
        <s v="Courses"/>
        <s v="Night shoot"/>
        <s v="Gift Voucher Sharpshooters"/>
        <s v="Pick N Mix Mar"/>
        <s v="1-2-1 gift voucher"/>
        <s v="Bluebell Workshop"/>
        <s v="LR Support"/>
        <s v="Various Courses"/>
        <s v="Masterclass + 5week"/>
        <s v="2.5hr Chesterton"/>
        <s v="General/ Intro"/>
        <s v="Print Sale $-£"/>
        <s v="Wales"/>
        <s v="4 wk course"/>
        <s v="Mentoring Mar"/>
        <s v="Other"/>
        <s v="Batsford Workshops"/>
        <s v="class"/>
        <s v="2.5hr workshop"/>
        <s v="Autumn Batsford"/>
        <s v="Deposit 4wk Extd"/>
        <s v="2.5+4hr Workshop"/>
        <s v="5 wk course"/>
        <s v="Mentoring"/>
        <s v="Intro Class Dorridge"/>
        <s v="2 Schools"/>
        <s v="PnM"/>
        <s v="5 week course"/>
        <s v="monitor calibration"/>
        <s v="devon"/>
        <s v="batsford cal shoot"/>
        <s v="5wk course feb"/>
        <s v="yes"/>
        <s v="no"/>
      </sharedItems>
    </cacheField>
    <cacheField name="Source" numFmtId="0">
      <sharedItems containsBlank="1" count="8">
        <m/>
        <s v="Google"/>
        <s v="Existing"/>
        <s v="Batsford"/>
        <s v="ELS"/>
        <s v="Groupon"/>
        <s v="Zenfolio"/>
        <s v="Other"/>
      </sharedItems>
    </cacheField>
    <cacheField name="Months" numFmtId="0" databaseField="0">
      <fieldGroup base="0">
        <rangePr groupBy="months" startDate="2017-01-01T00:00:00" endDate="2017-12-28T00:00:00"/>
        <groupItems count="14">
          <s v="&lt;01/01/2017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8/12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831.509380671298" createdVersion="6" refreshedVersion="6" minRefreshableVersion="3" recordCount="121" xr:uid="{00000000-000A-0000-FFFF-FFFF03000000}">
  <cacheSource type="worksheet">
    <worksheetSource ref="A9:L9" sheet="Workshops"/>
  </cacheSource>
  <cacheFields count="13">
    <cacheField name="Event Date" numFmtId="0">
      <sharedItems containsNonDate="0" containsDate="1" containsString="0" containsBlank="1" minDate="2020-01-07T00:00:00" maxDate="2020-12-02T00:00:00"/>
    </cacheField>
    <cacheField name="Workshop-Location/Theme" numFmtId="0">
      <sharedItems containsBlank="1" count="34">
        <m/>
        <s v="Woodland Photo Walk "/>
        <s v="Wales - Dee Valley"/>
        <s v="Urban Architecture"/>
        <s v="Yorkshire Dales"/>
        <s v="Suffolk Coast"/>
        <s v="Long Exposure"/>
        <s v="Ireland - Dingle"/>
        <s v="Peak District"/>
        <s v="Bluebell Woodlands"/>
        <s v="Dorset"/>
        <s v="Poppy Fields"/>
        <s v="Sunflower Fields"/>
        <s v="Hartland Quay - Devon"/>
        <s v="Lake District"/>
        <s v="Lavendar" u="1"/>
        <s v="Woodland Workshop" u="1"/>
        <s v="Batsford Class/Walk" u="1"/>
        <s v="Suffolk Coastal" u="1"/>
        <s v="Northumbria" u="1"/>
        <s v="Wales Nant Mill" u="1"/>
        <s v="Abstract &amp; Macro " u="1"/>
        <s v="Sunflowers" u="1"/>
        <s v="Brandon Marsh" u="1"/>
        <s v="Chesterton Windmill" u="1"/>
        <s v="Burnham On Sea - Sunset" u="1"/>
        <s v="Christmas Photowalk" u="1"/>
        <s v="Wales Fairy Glen Betws-y-Coed " u="1"/>
        <s v="Wales Anglesey" u="1"/>
        <s v="Long Exposure - Coventry" u="1"/>
        <s v="Batsford Autumn" u="1"/>
        <s v="Norfolk" u="1"/>
        <s v="Wales - Coed y Brenin - Waterfalls " u="1"/>
        <s v="Christmas Sparkle" u="1"/>
      </sharedItems>
    </cacheField>
    <cacheField name="Time/Package" numFmtId="0">
      <sharedItems containsBlank="1"/>
    </cacheField>
    <cacheField name="Duration" numFmtId="0">
      <sharedItems containsBlank="1" count="8">
        <m/>
        <s v="2.5hrs"/>
        <s v="3 Days"/>
        <s v="2 Days"/>
        <s v="5 Days"/>
        <s v="1 Day"/>
        <s v="4hrs"/>
        <s v="4 Days" u="1"/>
      </sharedItems>
    </cacheField>
    <cacheField name="source" numFmtId="0">
      <sharedItems containsBlank="1" count="8">
        <m/>
        <s v="Google"/>
        <s v="Existing"/>
        <s v="Facebook" u="1"/>
        <s v="Exisiting" u="1"/>
        <s v="Referral" u="1"/>
        <s v="ELS" u="1"/>
        <s v="Batsford" u="1"/>
      </sharedItems>
    </cacheField>
    <cacheField name="Order Ref" numFmtId="0">
      <sharedItems containsBlank="1"/>
    </cacheField>
    <cacheField name="Date Booked" numFmtId="16">
      <sharedItems containsDate="1" containsBlank="1" containsMixedTypes="1" minDate="2019-03-15T00:00:00" maxDate="2019-12-31T00:00:00"/>
    </cacheField>
    <cacheField name="Paid" numFmtId="0">
      <sharedItems containsString="0" containsBlank="1" containsNumber="1" minValue="10" maxValue="1190"/>
    </cacheField>
    <cacheField name="Balance" numFmtId="0">
      <sharedItems containsString="0" containsBlank="1" containsNumber="1" containsInteger="1" minValue="0" maxValue="795"/>
    </cacheField>
    <cacheField name="Email Address" numFmtId="0">
      <sharedItems containsBlank="1"/>
    </cacheField>
    <cacheField name="Prefix" numFmtId="0">
      <sharedItems containsBlank="1"/>
    </cacheField>
    <cacheField name="First Name" numFmtId="0">
      <sharedItems containsBlank="1"/>
    </cacheField>
    <cacheField name="Last Nam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845.703878587963" createdVersion="6" refreshedVersion="6" minRefreshableVersion="3" recordCount="64" xr:uid="{00000000-000A-0000-FFFF-FFFF04000000}">
  <cacheSource type="worksheet">
    <worksheetSource ref="B227:J228" sheet="Courses-Classes"/>
  </cacheSource>
  <cacheFields count="9">
    <cacheField name="From Date" numFmtId="0">
      <sharedItems containsNonDate="0" containsDate="1" containsString="0" containsBlank="1" minDate="2019-09-05T00:00:00" maxDate="2020-03-20T00:00:00"/>
    </cacheField>
    <cacheField name="To Date" numFmtId="0">
      <sharedItems containsNonDate="0" containsDate="1" containsString="0" containsBlank="1" minDate="2019-10-03T00:00:00" maxDate="2021-01-10T00:00:00"/>
    </cacheField>
    <cacheField name="Date Booked" numFmtId="0">
      <sharedItems containsNonDate="0" containsDate="1" containsString="0" containsBlank="1" minDate="2018-01-27T00:00:00" maxDate="2020-01-09T00:00:00"/>
    </cacheField>
    <cacheField name="Event" numFmtId="0">
      <sharedItems containsBlank="1" count="19">
        <m/>
        <s v="RPS Course"/>
        <s v="B&amp;W Mastercalss"/>
        <s v="Image Sharing Masteclass"/>
        <s v="Beginners Lightroom do in 2020 Kenilworth"/>
        <s v="Intermediates Photography Course"/>
        <s v="Get Off Auto"/>
        <s v="Beginners Photography"/>
        <s v="Better Portraits Workshop"/>
        <s v="Beginners Lightroom"/>
        <s v="Creative Editing Masterclass" u="1"/>
        <s v="Intermediates Intentions Course" u="1"/>
        <s v="Online Beginners Photography Course" u="1"/>
        <s v="RPS Extension - 6 months" u="1"/>
        <s v="Premium Mentoring" u="1"/>
        <s v="Lightroom Masterclass" u="1"/>
        <s v="Beginners Lightroom/Considering Intermediates Photo - NOV" u="1"/>
        <s v="Get Off Auto NO SHOW (4/6) waived the fee" u="1"/>
        <s v="Macro Masterclass" u="1"/>
      </sharedItems>
    </cacheField>
    <cacheField name="Location" numFmtId="0">
      <sharedItems containsBlank="1" count="6">
        <m/>
        <s v="Coventry"/>
        <s v="Kenilworth"/>
        <s v="Solihull"/>
        <s v="Batsford" u="1"/>
        <s v="Online" u="1"/>
      </sharedItems>
    </cacheField>
    <cacheField name="Duration" numFmtId="0">
      <sharedItems containsBlank="1" count="7">
        <m/>
        <s v="12 Months"/>
        <s v="2.5hrs"/>
        <s v="4wks"/>
        <s v="5wks"/>
        <s v="1 Day"/>
        <s v="6 Months" u="1"/>
      </sharedItems>
    </cacheField>
    <cacheField name="Paid" numFmtId="0">
      <sharedItems containsString="0" containsBlank="1" containsNumber="1" minValue="30" maxValue="395"/>
    </cacheField>
    <cacheField name="Balance" numFmtId="0">
      <sharedItems containsString="0" containsBlank="1" containsNumber="1" containsInteger="1" minValue="0" maxValue="0"/>
    </cacheField>
    <cacheField name="Source" numFmtId="0">
      <sharedItems containsBlank="1" count="8">
        <m/>
        <s v="Existing"/>
        <s v="Exisiting"/>
        <s v="Google"/>
        <s v="ELS"/>
        <s v="Referral" u="1"/>
        <s v="Groupon" u="1"/>
        <s v="Batsford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2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3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4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5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2000000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1:O42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axis="axisRow" showAll="0" sortType="descending">
      <items count="10">
        <item x="5"/>
        <item x="6"/>
        <item x="0"/>
        <item x="3"/>
        <item x="1"/>
        <item x="2"/>
        <item x="8"/>
        <item x="4"/>
        <item x="7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"/>
  </rowFields>
  <rowItems count="10">
    <i>
      <x v="5"/>
    </i>
    <i>
      <x/>
    </i>
    <i>
      <x v="3"/>
    </i>
    <i>
      <x v="1"/>
    </i>
    <i>
      <x v="6"/>
    </i>
    <i>
      <x v="7"/>
    </i>
    <i>
      <x v="8"/>
    </i>
    <i>
      <x v="2"/>
    </i>
    <i>
      <x v="4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165"/>
  </dataFields>
  <formats count="60">
    <format dxfId="1367">
      <pivotArea type="all" dataOnly="0" outline="0" fieldPosition="0"/>
    </format>
    <format dxfId="1366">
      <pivotArea outline="0" collapsedLevelsAreSubtotals="1" fieldPosition="0"/>
    </format>
    <format dxfId="1365">
      <pivotArea type="origin" dataOnly="0" labelOnly="1" outline="0" fieldPosition="0"/>
    </format>
    <format dxfId="1364">
      <pivotArea field="7" type="button" dataOnly="0" labelOnly="1" outline="0" axis="axisCol" fieldPosition="0"/>
    </format>
    <format dxfId="1363">
      <pivotArea type="topRight" dataOnly="0" labelOnly="1" outline="0" fieldPosition="0"/>
    </format>
    <format dxfId="1362">
      <pivotArea field="3" type="button" dataOnly="0" labelOnly="1" outline="0" axis="axisRow" fieldPosition="0"/>
    </format>
    <format dxfId="1361">
      <pivotArea dataOnly="0" labelOnly="1" fieldPosition="0">
        <references count="1">
          <reference field="3" count="0"/>
        </references>
      </pivotArea>
    </format>
    <format dxfId="1360">
      <pivotArea dataOnly="0" labelOnly="1" grandRow="1" outline="0" fieldPosition="0"/>
    </format>
    <format dxfId="135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358">
      <pivotArea dataOnly="0" labelOnly="1" grandCol="1" outline="0" fieldPosition="0"/>
    </format>
    <format dxfId="1357">
      <pivotArea type="all" dataOnly="0" outline="0" fieldPosition="0"/>
    </format>
    <format dxfId="1356">
      <pivotArea outline="0" collapsedLevelsAreSubtotals="1" fieldPosition="0"/>
    </format>
    <format dxfId="1355">
      <pivotArea type="origin" dataOnly="0" labelOnly="1" outline="0" fieldPosition="0"/>
    </format>
    <format dxfId="1354">
      <pivotArea field="7" type="button" dataOnly="0" labelOnly="1" outline="0" axis="axisCol" fieldPosition="0"/>
    </format>
    <format dxfId="1353">
      <pivotArea type="topRight" dataOnly="0" labelOnly="1" outline="0" fieldPosition="0"/>
    </format>
    <format dxfId="1352">
      <pivotArea field="3" type="button" dataOnly="0" labelOnly="1" outline="0" axis="axisRow" fieldPosition="0"/>
    </format>
    <format dxfId="1351">
      <pivotArea dataOnly="0" labelOnly="1" fieldPosition="0">
        <references count="1">
          <reference field="3" count="0"/>
        </references>
      </pivotArea>
    </format>
    <format dxfId="1350">
      <pivotArea dataOnly="0" labelOnly="1" grandRow="1" outline="0" fieldPosition="0"/>
    </format>
    <format dxfId="134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348">
      <pivotArea dataOnly="0" labelOnly="1" grandCol="1" outline="0" fieldPosition="0"/>
    </format>
    <format dxfId="134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346">
      <pivotArea grandCol="1" outline="0" collapsedLevelsAreSubtotals="1" fieldPosition="0"/>
    </format>
    <format dxfId="1345">
      <pivotArea type="topRight" dataOnly="0" labelOnly="1" outline="0" fieldPosition="0"/>
    </format>
    <format dxfId="134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343">
      <pivotArea dataOnly="0" labelOnly="1" grandCol="1" outline="0" fieldPosition="0"/>
    </format>
    <format dxfId="134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341">
      <pivotArea grandCol="1" outline="0" collapsedLevelsAreSubtotals="1" fieldPosition="0"/>
    </format>
    <format dxfId="1340">
      <pivotArea type="topRight" dataOnly="0" labelOnly="1" outline="0" fieldPosition="0"/>
    </format>
    <format dxfId="133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338">
      <pivotArea dataOnly="0" labelOnly="1" grandCol="1" outline="0" fieldPosition="0"/>
    </format>
    <format dxfId="1337">
      <pivotArea type="all" dataOnly="0" outline="0" fieldPosition="0"/>
    </format>
    <format dxfId="1336">
      <pivotArea outline="0" collapsedLevelsAreSubtotals="1" fieldPosition="0"/>
    </format>
    <format dxfId="1335">
      <pivotArea type="origin" dataOnly="0" labelOnly="1" outline="0" fieldPosition="0"/>
    </format>
    <format dxfId="1334">
      <pivotArea field="7" type="button" dataOnly="0" labelOnly="1" outline="0" axis="axisCol" fieldPosition="0"/>
    </format>
    <format dxfId="1333">
      <pivotArea type="topRight" dataOnly="0" labelOnly="1" outline="0" fieldPosition="0"/>
    </format>
    <format dxfId="1332">
      <pivotArea field="3" type="button" dataOnly="0" labelOnly="1" outline="0" axis="axisRow" fieldPosition="0"/>
    </format>
    <format dxfId="1331">
      <pivotArea dataOnly="0" labelOnly="1" fieldPosition="0">
        <references count="1">
          <reference field="3" count="0"/>
        </references>
      </pivotArea>
    </format>
    <format dxfId="1330">
      <pivotArea dataOnly="0" labelOnly="1" grandRow="1" outline="0" fieldPosition="0"/>
    </format>
    <format dxfId="132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328">
      <pivotArea dataOnly="0" labelOnly="1" grandCol="1" outline="0" fieldPosition="0"/>
    </format>
    <format dxfId="1327">
      <pivotArea type="all" dataOnly="0" outline="0" fieldPosition="0"/>
    </format>
    <format dxfId="1326">
      <pivotArea outline="0" collapsedLevelsAreSubtotals="1" fieldPosition="0"/>
    </format>
    <format dxfId="1325">
      <pivotArea type="origin" dataOnly="0" labelOnly="1" outline="0" fieldPosition="0"/>
    </format>
    <format dxfId="1324">
      <pivotArea field="7" type="button" dataOnly="0" labelOnly="1" outline="0" axis="axisCol" fieldPosition="0"/>
    </format>
    <format dxfId="1323">
      <pivotArea type="topRight" dataOnly="0" labelOnly="1" outline="0" fieldPosition="0"/>
    </format>
    <format dxfId="1322">
      <pivotArea field="3" type="button" dataOnly="0" labelOnly="1" outline="0" axis="axisRow" fieldPosition="0"/>
    </format>
    <format dxfId="1321">
      <pivotArea dataOnly="0" labelOnly="1" fieldPosition="0">
        <references count="1">
          <reference field="3" count="0"/>
        </references>
      </pivotArea>
    </format>
    <format dxfId="1320">
      <pivotArea dataOnly="0" labelOnly="1" grandRow="1" outline="0" fieldPosition="0"/>
    </format>
    <format dxfId="131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318">
      <pivotArea dataOnly="0" labelOnly="1" grandCol="1" outline="0" fieldPosition="0"/>
    </format>
    <format dxfId="131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316">
      <pivotArea grandCol="1" outline="0" collapsedLevelsAreSubtotals="1" fieldPosition="0"/>
    </format>
    <format dxfId="1315">
      <pivotArea type="topRight" dataOnly="0" labelOnly="1" outline="0" fieldPosition="0"/>
    </format>
    <format dxfId="131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313">
      <pivotArea dataOnly="0" labelOnly="1" grandCol="1" outline="0" fieldPosition="0"/>
    </format>
    <format dxfId="131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311">
      <pivotArea grandCol="1" outline="0" collapsedLevelsAreSubtotals="1" fieldPosition="0"/>
    </format>
    <format dxfId="1310">
      <pivotArea type="topRight" dataOnly="0" labelOnly="1" outline="0" fieldPosition="0"/>
    </format>
    <format dxfId="130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308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1000000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6:O26" firstHeaderRow="1" firstDataRow="2" firstDataCol="1"/>
  <pivotFields count="8">
    <pivotField showAll="0"/>
    <pivotField showAll="0"/>
    <pivotField showAll="0"/>
    <pivotField showAll="0"/>
    <pivotField dataField="1" showAll="0"/>
    <pivotField showAll="0"/>
    <pivotField axis="axisRow" showAll="0" sortType="descending">
      <items count="9">
        <item x="1"/>
        <item x="2"/>
        <item x="0"/>
        <item x="3"/>
        <item x="7"/>
        <item x="5"/>
        <item x="6"/>
        <item x="4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6"/>
  </rowFields>
  <rowItems count="9">
    <i>
      <x/>
    </i>
    <i>
      <x v="1"/>
    </i>
    <i>
      <x v="5"/>
    </i>
    <i>
      <x v="4"/>
    </i>
    <i>
      <x v="7"/>
    </i>
    <i>
      <x v="3"/>
    </i>
    <i>
      <x v="6"/>
    </i>
    <i>
      <x v="2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165"/>
  </dataFields>
  <formats count="80">
    <format dxfId="1447">
      <pivotArea type="all" dataOnly="0" outline="0" fieldPosition="0"/>
    </format>
    <format dxfId="1446">
      <pivotArea outline="0" collapsedLevelsAreSubtotals="1" fieldPosition="0"/>
    </format>
    <format dxfId="1445">
      <pivotArea type="origin" dataOnly="0" labelOnly="1" outline="0" fieldPosition="0"/>
    </format>
    <format dxfId="1444">
      <pivotArea field="7" type="button" dataOnly="0" labelOnly="1" outline="0" axis="axisCol" fieldPosition="0"/>
    </format>
    <format dxfId="1443">
      <pivotArea type="topRight" dataOnly="0" labelOnly="1" outline="0" fieldPosition="0"/>
    </format>
    <format dxfId="1442">
      <pivotArea field="6" type="button" dataOnly="0" labelOnly="1" outline="0" axis="axisRow" fieldPosition="0"/>
    </format>
    <format dxfId="1441">
      <pivotArea dataOnly="0" labelOnly="1" fieldPosition="0">
        <references count="1">
          <reference field="6" count="0"/>
        </references>
      </pivotArea>
    </format>
    <format dxfId="1440">
      <pivotArea dataOnly="0" labelOnly="1" grandRow="1" outline="0" fieldPosition="0"/>
    </format>
    <format dxfId="143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38">
      <pivotArea dataOnly="0" labelOnly="1" grandCol="1" outline="0" fieldPosition="0"/>
    </format>
    <format dxfId="1437">
      <pivotArea type="all" dataOnly="0" outline="0" fieldPosition="0"/>
    </format>
    <format dxfId="1436">
      <pivotArea outline="0" collapsedLevelsAreSubtotals="1" fieldPosition="0"/>
    </format>
    <format dxfId="1435">
      <pivotArea type="origin" dataOnly="0" labelOnly="1" outline="0" fieldPosition="0"/>
    </format>
    <format dxfId="1434">
      <pivotArea field="7" type="button" dataOnly="0" labelOnly="1" outline="0" axis="axisCol" fieldPosition="0"/>
    </format>
    <format dxfId="1433">
      <pivotArea type="topRight" dataOnly="0" labelOnly="1" outline="0" fieldPosition="0"/>
    </format>
    <format dxfId="1432">
      <pivotArea field="6" type="button" dataOnly="0" labelOnly="1" outline="0" axis="axisRow" fieldPosition="0"/>
    </format>
    <format dxfId="1431">
      <pivotArea dataOnly="0" labelOnly="1" fieldPosition="0">
        <references count="1">
          <reference field="6" count="0"/>
        </references>
      </pivotArea>
    </format>
    <format dxfId="1430">
      <pivotArea dataOnly="0" labelOnly="1" grandRow="1" outline="0" fieldPosition="0"/>
    </format>
    <format dxfId="142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28">
      <pivotArea dataOnly="0" labelOnly="1" grandCol="1" outline="0" fieldPosition="0"/>
    </format>
    <format dxfId="1427">
      <pivotArea type="all" dataOnly="0" outline="0" fieldPosition="0"/>
    </format>
    <format dxfId="1426">
      <pivotArea outline="0" collapsedLevelsAreSubtotals="1" fieldPosition="0"/>
    </format>
    <format dxfId="1425">
      <pivotArea type="origin" dataOnly="0" labelOnly="1" outline="0" fieldPosition="0"/>
    </format>
    <format dxfId="1424">
      <pivotArea field="7" type="button" dataOnly="0" labelOnly="1" outline="0" axis="axisCol" fieldPosition="0"/>
    </format>
    <format dxfId="1423">
      <pivotArea type="topRight" dataOnly="0" labelOnly="1" outline="0" fieldPosition="0"/>
    </format>
    <format dxfId="1422">
      <pivotArea field="6" type="button" dataOnly="0" labelOnly="1" outline="0" axis="axisRow" fieldPosition="0"/>
    </format>
    <format dxfId="1421">
      <pivotArea dataOnly="0" labelOnly="1" fieldPosition="0">
        <references count="1">
          <reference field="6" count="0"/>
        </references>
      </pivotArea>
    </format>
    <format dxfId="1420">
      <pivotArea dataOnly="0" labelOnly="1" grandRow="1" outline="0" fieldPosition="0"/>
    </format>
    <format dxfId="141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18">
      <pivotArea dataOnly="0" labelOnly="1" grandCol="1" outline="0" fieldPosition="0"/>
    </format>
    <format dxfId="1417">
      <pivotArea type="all" dataOnly="0" outline="0" fieldPosition="0"/>
    </format>
    <format dxfId="1416">
      <pivotArea outline="0" collapsedLevelsAreSubtotals="1" fieldPosition="0"/>
    </format>
    <format dxfId="1415">
      <pivotArea type="origin" dataOnly="0" labelOnly="1" outline="0" fieldPosition="0"/>
    </format>
    <format dxfId="1414">
      <pivotArea field="7" type="button" dataOnly="0" labelOnly="1" outline="0" axis="axisCol" fieldPosition="0"/>
    </format>
    <format dxfId="1413">
      <pivotArea type="topRight" dataOnly="0" labelOnly="1" outline="0" fieldPosition="0"/>
    </format>
    <format dxfId="1412">
      <pivotArea field="6" type="button" dataOnly="0" labelOnly="1" outline="0" axis="axisRow" fieldPosition="0"/>
    </format>
    <format dxfId="1411">
      <pivotArea dataOnly="0" labelOnly="1" fieldPosition="0">
        <references count="1">
          <reference field="6" count="0"/>
        </references>
      </pivotArea>
    </format>
    <format dxfId="1410">
      <pivotArea dataOnly="0" labelOnly="1" grandRow="1" outline="0" fieldPosition="0"/>
    </format>
    <format dxfId="140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08">
      <pivotArea dataOnly="0" labelOnly="1" grandCol="1" outline="0" fieldPosition="0"/>
    </format>
    <format dxfId="140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06">
      <pivotArea grandCol="1" outline="0" collapsedLevelsAreSubtotals="1" fieldPosition="0"/>
    </format>
    <format dxfId="1405">
      <pivotArea type="topRight" dataOnly="0" labelOnly="1" outline="0" fieldPosition="0"/>
    </format>
    <format dxfId="140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03">
      <pivotArea dataOnly="0" labelOnly="1" grandCol="1" outline="0" fieldPosition="0"/>
    </format>
    <format dxfId="140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01">
      <pivotArea grandCol="1" outline="0" collapsedLevelsAreSubtotals="1" fieldPosition="0"/>
    </format>
    <format dxfId="1400">
      <pivotArea type="topRight" dataOnly="0" labelOnly="1" outline="0" fieldPosition="0"/>
    </format>
    <format dxfId="139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398">
      <pivotArea dataOnly="0" labelOnly="1" grandCol="1" outline="0" fieldPosition="0"/>
    </format>
    <format dxfId="1397">
      <pivotArea type="all" dataOnly="0" outline="0" fieldPosition="0"/>
    </format>
    <format dxfId="1396">
      <pivotArea outline="0" collapsedLevelsAreSubtotals="1" fieldPosition="0"/>
    </format>
    <format dxfId="1395">
      <pivotArea type="origin" dataOnly="0" labelOnly="1" outline="0" fieldPosition="0"/>
    </format>
    <format dxfId="1394">
      <pivotArea field="7" type="button" dataOnly="0" labelOnly="1" outline="0" axis="axisCol" fieldPosition="0"/>
    </format>
    <format dxfId="1393">
      <pivotArea type="topRight" dataOnly="0" labelOnly="1" outline="0" fieldPosition="0"/>
    </format>
    <format dxfId="1392">
      <pivotArea field="6" type="button" dataOnly="0" labelOnly="1" outline="0" axis="axisRow" fieldPosition="0"/>
    </format>
    <format dxfId="1391">
      <pivotArea dataOnly="0" labelOnly="1" fieldPosition="0">
        <references count="1">
          <reference field="6" count="0"/>
        </references>
      </pivotArea>
    </format>
    <format dxfId="1390">
      <pivotArea dataOnly="0" labelOnly="1" grandRow="1" outline="0" fieldPosition="0"/>
    </format>
    <format dxfId="138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388">
      <pivotArea dataOnly="0" labelOnly="1" grandCol="1" outline="0" fieldPosition="0"/>
    </format>
    <format dxfId="1387">
      <pivotArea type="all" dataOnly="0" outline="0" fieldPosition="0"/>
    </format>
    <format dxfId="1386">
      <pivotArea outline="0" collapsedLevelsAreSubtotals="1" fieldPosition="0"/>
    </format>
    <format dxfId="1385">
      <pivotArea type="origin" dataOnly="0" labelOnly="1" outline="0" fieldPosition="0"/>
    </format>
    <format dxfId="1384">
      <pivotArea field="7" type="button" dataOnly="0" labelOnly="1" outline="0" axis="axisCol" fieldPosition="0"/>
    </format>
    <format dxfId="1383">
      <pivotArea type="topRight" dataOnly="0" labelOnly="1" outline="0" fieldPosition="0"/>
    </format>
    <format dxfId="1382">
      <pivotArea field="6" type="button" dataOnly="0" labelOnly="1" outline="0" axis="axisRow" fieldPosition="0"/>
    </format>
    <format dxfId="1381">
      <pivotArea dataOnly="0" labelOnly="1" fieldPosition="0">
        <references count="1">
          <reference field="6" count="0"/>
        </references>
      </pivotArea>
    </format>
    <format dxfId="1380">
      <pivotArea dataOnly="0" labelOnly="1" grandRow="1" outline="0" fieldPosition="0"/>
    </format>
    <format dxfId="137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378">
      <pivotArea dataOnly="0" labelOnly="1" grandCol="1" outline="0" fieldPosition="0"/>
    </format>
    <format dxfId="137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376">
      <pivotArea grandCol="1" outline="0" collapsedLevelsAreSubtotals="1" fieldPosition="0"/>
    </format>
    <format dxfId="1375">
      <pivotArea type="topRight" dataOnly="0" labelOnly="1" outline="0" fieldPosition="0"/>
    </format>
    <format dxfId="137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373">
      <pivotArea dataOnly="0" labelOnly="1" grandCol="1" outline="0" fieldPosition="0"/>
    </format>
    <format dxfId="137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371">
      <pivotArea grandCol="1" outline="0" collapsedLevelsAreSubtotals="1" fieldPosition="0"/>
    </format>
    <format dxfId="1370">
      <pivotArea type="topRight" dataOnly="0" labelOnly="1" outline="0" fieldPosition="0"/>
    </format>
    <format dxfId="136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368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O13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 sortType="ascending">
      <items count="15">
        <item x="4"/>
        <item x="2"/>
        <item m="1" x="8"/>
        <item x="6"/>
        <item m="1" x="11"/>
        <item x="1"/>
        <item x="7"/>
        <item x="5"/>
        <item m="1" x="13"/>
        <item x="3"/>
        <item m="1" x="10"/>
        <item m="1" x="12"/>
        <item m="1" x="9"/>
        <item x="0"/>
        <item t="default"/>
      </items>
    </pivotField>
    <pivotField showAll="0"/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2"/>
  </rowFields>
  <rowItems count="9">
    <i>
      <x/>
    </i>
    <i>
      <x v="1"/>
    </i>
    <i>
      <x v="3"/>
    </i>
    <i>
      <x v="5"/>
    </i>
    <i>
      <x v="6"/>
    </i>
    <i>
      <x v="7"/>
    </i>
    <i>
      <x v="9"/>
    </i>
    <i>
      <x v="13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Categories" fld="4" baseField="2" baseItem="0" numFmtId="165"/>
  </dataFields>
  <formats count="80">
    <format dxfId="1527">
      <pivotArea type="all" dataOnly="0" outline="0" fieldPosition="0"/>
    </format>
    <format dxfId="1526">
      <pivotArea outline="0" collapsedLevelsAreSubtotals="1" fieldPosition="0"/>
    </format>
    <format dxfId="1525">
      <pivotArea type="origin" dataOnly="0" labelOnly="1" outline="0" fieldPosition="0"/>
    </format>
    <format dxfId="1524">
      <pivotArea field="7" type="button" dataOnly="0" labelOnly="1" outline="0" axis="axisCol" fieldPosition="0"/>
    </format>
    <format dxfId="1523">
      <pivotArea type="topRight" dataOnly="0" labelOnly="1" outline="0" fieldPosition="0"/>
    </format>
    <format dxfId="1522">
      <pivotArea field="2" type="button" dataOnly="0" labelOnly="1" outline="0" axis="axisRow" fieldPosition="0"/>
    </format>
    <format dxfId="1521">
      <pivotArea dataOnly="0" labelOnly="1" fieldPosition="0">
        <references count="1">
          <reference field="2" count="0"/>
        </references>
      </pivotArea>
    </format>
    <format dxfId="1520">
      <pivotArea dataOnly="0" labelOnly="1" grandRow="1" outline="0" fieldPosition="0"/>
    </format>
    <format dxfId="151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18">
      <pivotArea dataOnly="0" labelOnly="1" grandCol="1" outline="0" fieldPosition="0"/>
    </format>
    <format dxfId="1517">
      <pivotArea type="all" dataOnly="0" outline="0" fieldPosition="0"/>
    </format>
    <format dxfId="1516">
      <pivotArea outline="0" collapsedLevelsAreSubtotals="1" fieldPosition="0"/>
    </format>
    <format dxfId="1515">
      <pivotArea type="origin" dataOnly="0" labelOnly="1" outline="0" fieldPosition="0"/>
    </format>
    <format dxfId="1514">
      <pivotArea field="7" type="button" dataOnly="0" labelOnly="1" outline="0" axis="axisCol" fieldPosition="0"/>
    </format>
    <format dxfId="1513">
      <pivotArea type="topRight" dataOnly="0" labelOnly="1" outline="0" fieldPosition="0"/>
    </format>
    <format dxfId="1512">
      <pivotArea field="2" type="button" dataOnly="0" labelOnly="1" outline="0" axis="axisRow" fieldPosition="0"/>
    </format>
    <format dxfId="1511">
      <pivotArea dataOnly="0" labelOnly="1" fieldPosition="0">
        <references count="1">
          <reference field="2" count="0"/>
        </references>
      </pivotArea>
    </format>
    <format dxfId="1510">
      <pivotArea dataOnly="0" labelOnly="1" grandRow="1" outline="0" fieldPosition="0"/>
    </format>
    <format dxfId="150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08">
      <pivotArea dataOnly="0" labelOnly="1" grandCol="1" outline="0" fieldPosition="0"/>
    </format>
    <format dxfId="1507">
      <pivotArea type="all" dataOnly="0" outline="0" fieldPosition="0"/>
    </format>
    <format dxfId="1506">
      <pivotArea outline="0" collapsedLevelsAreSubtotals="1" fieldPosition="0"/>
    </format>
    <format dxfId="1505">
      <pivotArea type="origin" dataOnly="0" labelOnly="1" outline="0" fieldPosition="0"/>
    </format>
    <format dxfId="1504">
      <pivotArea field="7" type="button" dataOnly="0" labelOnly="1" outline="0" axis="axisCol" fieldPosition="0"/>
    </format>
    <format dxfId="1503">
      <pivotArea type="topRight" dataOnly="0" labelOnly="1" outline="0" fieldPosition="0"/>
    </format>
    <format dxfId="1502">
      <pivotArea field="2" type="button" dataOnly="0" labelOnly="1" outline="0" axis="axisRow" fieldPosition="0"/>
    </format>
    <format dxfId="1501">
      <pivotArea dataOnly="0" labelOnly="1" fieldPosition="0">
        <references count="1">
          <reference field="2" count="0"/>
        </references>
      </pivotArea>
    </format>
    <format dxfId="1500">
      <pivotArea dataOnly="0" labelOnly="1" grandRow="1" outline="0" fieldPosition="0"/>
    </format>
    <format dxfId="149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98">
      <pivotArea dataOnly="0" labelOnly="1" grandCol="1" outline="0" fieldPosition="0"/>
    </format>
    <format dxfId="1497">
      <pivotArea type="all" dataOnly="0" outline="0" fieldPosition="0"/>
    </format>
    <format dxfId="1496">
      <pivotArea outline="0" collapsedLevelsAreSubtotals="1" fieldPosition="0"/>
    </format>
    <format dxfId="1495">
      <pivotArea type="origin" dataOnly="0" labelOnly="1" outline="0" fieldPosition="0"/>
    </format>
    <format dxfId="1494">
      <pivotArea field="7" type="button" dataOnly="0" labelOnly="1" outline="0" axis="axisCol" fieldPosition="0"/>
    </format>
    <format dxfId="1493">
      <pivotArea type="topRight" dataOnly="0" labelOnly="1" outline="0" fieldPosition="0"/>
    </format>
    <format dxfId="1492">
      <pivotArea field="2" type="button" dataOnly="0" labelOnly="1" outline="0" axis="axisRow" fieldPosition="0"/>
    </format>
    <format dxfId="1491">
      <pivotArea dataOnly="0" labelOnly="1" fieldPosition="0">
        <references count="1">
          <reference field="2" count="0"/>
        </references>
      </pivotArea>
    </format>
    <format dxfId="1490">
      <pivotArea dataOnly="0" labelOnly="1" grandRow="1" outline="0" fieldPosition="0"/>
    </format>
    <format dxfId="148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88">
      <pivotArea dataOnly="0" labelOnly="1" grandCol="1" outline="0" fieldPosition="0"/>
    </format>
    <format dxfId="148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86">
      <pivotArea grandCol="1" outline="0" collapsedLevelsAreSubtotals="1" fieldPosition="0"/>
    </format>
    <format dxfId="1485">
      <pivotArea type="topRight" dataOnly="0" labelOnly="1" outline="0" fieldPosition="0"/>
    </format>
    <format dxfId="148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83">
      <pivotArea dataOnly="0" labelOnly="1" grandCol="1" outline="0" fieldPosition="0"/>
    </format>
    <format dxfId="148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81">
      <pivotArea grandCol="1" outline="0" collapsedLevelsAreSubtotals="1" fieldPosition="0"/>
    </format>
    <format dxfId="1480">
      <pivotArea type="topRight" dataOnly="0" labelOnly="1" outline="0" fieldPosition="0"/>
    </format>
    <format dxfId="147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78">
      <pivotArea dataOnly="0" labelOnly="1" grandCol="1" outline="0" fieldPosition="0"/>
    </format>
    <format dxfId="1477">
      <pivotArea type="all" dataOnly="0" outline="0" fieldPosition="0"/>
    </format>
    <format dxfId="1476">
      <pivotArea outline="0" collapsedLevelsAreSubtotals="1" fieldPosition="0"/>
    </format>
    <format dxfId="1475">
      <pivotArea type="origin" dataOnly="0" labelOnly="1" outline="0" fieldPosition="0"/>
    </format>
    <format dxfId="1474">
      <pivotArea field="7" type="button" dataOnly="0" labelOnly="1" outline="0" axis="axisCol" fieldPosition="0"/>
    </format>
    <format dxfId="1473">
      <pivotArea type="topRight" dataOnly="0" labelOnly="1" outline="0" fieldPosition="0"/>
    </format>
    <format dxfId="1472">
      <pivotArea field="2" type="button" dataOnly="0" labelOnly="1" outline="0" axis="axisRow" fieldPosition="0"/>
    </format>
    <format dxfId="1471">
      <pivotArea dataOnly="0" labelOnly="1" fieldPosition="0">
        <references count="1">
          <reference field="2" count="0"/>
        </references>
      </pivotArea>
    </format>
    <format dxfId="1470">
      <pivotArea dataOnly="0" labelOnly="1" grandRow="1" outline="0" fieldPosition="0"/>
    </format>
    <format dxfId="146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68">
      <pivotArea dataOnly="0" labelOnly="1" grandCol="1" outline="0" fieldPosition="0"/>
    </format>
    <format dxfId="1467">
      <pivotArea type="all" dataOnly="0" outline="0" fieldPosition="0"/>
    </format>
    <format dxfId="1466">
      <pivotArea outline="0" collapsedLevelsAreSubtotals="1" fieldPosition="0"/>
    </format>
    <format dxfId="1465">
      <pivotArea type="origin" dataOnly="0" labelOnly="1" outline="0" fieldPosition="0"/>
    </format>
    <format dxfId="1464">
      <pivotArea field="7" type="button" dataOnly="0" labelOnly="1" outline="0" axis="axisCol" fieldPosition="0"/>
    </format>
    <format dxfId="1463">
      <pivotArea type="topRight" dataOnly="0" labelOnly="1" outline="0" fieldPosition="0"/>
    </format>
    <format dxfId="1462">
      <pivotArea field="2" type="button" dataOnly="0" labelOnly="1" outline="0" axis="axisRow" fieldPosition="0"/>
    </format>
    <format dxfId="1461">
      <pivotArea dataOnly="0" labelOnly="1" fieldPosition="0">
        <references count="1">
          <reference field="2" count="0"/>
        </references>
      </pivotArea>
    </format>
    <format dxfId="1460">
      <pivotArea dataOnly="0" labelOnly="1" grandRow="1" outline="0" fieldPosition="0"/>
    </format>
    <format dxfId="145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58">
      <pivotArea dataOnly="0" labelOnly="1" grandCol="1" outline="0" fieldPosition="0"/>
    </format>
    <format dxfId="145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56">
      <pivotArea grandCol="1" outline="0" collapsedLevelsAreSubtotals="1" fieldPosition="0"/>
    </format>
    <format dxfId="1455">
      <pivotArea type="topRight" dataOnly="0" labelOnly="1" outline="0" fieldPosition="0"/>
    </format>
    <format dxfId="145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53">
      <pivotArea dataOnly="0" labelOnly="1" grandCol="1" outline="0" fieldPosition="0"/>
    </format>
    <format dxfId="145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51">
      <pivotArea grandCol="1" outline="0" collapsedLevelsAreSubtotals="1" fieldPosition="0"/>
    </format>
    <format dxfId="1450">
      <pivotArea type="topRight" dataOnly="0" labelOnly="1" outline="0" fieldPosition="0"/>
    </format>
    <format dxfId="144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48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3000000}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4:O54" firstHeaderRow="1" firstDataRow="2" firstDataCol="1"/>
  <pivotFields count="8">
    <pivotField showAll="0"/>
    <pivotField showAll="0"/>
    <pivotField axis="axisRow" showAll="0" sortType="ascending">
      <items count="15">
        <item x="4"/>
        <item x="2"/>
        <item m="1" x="8"/>
        <item x="6"/>
        <item m="1" x="11"/>
        <item x="1"/>
        <item x="7"/>
        <item x="5"/>
        <item m="1" x="13"/>
        <item x="3"/>
        <item m="1" x="10"/>
        <item m="1" x="12"/>
        <item m="1" x="9"/>
        <item x="0"/>
        <item t="default"/>
      </items>
    </pivotField>
    <pivotField showAll="0"/>
    <pivotField dataField="1" showAll="0"/>
    <pivotField showAll="0"/>
    <pivotField showAl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2"/>
  </rowFields>
  <rowItems count="9">
    <i>
      <x/>
    </i>
    <i>
      <x v="1"/>
    </i>
    <i>
      <x v="3"/>
    </i>
    <i>
      <x v="5"/>
    </i>
    <i>
      <x v="6"/>
    </i>
    <i>
      <x v="7"/>
    </i>
    <i>
      <x v="9"/>
    </i>
    <i>
      <x v="13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Count of Amount" fld="4" subtotal="count" baseField="2" baseItem="0" numFmtId="165"/>
  </dataFields>
  <formats count="30">
    <format dxfId="1557">
      <pivotArea type="all" dataOnly="0" outline="0" fieldPosition="0"/>
    </format>
    <format dxfId="1556">
      <pivotArea outline="0" collapsedLevelsAreSubtotals="1" fieldPosition="0"/>
    </format>
    <format dxfId="1555">
      <pivotArea type="origin" dataOnly="0" labelOnly="1" outline="0" fieldPosition="0"/>
    </format>
    <format dxfId="1554">
      <pivotArea field="7" type="button" dataOnly="0" labelOnly="1" outline="0" axis="axisCol" fieldPosition="0"/>
    </format>
    <format dxfId="1553">
      <pivotArea type="topRight" dataOnly="0" labelOnly="1" outline="0" fieldPosition="0"/>
    </format>
    <format dxfId="1552">
      <pivotArea field="2" type="button" dataOnly="0" labelOnly="1" outline="0" axis="axisRow" fieldPosition="0"/>
    </format>
    <format dxfId="1551">
      <pivotArea dataOnly="0" labelOnly="1" fieldPosition="0">
        <references count="1">
          <reference field="2" count="0"/>
        </references>
      </pivotArea>
    </format>
    <format dxfId="1550">
      <pivotArea dataOnly="0" labelOnly="1" grandRow="1" outline="0" fieldPosition="0"/>
    </format>
    <format dxfId="154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48">
      <pivotArea dataOnly="0" labelOnly="1" grandCol="1" outline="0" fieldPosition="0"/>
    </format>
    <format dxfId="1547">
      <pivotArea type="all" dataOnly="0" outline="0" fieldPosition="0"/>
    </format>
    <format dxfId="1546">
      <pivotArea outline="0" collapsedLevelsAreSubtotals="1" fieldPosition="0"/>
    </format>
    <format dxfId="1545">
      <pivotArea type="origin" dataOnly="0" labelOnly="1" outline="0" fieldPosition="0"/>
    </format>
    <format dxfId="1544">
      <pivotArea field="7" type="button" dataOnly="0" labelOnly="1" outline="0" axis="axisCol" fieldPosition="0"/>
    </format>
    <format dxfId="1543">
      <pivotArea type="topRight" dataOnly="0" labelOnly="1" outline="0" fieldPosition="0"/>
    </format>
    <format dxfId="1542">
      <pivotArea field="2" type="button" dataOnly="0" labelOnly="1" outline="0" axis="axisRow" fieldPosition="0"/>
    </format>
    <format dxfId="1541">
      <pivotArea dataOnly="0" labelOnly="1" fieldPosition="0">
        <references count="1">
          <reference field="2" count="0"/>
        </references>
      </pivotArea>
    </format>
    <format dxfId="1540">
      <pivotArea dataOnly="0" labelOnly="1" grandRow="1" outline="0" fieldPosition="0"/>
    </format>
    <format dxfId="153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38">
      <pivotArea dataOnly="0" labelOnly="1" grandCol="1" outline="0" fieldPosition="0"/>
    </format>
    <format dxfId="153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36">
      <pivotArea grandCol="1" outline="0" collapsedLevelsAreSubtotals="1" fieldPosition="0"/>
    </format>
    <format dxfId="1535">
      <pivotArea type="topRight" dataOnly="0" labelOnly="1" outline="0" fieldPosition="0"/>
    </format>
    <format dxfId="153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33">
      <pivotArea dataOnly="0" labelOnly="1" grandCol="1" outline="0" fieldPosition="0"/>
    </format>
    <format dxfId="153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31">
      <pivotArea grandCol="1" outline="0" collapsedLevelsAreSubtotals="1" fieldPosition="0"/>
    </format>
    <format dxfId="1530">
      <pivotArea type="topRight" dataOnly="0" labelOnly="1" outline="0" fieldPosition="0"/>
    </format>
    <format dxfId="152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28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5000000}" name="PivotTable2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6:O26" firstHeaderRow="1" firstDataRow="2" firstDataCol="1"/>
  <pivotFields count="8">
    <pivotField showAll="0"/>
    <pivotField showAll="0"/>
    <pivotField showAll="0">
      <items count="8">
        <item x="4"/>
        <item x="1"/>
        <item x="6"/>
        <item x="2"/>
        <item x="5"/>
        <item x="3"/>
        <item x="0"/>
        <item t="default"/>
      </items>
    </pivotField>
    <pivotField showAll="0"/>
    <pivotField dataField="1" showAll="0"/>
    <pivotField showAll="0">
      <items count="144">
        <item x="73"/>
        <item x="39"/>
        <item x="8"/>
        <item x="113"/>
        <item x="35"/>
        <item x="57"/>
        <item x="88"/>
        <item x="134"/>
        <item x="130"/>
        <item x="118"/>
        <item x="127"/>
        <item x="90"/>
        <item x="89"/>
        <item x="20"/>
        <item x="70"/>
        <item x="122"/>
        <item x="28"/>
        <item x="42"/>
        <item x="61"/>
        <item x="15"/>
        <item x="91"/>
        <item x="4"/>
        <item x="136"/>
        <item x="131"/>
        <item x="1"/>
        <item x="140"/>
        <item x="62"/>
        <item x="102"/>
        <item x="84"/>
        <item x="56"/>
        <item x="96"/>
        <item x="64"/>
        <item x="52"/>
        <item x="128"/>
        <item x="31"/>
        <item x="67"/>
        <item x="139"/>
        <item x="5"/>
        <item x="45"/>
        <item x="17"/>
        <item x="125"/>
        <item x="38"/>
        <item x="47"/>
        <item x="114"/>
        <item x="27"/>
        <item x="71"/>
        <item x="78"/>
        <item x="50"/>
        <item x="126"/>
        <item x="77"/>
        <item x="109"/>
        <item x="59"/>
        <item x="82"/>
        <item x="60"/>
        <item x="129"/>
        <item x="138"/>
        <item x="2"/>
        <item x="83"/>
        <item x="103"/>
        <item x="106"/>
        <item x="32"/>
        <item x="10"/>
        <item x="36"/>
        <item x="119"/>
        <item x="9"/>
        <item x="111"/>
        <item x="7"/>
        <item x="33"/>
        <item x="94"/>
        <item x="21"/>
        <item x="12"/>
        <item x="3"/>
        <item x="133"/>
        <item x="69"/>
        <item x="46"/>
        <item x="95"/>
        <item x="34"/>
        <item x="11"/>
        <item x="19"/>
        <item x="115"/>
        <item x="97"/>
        <item x="25"/>
        <item x="117"/>
        <item x="6"/>
        <item x="132"/>
        <item x="92"/>
        <item x="44"/>
        <item x="123"/>
        <item x="105"/>
        <item x="14"/>
        <item x="68"/>
        <item x="137"/>
        <item x="98"/>
        <item x="110"/>
        <item x="142"/>
        <item x="74"/>
        <item x="55"/>
        <item x="23"/>
        <item x="124"/>
        <item x="37"/>
        <item x="63"/>
        <item x="76"/>
        <item x="48"/>
        <item x="72"/>
        <item x="40"/>
        <item x="112"/>
        <item x="13"/>
        <item x="104"/>
        <item x="93"/>
        <item x="49"/>
        <item x="66"/>
        <item x="135"/>
        <item x="51"/>
        <item x="41"/>
        <item x="30"/>
        <item x="86"/>
        <item x="75"/>
        <item x="101"/>
        <item x="120"/>
        <item x="58"/>
        <item x="65"/>
        <item x="107"/>
        <item x="80"/>
        <item x="85"/>
        <item x="100"/>
        <item x="79"/>
        <item x="81"/>
        <item x="99"/>
        <item x="54"/>
        <item x="18"/>
        <item x="116"/>
        <item x="26"/>
        <item x="121"/>
        <item x="43"/>
        <item x="87"/>
        <item x="16"/>
        <item x="22"/>
        <item x="24"/>
        <item x="29"/>
        <item x="53"/>
        <item x="141"/>
        <item x="108"/>
        <item x="0"/>
        <item t="default"/>
      </items>
    </pivotField>
    <pivotField axis="axisRow" showAll="0" sortType="descending">
      <items count="9">
        <item x="3"/>
        <item x="4"/>
        <item x="2"/>
        <item x="1"/>
        <item x="5"/>
        <item x="7"/>
        <item x="6"/>
        <item x="0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6"/>
  </rowFields>
  <rowItems count="9">
    <i>
      <x v="3"/>
    </i>
    <i>
      <x v="2"/>
    </i>
    <i>
      <x v="4"/>
    </i>
    <i>
      <x/>
    </i>
    <i>
      <x v="6"/>
    </i>
    <i>
      <x v="7"/>
    </i>
    <i>
      <x v="1"/>
    </i>
    <i>
      <x v="5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165"/>
  </dataFields>
  <formats count="80">
    <format dxfId="921">
      <pivotArea type="all" dataOnly="0" outline="0" fieldPosition="0"/>
    </format>
    <format dxfId="920">
      <pivotArea outline="0" collapsedLevelsAreSubtotals="1" fieldPosition="0"/>
    </format>
    <format dxfId="919">
      <pivotArea type="origin" dataOnly="0" labelOnly="1" outline="0" fieldPosition="0"/>
    </format>
    <format dxfId="918">
      <pivotArea field="7" type="button" dataOnly="0" labelOnly="1" outline="0" axis="axisCol" fieldPosition="0"/>
    </format>
    <format dxfId="917">
      <pivotArea type="topRight" dataOnly="0" labelOnly="1" outline="0" fieldPosition="0"/>
    </format>
    <format dxfId="916">
      <pivotArea field="6" type="button" dataOnly="0" labelOnly="1" outline="0" axis="axisRow" fieldPosition="0"/>
    </format>
    <format dxfId="915">
      <pivotArea dataOnly="0" labelOnly="1" fieldPosition="0">
        <references count="1">
          <reference field="6" count="0"/>
        </references>
      </pivotArea>
    </format>
    <format dxfId="914">
      <pivotArea dataOnly="0" labelOnly="1" grandRow="1" outline="0" fieldPosition="0"/>
    </format>
    <format dxfId="913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912">
      <pivotArea dataOnly="0" labelOnly="1" grandCol="1" outline="0" fieldPosition="0"/>
    </format>
    <format dxfId="911">
      <pivotArea type="all" dataOnly="0" outline="0" fieldPosition="0"/>
    </format>
    <format dxfId="910">
      <pivotArea outline="0" collapsedLevelsAreSubtotals="1" fieldPosition="0"/>
    </format>
    <format dxfId="909">
      <pivotArea type="origin" dataOnly="0" labelOnly="1" outline="0" fieldPosition="0"/>
    </format>
    <format dxfId="908">
      <pivotArea field="7" type="button" dataOnly="0" labelOnly="1" outline="0" axis="axisCol" fieldPosition="0"/>
    </format>
    <format dxfId="907">
      <pivotArea type="topRight" dataOnly="0" labelOnly="1" outline="0" fieldPosition="0"/>
    </format>
    <format dxfId="906">
      <pivotArea field="6" type="button" dataOnly="0" labelOnly="1" outline="0" axis="axisRow" fieldPosition="0"/>
    </format>
    <format dxfId="905">
      <pivotArea dataOnly="0" labelOnly="1" fieldPosition="0">
        <references count="1">
          <reference field="6" count="0"/>
        </references>
      </pivotArea>
    </format>
    <format dxfId="904">
      <pivotArea dataOnly="0" labelOnly="1" grandRow="1" outline="0" fieldPosition="0"/>
    </format>
    <format dxfId="903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902">
      <pivotArea dataOnly="0" labelOnly="1" grandCol="1" outline="0" fieldPosition="0"/>
    </format>
    <format dxfId="901">
      <pivotArea type="all" dataOnly="0" outline="0" fieldPosition="0"/>
    </format>
    <format dxfId="900">
      <pivotArea outline="0" collapsedLevelsAreSubtotals="1" fieldPosition="0"/>
    </format>
    <format dxfId="899">
      <pivotArea type="origin" dataOnly="0" labelOnly="1" outline="0" fieldPosition="0"/>
    </format>
    <format dxfId="898">
      <pivotArea field="7" type="button" dataOnly="0" labelOnly="1" outline="0" axis="axisCol" fieldPosition="0"/>
    </format>
    <format dxfId="897">
      <pivotArea type="topRight" dataOnly="0" labelOnly="1" outline="0" fieldPosition="0"/>
    </format>
    <format dxfId="896">
      <pivotArea field="6" type="button" dataOnly="0" labelOnly="1" outline="0" axis="axisRow" fieldPosition="0"/>
    </format>
    <format dxfId="895">
      <pivotArea dataOnly="0" labelOnly="1" fieldPosition="0">
        <references count="1">
          <reference field="6" count="0"/>
        </references>
      </pivotArea>
    </format>
    <format dxfId="894">
      <pivotArea dataOnly="0" labelOnly="1" grandRow="1" outline="0" fieldPosition="0"/>
    </format>
    <format dxfId="893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892">
      <pivotArea dataOnly="0" labelOnly="1" grandCol="1" outline="0" fieldPosition="0"/>
    </format>
    <format dxfId="891">
      <pivotArea type="all" dataOnly="0" outline="0" fieldPosition="0"/>
    </format>
    <format dxfId="890">
      <pivotArea outline="0" collapsedLevelsAreSubtotals="1" fieldPosition="0"/>
    </format>
    <format dxfId="889">
      <pivotArea type="origin" dataOnly="0" labelOnly="1" outline="0" fieldPosition="0"/>
    </format>
    <format dxfId="888">
      <pivotArea field="7" type="button" dataOnly="0" labelOnly="1" outline="0" axis="axisCol" fieldPosition="0"/>
    </format>
    <format dxfId="887">
      <pivotArea type="topRight" dataOnly="0" labelOnly="1" outline="0" fieldPosition="0"/>
    </format>
    <format dxfId="886">
      <pivotArea field="6" type="button" dataOnly="0" labelOnly="1" outline="0" axis="axisRow" fieldPosition="0"/>
    </format>
    <format dxfId="885">
      <pivotArea dataOnly="0" labelOnly="1" fieldPosition="0">
        <references count="1">
          <reference field="6" count="0"/>
        </references>
      </pivotArea>
    </format>
    <format dxfId="884">
      <pivotArea dataOnly="0" labelOnly="1" grandRow="1" outline="0" fieldPosition="0"/>
    </format>
    <format dxfId="883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882">
      <pivotArea dataOnly="0" labelOnly="1" grandCol="1" outline="0" fieldPosition="0"/>
    </format>
    <format dxfId="88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880">
      <pivotArea grandCol="1" outline="0" collapsedLevelsAreSubtotals="1" fieldPosition="0"/>
    </format>
    <format dxfId="879">
      <pivotArea type="topRight" dataOnly="0" labelOnly="1" outline="0" fieldPosition="0"/>
    </format>
    <format dxfId="87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877">
      <pivotArea dataOnly="0" labelOnly="1" grandCol="1" outline="0" fieldPosition="0"/>
    </format>
    <format dxfId="87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875">
      <pivotArea grandCol="1" outline="0" collapsedLevelsAreSubtotals="1" fieldPosition="0"/>
    </format>
    <format dxfId="874">
      <pivotArea type="topRight" dataOnly="0" labelOnly="1" outline="0" fieldPosition="0"/>
    </format>
    <format dxfId="87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872">
      <pivotArea dataOnly="0" labelOnly="1" grandCol="1" outline="0" fieldPosition="0"/>
    </format>
    <format dxfId="871">
      <pivotArea type="all" dataOnly="0" outline="0" fieldPosition="0"/>
    </format>
    <format dxfId="870">
      <pivotArea outline="0" collapsedLevelsAreSubtotals="1" fieldPosition="0"/>
    </format>
    <format dxfId="869">
      <pivotArea type="origin" dataOnly="0" labelOnly="1" outline="0" fieldPosition="0"/>
    </format>
    <format dxfId="868">
      <pivotArea field="7" type="button" dataOnly="0" labelOnly="1" outline="0" axis="axisCol" fieldPosition="0"/>
    </format>
    <format dxfId="867">
      <pivotArea type="topRight" dataOnly="0" labelOnly="1" outline="0" fieldPosition="0"/>
    </format>
    <format dxfId="866">
      <pivotArea field="6" type="button" dataOnly="0" labelOnly="1" outline="0" axis="axisRow" fieldPosition="0"/>
    </format>
    <format dxfId="865">
      <pivotArea dataOnly="0" labelOnly="1" fieldPosition="0">
        <references count="1">
          <reference field="6" count="0"/>
        </references>
      </pivotArea>
    </format>
    <format dxfId="864">
      <pivotArea dataOnly="0" labelOnly="1" grandRow="1" outline="0" fieldPosition="0"/>
    </format>
    <format dxfId="863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862">
      <pivotArea dataOnly="0" labelOnly="1" grandCol="1" outline="0" fieldPosition="0"/>
    </format>
    <format dxfId="861">
      <pivotArea type="all" dataOnly="0" outline="0" fieldPosition="0"/>
    </format>
    <format dxfId="860">
      <pivotArea outline="0" collapsedLevelsAreSubtotals="1" fieldPosition="0"/>
    </format>
    <format dxfId="859">
      <pivotArea type="origin" dataOnly="0" labelOnly="1" outline="0" fieldPosition="0"/>
    </format>
    <format dxfId="858">
      <pivotArea field="7" type="button" dataOnly="0" labelOnly="1" outline="0" axis="axisCol" fieldPosition="0"/>
    </format>
    <format dxfId="857">
      <pivotArea type="topRight" dataOnly="0" labelOnly="1" outline="0" fieldPosition="0"/>
    </format>
    <format dxfId="856">
      <pivotArea field="6" type="button" dataOnly="0" labelOnly="1" outline="0" axis="axisRow" fieldPosition="0"/>
    </format>
    <format dxfId="855">
      <pivotArea dataOnly="0" labelOnly="1" fieldPosition="0">
        <references count="1">
          <reference field="6" count="0"/>
        </references>
      </pivotArea>
    </format>
    <format dxfId="854">
      <pivotArea dataOnly="0" labelOnly="1" grandRow="1" outline="0" fieldPosition="0"/>
    </format>
    <format dxfId="853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852">
      <pivotArea dataOnly="0" labelOnly="1" grandCol="1" outline="0" fieldPosition="0"/>
    </format>
    <format dxfId="85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850">
      <pivotArea grandCol="1" outline="0" collapsedLevelsAreSubtotals="1" fieldPosition="0"/>
    </format>
    <format dxfId="849">
      <pivotArea type="topRight" dataOnly="0" labelOnly="1" outline="0" fieldPosition="0"/>
    </format>
    <format dxfId="84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847">
      <pivotArea dataOnly="0" labelOnly="1" grandCol="1" outline="0" fieldPosition="0"/>
    </format>
    <format dxfId="84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845">
      <pivotArea grandCol="1" outline="0" collapsedLevelsAreSubtotals="1" fieldPosition="0"/>
    </format>
    <format dxfId="844">
      <pivotArea type="topRight" dataOnly="0" labelOnly="1" outline="0" fieldPosition="0"/>
    </format>
    <format dxfId="84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842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4000000}" name="PivotTable3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1:O41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axis="axisRow" showAll="0" sortType="descending">
      <items count="9">
        <item x="3"/>
        <item x="7"/>
        <item x="5"/>
        <item x="1"/>
        <item x="2"/>
        <item x="6"/>
        <item x="4"/>
        <item x="0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"/>
  </rowFields>
  <rowItems count="9">
    <i>
      <x/>
    </i>
    <i>
      <x v="4"/>
    </i>
    <i>
      <x v="3"/>
    </i>
    <i>
      <x v="5"/>
    </i>
    <i>
      <x v="2"/>
    </i>
    <i>
      <x v="6"/>
    </i>
    <i>
      <x v="7"/>
    </i>
    <i>
      <x v="1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165"/>
  </dataFields>
  <formats count="60">
    <format dxfId="981">
      <pivotArea type="all" dataOnly="0" outline="0" fieldPosition="0"/>
    </format>
    <format dxfId="980">
      <pivotArea outline="0" collapsedLevelsAreSubtotals="1" fieldPosition="0"/>
    </format>
    <format dxfId="979">
      <pivotArea type="origin" dataOnly="0" labelOnly="1" outline="0" fieldPosition="0"/>
    </format>
    <format dxfId="978">
      <pivotArea field="7" type="button" dataOnly="0" labelOnly="1" outline="0" axis="axisCol" fieldPosition="0"/>
    </format>
    <format dxfId="977">
      <pivotArea type="topRight" dataOnly="0" labelOnly="1" outline="0" fieldPosition="0"/>
    </format>
    <format dxfId="976">
      <pivotArea field="3" type="button" dataOnly="0" labelOnly="1" outline="0" axis="axisRow" fieldPosition="0"/>
    </format>
    <format dxfId="975">
      <pivotArea dataOnly="0" labelOnly="1" fieldPosition="0">
        <references count="1">
          <reference field="3" count="0"/>
        </references>
      </pivotArea>
    </format>
    <format dxfId="974">
      <pivotArea dataOnly="0" labelOnly="1" grandRow="1" outline="0" fieldPosition="0"/>
    </format>
    <format dxfId="973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972">
      <pivotArea dataOnly="0" labelOnly="1" grandCol="1" outline="0" fieldPosition="0"/>
    </format>
    <format dxfId="971">
      <pivotArea type="all" dataOnly="0" outline="0" fieldPosition="0"/>
    </format>
    <format dxfId="970">
      <pivotArea outline="0" collapsedLevelsAreSubtotals="1" fieldPosition="0"/>
    </format>
    <format dxfId="969">
      <pivotArea type="origin" dataOnly="0" labelOnly="1" outline="0" fieldPosition="0"/>
    </format>
    <format dxfId="968">
      <pivotArea field="7" type="button" dataOnly="0" labelOnly="1" outline="0" axis="axisCol" fieldPosition="0"/>
    </format>
    <format dxfId="967">
      <pivotArea type="topRight" dataOnly="0" labelOnly="1" outline="0" fieldPosition="0"/>
    </format>
    <format dxfId="966">
      <pivotArea field="3" type="button" dataOnly="0" labelOnly="1" outline="0" axis="axisRow" fieldPosition="0"/>
    </format>
    <format dxfId="965">
      <pivotArea dataOnly="0" labelOnly="1" fieldPosition="0">
        <references count="1">
          <reference field="3" count="0"/>
        </references>
      </pivotArea>
    </format>
    <format dxfId="964">
      <pivotArea dataOnly="0" labelOnly="1" grandRow="1" outline="0" fieldPosition="0"/>
    </format>
    <format dxfId="963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962">
      <pivotArea dataOnly="0" labelOnly="1" grandCol="1" outline="0" fieldPosition="0"/>
    </format>
    <format dxfId="96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960">
      <pivotArea grandCol="1" outline="0" collapsedLevelsAreSubtotals="1" fieldPosition="0"/>
    </format>
    <format dxfId="959">
      <pivotArea type="topRight" dataOnly="0" labelOnly="1" outline="0" fieldPosition="0"/>
    </format>
    <format dxfId="95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957">
      <pivotArea dataOnly="0" labelOnly="1" grandCol="1" outline="0" fieldPosition="0"/>
    </format>
    <format dxfId="95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955">
      <pivotArea grandCol="1" outline="0" collapsedLevelsAreSubtotals="1" fieldPosition="0"/>
    </format>
    <format dxfId="954">
      <pivotArea type="topRight" dataOnly="0" labelOnly="1" outline="0" fieldPosition="0"/>
    </format>
    <format dxfId="95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952">
      <pivotArea dataOnly="0" labelOnly="1" grandCol="1" outline="0" fieldPosition="0"/>
    </format>
    <format dxfId="951">
      <pivotArea type="all" dataOnly="0" outline="0" fieldPosition="0"/>
    </format>
    <format dxfId="950">
      <pivotArea outline="0" collapsedLevelsAreSubtotals="1" fieldPosition="0"/>
    </format>
    <format dxfId="949">
      <pivotArea type="origin" dataOnly="0" labelOnly="1" outline="0" fieldPosition="0"/>
    </format>
    <format dxfId="948">
      <pivotArea field="7" type="button" dataOnly="0" labelOnly="1" outline="0" axis="axisCol" fieldPosition="0"/>
    </format>
    <format dxfId="947">
      <pivotArea type="topRight" dataOnly="0" labelOnly="1" outline="0" fieldPosition="0"/>
    </format>
    <format dxfId="946">
      <pivotArea field="3" type="button" dataOnly="0" labelOnly="1" outline="0" axis="axisRow" fieldPosition="0"/>
    </format>
    <format dxfId="945">
      <pivotArea dataOnly="0" labelOnly="1" fieldPosition="0">
        <references count="1">
          <reference field="3" count="0"/>
        </references>
      </pivotArea>
    </format>
    <format dxfId="944">
      <pivotArea dataOnly="0" labelOnly="1" grandRow="1" outline="0" fieldPosition="0"/>
    </format>
    <format dxfId="943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942">
      <pivotArea dataOnly="0" labelOnly="1" grandCol="1" outline="0" fieldPosition="0"/>
    </format>
    <format dxfId="941">
      <pivotArea type="all" dataOnly="0" outline="0" fieldPosition="0"/>
    </format>
    <format dxfId="940">
      <pivotArea outline="0" collapsedLevelsAreSubtotals="1" fieldPosition="0"/>
    </format>
    <format dxfId="939">
      <pivotArea type="origin" dataOnly="0" labelOnly="1" outline="0" fieldPosition="0"/>
    </format>
    <format dxfId="938">
      <pivotArea field="7" type="button" dataOnly="0" labelOnly="1" outline="0" axis="axisCol" fieldPosition="0"/>
    </format>
    <format dxfId="937">
      <pivotArea type="topRight" dataOnly="0" labelOnly="1" outline="0" fieldPosition="0"/>
    </format>
    <format dxfId="936">
      <pivotArea field="3" type="button" dataOnly="0" labelOnly="1" outline="0" axis="axisRow" fieldPosition="0"/>
    </format>
    <format dxfId="935">
      <pivotArea dataOnly="0" labelOnly="1" fieldPosition="0">
        <references count="1">
          <reference field="3" count="0"/>
        </references>
      </pivotArea>
    </format>
    <format dxfId="934">
      <pivotArea dataOnly="0" labelOnly="1" grandRow="1" outline="0" fieldPosition="0"/>
    </format>
    <format dxfId="933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932">
      <pivotArea dataOnly="0" labelOnly="1" grandCol="1" outline="0" fieldPosition="0"/>
    </format>
    <format dxfId="93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930">
      <pivotArea grandCol="1" outline="0" collapsedLevelsAreSubtotals="1" fieldPosition="0"/>
    </format>
    <format dxfId="929">
      <pivotArea type="topRight" dataOnly="0" labelOnly="1" outline="0" fieldPosition="0"/>
    </format>
    <format dxfId="92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927">
      <pivotArea dataOnly="0" labelOnly="1" grandCol="1" outline="0" fieldPosition="0"/>
    </format>
    <format dxfId="92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925">
      <pivotArea grandCol="1" outline="0" collapsedLevelsAreSubtotals="1" fieldPosition="0"/>
    </format>
    <format dxfId="924">
      <pivotArea type="topRight" dataOnly="0" labelOnly="1" outline="0" fieldPosition="0"/>
    </format>
    <format dxfId="92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922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7000000}" name="PivotTable4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4:O53" firstHeaderRow="1" firstDataRow="2" firstDataCol="1"/>
  <pivotFields count="8">
    <pivotField showAll="0"/>
    <pivotField showAll="0"/>
    <pivotField axis="axisRow" showAll="0" sortType="descending">
      <items count="8">
        <item x="4"/>
        <item x="1"/>
        <item x="6"/>
        <item x="2"/>
        <item x="5"/>
        <item x="3"/>
        <item x="0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showAll="0"/>
    <pivotField dataField="1" showAll="0"/>
    <pivotField showAll="0"/>
    <pivotField showAl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2"/>
  </rowFields>
  <rowItems count="8">
    <i>
      <x v="1"/>
    </i>
    <i>
      <x v="5"/>
    </i>
    <i>
      <x/>
    </i>
    <i>
      <x v="2"/>
    </i>
    <i>
      <x v="4"/>
    </i>
    <i>
      <x v="3"/>
    </i>
    <i>
      <x v="6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Count of Amount" fld="4" subtotal="count" baseField="2" baseItem="0" numFmtId="165"/>
  </dataFields>
  <formats count="30">
    <format dxfId="1011">
      <pivotArea type="all" dataOnly="0" outline="0" fieldPosition="0"/>
    </format>
    <format dxfId="1010">
      <pivotArea outline="0" collapsedLevelsAreSubtotals="1" fieldPosition="0"/>
    </format>
    <format dxfId="1009">
      <pivotArea type="origin" dataOnly="0" labelOnly="1" outline="0" fieldPosition="0"/>
    </format>
    <format dxfId="1008">
      <pivotArea field="7" type="button" dataOnly="0" labelOnly="1" outline="0" axis="axisCol" fieldPosition="0"/>
    </format>
    <format dxfId="1007">
      <pivotArea type="topRight" dataOnly="0" labelOnly="1" outline="0" fieldPosition="0"/>
    </format>
    <format dxfId="1006">
      <pivotArea field="2" type="button" dataOnly="0" labelOnly="1" outline="0" axis="axisRow" fieldPosition="0"/>
    </format>
    <format dxfId="1005">
      <pivotArea dataOnly="0" labelOnly="1" fieldPosition="0">
        <references count="1">
          <reference field="2" count="0"/>
        </references>
      </pivotArea>
    </format>
    <format dxfId="1004">
      <pivotArea dataOnly="0" labelOnly="1" grandRow="1" outline="0" fieldPosition="0"/>
    </format>
    <format dxfId="1003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02">
      <pivotArea dataOnly="0" labelOnly="1" grandCol="1" outline="0" fieldPosition="0"/>
    </format>
    <format dxfId="1001">
      <pivotArea type="all" dataOnly="0" outline="0" fieldPosition="0"/>
    </format>
    <format dxfId="1000">
      <pivotArea outline="0" collapsedLevelsAreSubtotals="1" fieldPosition="0"/>
    </format>
    <format dxfId="999">
      <pivotArea type="origin" dataOnly="0" labelOnly="1" outline="0" fieldPosition="0"/>
    </format>
    <format dxfId="998">
      <pivotArea field="7" type="button" dataOnly="0" labelOnly="1" outline="0" axis="axisCol" fieldPosition="0"/>
    </format>
    <format dxfId="997">
      <pivotArea type="topRight" dataOnly="0" labelOnly="1" outline="0" fieldPosition="0"/>
    </format>
    <format dxfId="996">
      <pivotArea field="2" type="button" dataOnly="0" labelOnly="1" outline="0" axis="axisRow" fieldPosition="0"/>
    </format>
    <format dxfId="995">
      <pivotArea dataOnly="0" labelOnly="1" fieldPosition="0">
        <references count="1">
          <reference field="2" count="0"/>
        </references>
      </pivotArea>
    </format>
    <format dxfId="994">
      <pivotArea dataOnly="0" labelOnly="1" grandRow="1" outline="0" fieldPosition="0"/>
    </format>
    <format dxfId="993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992">
      <pivotArea dataOnly="0" labelOnly="1" grandCol="1" outline="0" fieldPosition="0"/>
    </format>
    <format dxfId="99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990">
      <pivotArea grandCol="1" outline="0" collapsedLevelsAreSubtotals="1" fieldPosition="0"/>
    </format>
    <format dxfId="989">
      <pivotArea type="topRight" dataOnly="0" labelOnly="1" outline="0" fieldPosition="0"/>
    </format>
    <format dxfId="98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987">
      <pivotArea dataOnly="0" labelOnly="1" grandCol="1" outline="0" fieldPosition="0"/>
    </format>
    <format dxfId="98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985">
      <pivotArea grandCol="1" outline="0" collapsedLevelsAreSubtotals="1" fieldPosition="0"/>
    </format>
    <format dxfId="984">
      <pivotArea type="topRight" dataOnly="0" labelOnly="1" outline="0" fieldPosition="0"/>
    </format>
    <format dxfId="98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982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6000000}" name="PivotTable1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O12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 sortType="descending">
      <items count="8">
        <item x="0"/>
        <item x="3"/>
        <item x="5"/>
        <item x="2"/>
        <item x="6"/>
        <item x="1"/>
        <item x="4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showAll="0">
      <items count="9">
        <item x="3"/>
        <item x="7"/>
        <item x="5"/>
        <item x="1"/>
        <item x="2"/>
        <item x="6"/>
        <item x="4"/>
        <item x="0"/>
        <item t="default"/>
      </items>
    </pivotField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2"/>
  </rowFields>
  <rowItems count="8">
    <i>
      <x v="5"/>
    </i>
    <i>
      <x v="1"/>
    </i>
    <i>
      <x v="2"/>
    </i>
    <i>
      <x v="4"/>
    </i>
    <i>
      <x v="6"/>
    </i>
    <i>
      <x v="3"/>
    </i>
    <i>
      <x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Categories" fld="4" baseField="2" baseItem="0" numFmtId="165"/>
  </dataFields>
  <formats count="80">
    <format dxfId="1091">
      <pivotArea type="all" dataOnly="0" outline="0" fieldPosition="0"/>
    </format>
    <format dxfId="1090">
      <pivotArea outline="0" collapsedLevelsAreSubtotals="1" fieldPosition="0"/>
    </format>
    <format dxfId="1089">
      <pivotArea type="origin" dataOnly="0" labelOnly="1" outline="0" fieldPosition="0"/>
    </format>
    <format dxfId="1088">
      <pivotArea field="7" type="button" dataOnly="0" labelOnly="1" outline="0" axis="axisCol" fieldPosition="0"/>
    </format>
    <format dxfId="1087">
      <pivotArea type="topRight" dataOnly="0" labelOnly="1" outline="0" fieldPosition="0"/>
    </format>
    <format dxfId="1086">
      <pivotArea field="2" type="button" dataOnly="0" labelOnly="1" outline="0" axis="axisRow" fieldPosition="0"/>
    </format>
    <format dxfId="1085">
      <pivotArea dataOnly="0" labelOnly="1" fieldPosition="0">
        <references count="1">
          <reference field="2" count="0"/>
        </references>
      </pivotArea>
    </format>
    <format dxfId="1084">
      <pivotArea dataOnly="0" labelOnly="1" grandRow="1" outline="0" fieldPosition="0"/>
    </format>
    <format dxfId="1083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82">
      <pivotArea dataOnly="0" labelOnly="1" grandCol="1" outline="0" fieldPosition="0"/>
    </format>
    <format dxfId="1081">
      <pivotArea type="all" dataOnly="0" outline="0" fieldPosition="0"/>
    </format>
    <format dxfId="1080">
      <pivotArea outline="0" collapsedLevelsAreSubtotals="1" fieldPosition="0"/>
    </format>
    <format dxfId="1079">
      <pivotArea type="origin" dataOnly="0" labelOnly="1" outline="0" fieldPosition="0"/>
    </format>
    <format dxfId="1078">
      <pivotArea field="7" type="button" dataOnly="0" labelOnly="1" outline="0" axis="axisCol" fieldPosition="0"/>
    </format>
    <format dxfId="1077">
      <pivotArea type="topRight" dataOnly="0" labelOnly="1" outline="0" fieldPosition="0"/>
    </format>
    <format dxfId="1076">
      <pivotArea field="2" type="button" dataOnly="0" labelOnly="1" outline="0" axis="axisRow" fieldPosition="0"/>
    </format>
    <format dxfId="1075">
      <pivotArea dataOnly="0" labelOnly="1" fieldPosition="0">
        <references count="1">
          <reference field="2" count="0"/>
        </references>
      </pivotArea>
    </format>
    <format dxfId="1074">
      <pivotArea dataOnly="0" labelOnly="1" grandRow="1" outline="0" fieldPosition="0"/>
    </format>
    <format dxfId="1073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72">
      <pivotArea dataOnly="0" labelOnly="1" grandCol="1" outline="0" fieldPosition="0"/>
    </format>
    <format dxfId="1071">
      <pivotArea type="all" dataOnly="0" outline="0" fieldPosition="0"/>
    </format>
    <format dxfId="1070">
      <pivotArea outline="0" collapsedLevelsAreSubtotals="1" fieldPosition="0"/>
    </format>
    <format dxfId="1069">
      <pivotArea type="origin" dataOnly="0" labelOnly="1" outline="0" fieldPosition="0"/>
    </format>
    <format dxfId="1068">
      <pivotArea field="7" type="button" dataOnly="0" labelOnly="1" outline="0" axis="axisCol" fieldPosition="0"/>
    </format>
    <format dxfId="1067">
      <pivotArea type="topRight" dataOnly="0" labelOnly="1" outline="0" fieldPosition="0"/>
    </format>
    <format dxfId="1066">
      <pivotArea field="2" type="button" dataOnly="0" labelOnly="1" outline="0" axis="axisRow" fieldPosition="0"/>
    </format>
    <format dxfId="1065">
      <pivotArea dataOnly="0" labelOnly="1" fieldPosition="0">
        <references count="1">
          <reference field="2" count="0"/>
        </references>
      </pivotArea>
    </format>
    <format dxfId="1064">
      <pivotArea dataOnly="0" labelOnly="1" grandRow="1" outline="0" fieldPosition="0"/>
    </format>
    <format dxfId="1063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62">
      <pivotArea dataOnly="0" labelOnly="1" grandCol="1" outline="0" fieldPosition="0"/>
    </format>
    <format dxfId="1061">
      <pivotArea type="all" dataOnly="0" outline="0" fieldPosition="0"/>
    </format>
    <format dxfId="1060">
      <pivotArea outline="0" collapsedLevelsAreSubtotals="1" fieldPosition="0"/>
    </format>
    <format dxfId="1059">
      <pivotArea type="origin" dataOnly="0" labelOnly="1" outline="0" fieldPosition="0"/>
    </format>
    <format dxfId="1058">
      <pivotArea field="7" type="button" dataOnly="0" labelOnly="1" outline="0" axis="axisCol" fieldPosition="0"/>
    </format>
    <format dxfId="1057">
      <pivotArea type="topRight" dataOnly="0" labelOnly="1" outline="0" fieldPosition="0"/>
    </format>
    <format dxfId="1056">
      <pivotArea field="2" type="button" dataOnly="0" labelOnly="1" outline="0" axis="axisRow" fieldPosition="0"/>
    </format>
    <format dxfId="1055">
      <pivotArea dataOnly="0" labelOnly="1" fieldPosition="0">
        <references count="1">
          <reference field="2" count="0"/>
        </references>
      </pivotArea>
    </format>
    <format dxfId="1054">
      <pivotArea dataOnly="0" labelOnly="1" grandRow="1" outline="0" fieldPosition="0"/>
    </format>
    <format dxfId="1053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52">
      <pivotArea dataOnly="0" labelOnly="1" grandCol="1" outline="0" fieldPosition="0"/>
    </format>
    <format dxfId="105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50">
      <pivotArea grandCol="1" outline="0" collapsedLevelsAreSubtotals="1" fieldPosition="0"/>
    </format>
    <format dxfId="1049">
      <pivotArea type="topRight" dataOnly="0" labelOnly="1" outline="0" fieldPosition="0"/>
    </format>
    <format dxfId="104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47">
      <pivotArea dataOnly="0" labelOnly="1" grandCol="1" outline="0" fieldPosition="0"/>
    </format>
    <format dxfId="104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45">
      <pivotArea grandCol="1" outline="0" collapsedLevelsAreSubtotals="1" fieldPosition="0"/>
    </format>
    <format dxfId="1044">
      <pivotArea type="topRight" dataOnly="0" labelOnly="1" outline="0" fieldPosition="0"/>
    </format>
    <format dxfId="104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42">
      <pivotArea dataOnly="0" labelOnly="1" grandCol="1" outline="0" fieldPosition="0"/>
    </format>
    <format dxfId="1041">
      <pivotArea type="all" dataOnly="0" outline="0" fieldPosition="0"/>
    </format>
    <format dxfId="1040">
      <pivotArea outline="0" collapsedLevelsAreSubtotals="1" fieldPosition="0"/>
    </format>
    <format dxfId="1039">
      <pivotArea type="origin" dataOnly="0" labelOnly="1" outline="0" fieldPosition="0"/>
    </format>
    <format dxfId="1038">
      <pivotArea field="7" type="button" dataOnly="0" labelOnly="1" outline="0" axis="axisCol" fieldPosition="0"/>
    </format>
    <format dxfId="1037">
      <pivotArea type="topRight" dataOnly="0" labelOnly="1" outline="0" fieldPosition="0"/>
    </format>
    <format dxfId="1036">
      <pivotArea field="2" type="button" dataOnly="0" labelOnly="1" outline="0" axis="axisRow" fieldPosition="0"/>
    </format>
    <format dxfId="1035">
      <pivotArea dataOnly="0" labelOnly="1" fieldPosition="0">
        <references count="1">
          <reference field="2" count="0"/>
        </references>
      </pivotArea>
    </format>
    <format dxfId="1034">
      <pivotArea dataOnly="0" labelOnly="1" grandRow="1" outline="0" fieldPosition="0"/>
    </format>
    <format dxfId="1033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32">
      <pivotArea dataOnly="0" labelOnly="1" grandCol="1" outline="0" fieldPosition="0"/>
    </format>
    <format dxfId="1031">
      <pivotArea type="all" dataOnly="0" outline="0" fieldPosition="0"/>
    </format>
    <format dxfId="1030">
      <pivotArea outline="0" collapsedLevelsAreSubtotals="1" fieldPosition="0"/>
    </format>
    <format dxfId="1029">
      <pivotArea type="origin" dataOnly="0" labelOnly="1" outline="0" fieldPosition="0"/>
    </format>
    <format dxfId="1028">
      <pivotArea field="7" type="button" dataOnly="0" labelOnly="1" outline="0" axis="axisCol" fieldPosition="0"/>
    </format>
    <format dxfId="1027">
      <pivotArea type="topRight" dataOnly="0" labelOnly="1" outline="0" fieldPosition="0"/>
    </format>
    <format dxfId="1026">
      <pivotArea field="2" type="button" dataOnly="0" labelOnly="1" outline="0" axis="axisRow" fieldPosition="0"/>
    </format>
    <format dxfId="1025">
      <pivotArea dataOnly="0" labelOnly="1" fieldPosition="0">
        <references count="1">
          <reference field="2" count="0"/>
        </references>
      </pivotArea>
    </format>
    <format dxfId="1024">
      <pivotArea dataOnly="0" labelOnly="1" grandRow="1" outline="0" fieldPosition="0"/>
    </format>
    <format dxfId="1023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22">
      <pivotArea dataOnly="0" labelOnly="1" grandCol="1" outline="0" fieldPosition="0"/>
    </format>
    <format dxfId="102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20">
      <pivotArea grandCol="1" outline="0" collapsedLevelsAreSubtotals="1" fieldPosition="0"/>
    </format>
    <format dxfId="1019">
      <pivotArea type="topRight" dataOnly="0" labelOnly="1" outline="0" fieldPosition="0"/>
    </format>
    <format dxfId="101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17">
      <pivotArea dataOnly="0" labelOnly="1" grandCol="1" outline="0" fieldPosition="0"/>
    </format>
    <format dxfId="101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15">
      <pivotArea grandCol="1" outline="0" collapsedLevelsAreSubtotals="1" fieldPosition="0"/>
    </format>
    <format dxfId="1014">
      <pivotArea type="topRight" dataOnly="0" labelOnly="1" outline="0" fieldPosition="0"/>
    </format>
    <format dxfId="101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12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C00-000009000000}" name="PivotTable3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50:I67" firstHeaderRow="1" firstDataRow="2" firstDataCol="1" rowPageCount="1" colPageCount="1"/>
  <pivotFields count="13">
    <pivotField showAll="0"/>
    <pivotField axis="axisRow" showAll="0" sortType="descending">
      <items count="35">
        <item m="1" x="21"/>
        <item m="1" x="30"/>
        <item m="1" x="17"/>
        <item x="9"/>
        <item m="1" x="23"/>
        <item m="1" x="25"/>
        <item m="1" x="24"/>
        <item m="1" x="26"/>
        <item m="1" x="33"/>
        <item x="10"/>
        <item x="13"/>
        <item x="7"/>
        <item x="14"/>
        <item m="1" x="15"/>
        <item m="1" x="29"/>
        <item m="1" x="31"/>
        <item m="1" x="19"/>
        <item x="8"/>
        <item x="11"/>
        <item x="5"/>
        <item m="1" x="18"/>
        <item m="1" x="22"/>
        <item m="1" x="32"/>
        <item x="2"/>
        <item m="1" x="28"/>
        <item m="1" x="27"/>
        <item m="1" x="20"/>
        <item x="1"/>
        <item m="1" x="16"/>
        <item x="4"/>
        <item x="0"/>
        <item x="3"/>
        <item x="6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Col" showAll="0">
      <items count="9">
        <item x="5"/>
        <item x="3"/>
        <item x="1"/>
        <item x="2"/>
        <item m="1" x="7"/>
        <item x="6"/>
        <item x="0"/>
        <item x="4"/>
        <item t="default"/>
      </items>
    </pivotField>
    <pivotField axis="axisPage" showAll="0">
      <items count="9">
        <item m="1" x="7"/>
        <item m="1" x="6"/>
        <item m="1" x="4"/>
        <item x="2"/>
        <item m="1" x="3"/>
        <item x="1"/>
        <item m="1" x="5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 v="27"/>
    </i>
    <i>
      <x v="18"/>
    </i>
    <i>
      <x v="11"/>
    </i>
    <i>
      <x v="30"/>
    </i>
    <i>
      <x v="3"/>
    </i>
    <i>
      <x v="19"/>
    </i>
    <i>
      <x v="9"/>
    </i>
    <i>
      <x v="31"/>
    </i>
    <i>
      <x v="17"/>
    </i>
    <i>
      <x v="10"/>
    </i>
    <i>
      <x v="32"/>
    </i>
    <i>
      <x v="23"/>
    </i>
    <i>
      <x v="33"/>
    </i>
    <i>
      <x v="12"/>
    </i>
    <i>
      <x v="29"/>
    </i>
    <i t="grand">
      <x/>
    </i>
  </rowItems>
  <colFields count="1">
    <field x="3"/>
  </colFields>
  <colItems count="8">
    <i>
      <x/>
    </i>
    <i>
      <x v="1"/>
    </i>
    <i>
      <x v="2"/>
    </i>
    <i>
      <x v="3"/>
    </i>
    <i>
      <x v="5"/>
    </i>
    <i>
      <x v="6"/>
    </i>
    <i>
      <x v="7"/>
    </i>
    <i t="grand">
      <x/>
    </i>
  </colItems>
  <pageFields count="1">
    <pageField fld="4" hier="-1"/>
  </pageFields>
  <dataFields count="1">
    <dataField name="Count of Paid" fld="7" subtotal="count" baseField="1" baseItem="0" numFmtId="165"/>
  </dataFields>
  <formats count="1">
    <format dxfId="2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C00-000008000000}" name="PivotTable2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I20" firstHeaderRow="1" firstDataRow="2" firstDataCol="1" rowPageCount="1" colPageCount="1"/>
  <pivotFields count="13">
    <pivotField showAll="0"/>
    <pivotField axis="axisRow" showAll="0" sortType="descending">
      <items count="35">
        <item m="1" x="21"/>
        <item m="1" x="30"/>
        <item m="1" x="17"/>
        <item x="9"/>
        <item m="1" x="23"/>
        <item m="1" x="25"/>
        <item m="1" x="24"/>
        <item m="1" x="26"/>
        <item m="1" x="33"/>
        <item x="10"/>
        <item x="13"/>
        <item x="7"/>
        <item x="14"/>
        <item m="1" x="15"/>
        <item m="1" x="29"/>
        <item m="1" x="31"/>
        <item m="1" x="19"/>
        <item x="8"/>
        <item x="11"/>
        <item x="5"/>
        <item m="1" x="18"/>
        <item m="1" x="22"/>
        <item m="1" x="32"/>
        <item x="2"/>
        <item m="1" x="28"/>
        <item m="1" x="27"/>
        <item m="1" x="20"/>
        <item x="1"/>
        <item m="1" x="16"/>
        <item x="4"/>
        <item x="0"/>
        <item x="3"/>
        <item x="6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Col" showAll="0" sortType="ascending">
      <items count="9">
        <item x="5"/>
        <item x="3"/>
        <item x="1"/>
        <item x="2"/>
        <item m="1" x="7"/>
        <item x="6"/>
        <item x="4"/>
        <item x="0"/>
        <item t="default"/>
      </items>
    </pivotField>
    <pivotField axis="axisPage" showAll="0">
      <items count="9">
        <item m="1" x="7"/>
        <item m="1" x="6"/>
        <item m="1" x="4"/>
        <item x="2"/>
        <item m="1" x="3"/>
        <item x="1"/>
        <item m="1" x="5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 v="11"/>
    </i>
    <i>
      <x v="19"/>
    </i>
    <i>
      <x v="9"/>
    </i>
    <i>
      <x v="12"/>
    </i>
    <i>
      <x v="23"/>
    </i>
    <i>
      <x v="18"/>
    </i>
    <i>
      <x v="29"/>
    </i>
    <i>
      <x v="10"/>
    </i>
    <i>
      <x v="3"/>
    </i>
    <i>
      <x v="27"/>
    </i>
    <i>
      <x v="30"/>
    </i>
    <i>
      <x v="17"/>
    </i>
    <i>
      <x v="31"/>
    </i>
    <i>
      <x v="33"/>
    </i>
    <i>
      <x v="32"/>
    </i>
    <i t="grand">
      <x/>
    </i>
  </rowItems>
  <colFields count="1">
    <field x="3"/>
  </colFields>
  <colItems count="8">
    <i>
      <x/>
    </i>
    <i>
      <x v="1"/>
    </i>
    <i>
      <x v="2"/>
    </i>
    <i>
      <x v="3"/>
    </i>
    <i>
      <x v="5"/>
    </i>
    <i>
      <x v="6"/>
    </i>
    <i>
      <x v="7"/>
    </i>
    <i t="grand">
      <x/>
    </i>
  </colItems>
  <pageFields count="1">
    <pageField fld="4" hier="-1"/>
  </pageFields>
  <dataFields count="1">
    <dataField name="Sum of Paid" fld="7" baseField="0" baseItem="0" numFmtId="166"/>
  </dataFields>
  <formats count="14">
    <format dxfId="41">
      <pivotArea collapsedLevelsAreSubtotals="1" fieldPosition="0">
        <references count="1">
          <reference field="1" count="0"/>
        </references>
      </pivotArea>
    </format>
    <format dxfId="40">
      <pivotArea grandRow="1" outline="0" collapsedLevelsAreSubtotals="1" fieldPosition="0"/>
    </format>
    <format dxfId="39">
      <pivotArea field="3" type="button" dataOnly="0" labelOnly="1" outline="0" axis="axisCol" fieldPosition="0"/>
    </format>
    <format dxfId="38">
      <pivotArea type="topRight" dataOnly="0" labelOnly="1" outline="0" fieldPosition="0"/>
    </format>
    <format dxfId="37">
      <pivotArea dataOnly="0" labelOnly="1" fieldPosition="0">
        <references count="1">
          <reference field="3" count="0"/>
        </references>
      </pivotArea>
    </format>
    <format dxfId="36">
      <pivotArea dataOnly="0" labelOnly="1" grandCol="1" outline="0" fieldPosition="0"/>
    </format>
    <format dxfId="35">
      <pivotArea field="3" type="button" dataOnly="0" labelOnly="1" outline="0" axis="axisCol" fieldPosition="0"/>
    </format>
    <format dxfId="34">
      <pivotArea type="topRight" dataOnly="0" labelOnly="1" outline="0" fieldPosition="0"/>
    </format>
    <format dxfId="33">
      <pivotArea dataOnly="0" labelOnly="1" fieldPosition="0">
        <references count="1">
          <reference field="3" count="0"/>
        </references>
      </pivotArea>
    </format>
    <format dxfId="32">
      <pivotArea dataOnly="0" labelOnly="1" grandCol="1" outline="0" fieldPosition="0"/>
    </format>
    <format dxfId="31">
      <pivotArea collapsedLevelsAreSubtotals="1" fieldPosition="0">
        <references count="2">
          <reference field="1" count="3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  <reference field="3" count="0" selected="0"/>
        </references>
      </pivotArea>
    </format>
    <format dxfId="30">
      <pivotArea field="3" grandRow="1" outline="0" collapsedLevelsAreSubtotals="1" axis="axisCol" fieldPosition="0">
        <references count="1">
          <reference field="3" count="0" selected="0"/>
        </references>
      </pivotArea>
    </format>
    <format dxfId="29">
      <pivotArea collapsedLevelsAreSubtotals="1" fieldPosition="0">
        <references count="2">
          <reference field="1" count="3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  <reference field="3" count="0" selected="0"/>
        </references>
      </pivotArea>
    </format>
    <format dxfId="28">
      <pivotArea field="3" grandRow="1" outline="0" collapsedLevelsAreSubtotals="1" axis="axisCol" fieldPosition="0">
        <references count="1">
          <reference field="3" count="0" selected="0"/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300-00000B000000}" name="PivotTable2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29:F41" firstHeaderRow="1" firstDataRow="2" firstDataCol="1" rowPageCount="1" colPageCount="1"/>
  <pivotFields count="9">
    <pivotField showAll="0"/>
    <pivotField showAll="0"/>
    <pivotField showAll="0"/>
    <pivotField axis="axisRow" showAll="0" sortType="descending">
      <items count="20">
        <item x="2"/>
        <item x="9"/>
        <item x="4"/>
        <item m="1" x="16"/>
        <item x="7"/>
        <item x="8"/>
        <item m="1" x="10"/>
        <item x="6"/>
        <item m="1" x="17"/>
        <item x="3"/>
        <item m="1" x="11"/>
        <item x="5"/>
        <item m="1" x="15"/>
        <item m="1" x="18"/>
        <item m="1" x="12"/>
        <item m="1" x="14"/>
        <item x="1"/>
        <item m="1" x="1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showAll="0">
      <items count="7">
        <item m="1" x="4"/>
        <item x="1"/>
        <item x="2"/>
        <item m="1" x="5"/>
        <item x="3"/>
        <item x="0"/>
        <item t="default"/>
      </items>
    </pivotField>
    <pivotField axis="axisPage" showAll="0">
      <items count="8">
        <item x="5"/>
        <item x="1"/>
        <item x="2"/>
        <item x="3"/>
        <item x="4"/>
        <item m="1" x="6"/>
        <item x="0"/>
        <item t="default"/>
      </items>
    </pivotField>
    <pivotField dataField="1" showAll="0"/>
    <pivotField showAll="0"/>
    <pivotField showAll="0"/>
  </pivotFields>
  <rowFields count="1">
    <field x="3"/>
  </rowFields>
  <rowItems count="11">
    <i>
      <x v="7"/>
    </i>
    <i>
      <x v="4"/>
    </i>
    <i>
      <x v="16"/>
    </i>
    <i>
      <x v="5"/>
    </i>
    <i>
      <x v="1"/>
    </i>
    <i>
      <x/>
    </i>
    <i>
      <x v="11"/>
    </i>
    <i>
      <x v="2"/>
    </i>
    <i>
      <x v="9"/>
    </i>
    <i>
      <x v="18"/>
    </i>
    <i t="grand">
      <x/>
    </i>
  </rowItems>
  <colFields count="1">
    <field x="4"/>
  </colFields>
  <colItems count="5">
    <i>
      <x v="1"/>
    </i>
    <i>
      <x v="2"/>
    </i>
    <i>
      <x v="4"/>
    </i>
    <i>
      <x v="5"/>
    </i>
    <i t="grand">
      <x/>
    </i>
  </colItems>
  <pageFields count="1">
    <pageField fld="5" hier="-1"/>
  </pageFields>
  <dataFields count="1">
    <dataField name="Count of Paid" fld="6" subtotal="count" baseField="3" baseItem="0" numFmtId="165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300-00000A000000}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F15" firstHeaderRow="1" firstDataRow="2" firstDataCol="1" rowPageCount="1" colPageCount="1"/>
  <pivotFields count="9">
    <pivotField showAll="0"/>
    <pivotField showAll="0"/>
    <pivotField showAll="0"/>
    <pivotField axis="axisRow" showAll="0" sortType="descending">
      <items count="20">
        <item x="2"/>
        <item x="9"/>
        <item x="4"/>
        <item m="1" x="16"/>
        <item x="7"/>
        <item x="8"/>
        <item m="1" x="10"/>
        <item x="6"/>
        <item m="1" x="17"/>
        <item x="3"/>
        <item m="1" x="11"/>
        <item x="5"/>
        <item m="1" x="15"/>
        <item m="1" x="18"/>
        <item m="1" x="12"/>
        <item m="1" x="14"/>
        <item x="1"/>
        <item m="1" x="1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showAll="0">
      <items count="7">
        <item m="1" x="4"/>
        <item x="1"/>
        <item x="2"/>
        <item m="1" x="5"/>
        <item x="3"/>
        <item x="0"/>
        <item t="default"/>
      </items>
    </pivotField>
    <pivotField showAll="0"/>
    <pivotField dataField="1" showAll="0"/>
    <pivotField showAll="0"/>
    <pivotField axis="axisPage" showAll="0">
      <items count="9">
        <item m="1" x="7"/>
        <item x="4"/>
        <item x="2"/>
        <item x="1"/>
        <item x="3"/>
        <item m="1" x="6"/>
        <item m="1" x="5"/>
        <item x="0"/>
        <item t="default"/>
      </items>
    </pivotField>
  </pivotFields>
  <rowFields count="1">
    <field x="3"/>
  </rowFields>
  <rowItems count="11">
    <i>
      <x v="16"/>
    </i>
    <i>
      <x v="4"/>
    </i>
    <i>
      <x v="5"/>
    </i>
    <i>
      <x v="1"/>
    </i>
    <i>
      <x v="11"/>
    </i>
    <i>
      <x v="7"/>
    </i>
    <i>
      <x v="2"/>
    </i>
    <i>
      <x/>
    </i>
    <i>
      <x v="9"/>
    </i>
    <i>
      <x v="18"/>
    </i>
    <i t="grand">
      <x/>
    </i>
  </rowItems>
  <colFields count="1">
    <field x="4"/>
  </colFields>
  <colItems count="5">
    <i>
      <x v="1"/>
    </i>
    <i>
      <x v="2"/>
    </i>
    <i>
      <x v="4"/>
    </i>
    <i>
      <x v="5"/>
    </i>
    <i t="grand">
      <x/>
    </i>
  </colItems>
  <pageFields count="1">
    <pageField fld="8" hier="-1"/>
  </pageFields>
  <dataFields count="1">
    <dataField name="Sum of Paid" fld="6" baseField="0" baseItem="0" numFmtId="165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alanranger.com/photography-classes/rps-course-cd5bd-h55gz" TargetMode="External"/><Relationship Id="rId1" Type="http://schemas.openxmlformats.org/officeDocument/2006/relationships/hyperlink" Target="https://www.alanranger.com/four-private-tuition-classes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4" Type="http://schemas.openxmlformats.org/officeDocument/2006/relationships/pivotTable" Target="../pivotTables/pivotTable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22.xml.rels><?xml version="1.0" encoding="UTF-8" standalone="yes"?>
<Relationships xmlns="http://schemas.openxmlformats.org/package/2006/relationships"><Relationship Id="rId13" Type="http://schemas.openxmlformats.org/officeDocument/2006/relationships/hyperlink" Target="mailto:lesptt@googlemail.com" TargetMode="External"/><Relationship Id="rId18" Type="http://schemas.openxmlformats.org/officeDocument/2006/relationships/hyperlink" Target="mailto:maxinewatts@me.com" TargetMode="External"/><Relationship Id="rId26" Type="http://schemas.openxmlformats.org/officeDocument/2006/relationships/hyperlink" Target="mailto:semnicholls@gmail.com" TargetMode="External"/><Relationship Id="rId3" Type="http://schemas.openxmlformats.org/officeDocument/2006/relationships/hyperlink" Target="mailto:ickaohman@gmail.com" TargetMode="External"/><Relationship Id="rId21" Type="http://schemas.openxmlformats.org/officeDocument/2006/relationships/hyperlink" Target="mailto:janice.jordan@shaylorgroup.com" TargetMode="External"/><Relationship Id="rId34" Type="http://schemas.openxmlformats.org/officeDocument/2006/relationships/hyperlink" Target="mailto:kamkaur7373@yahoo.com" TargetMode="External"/><Relationship Id="rId7" Type="http://schemas.openxmlformats.org/officeDocument/2006/relationships/hyperlink" Target="mailto:janeliz.robb@gmail.com" TargetMode="External"/><Relationship Id="rId12" Type="http://schemas.openxmlformats.org/officeDocument/2006/relationships/hyperlink" Target="mailto:simplybowen@hotmail.co.uk" TargetMode="External"/><Relationship Id="rId17" Type="http://schemas.openxmlformats.org/officeDocument/2006/relationships/hyperlink" Target="mailto:pjekirby@btinternet.com" TargetMode="External"/><Relationship Id="rId25" Type="http://schemas.openxmlformats.org/officeDocument/2006/relationships/hyperlink" Target="mailto:imlaurab@hotmail.co.uk" TargetMode="External"/><Relationship Id="rId33" Type="http://schemas.openxmlformats.org/officeDocument/2006/relationships/hyperlink" Target="mailto:inwanderment@gmail.com" TargetMode="External"/><Relationship Id="rId2" Type="http://schemas.openxmlformats.org/officeDocument/2006/relationships/hyperlink" Target="mailto:jeandance007@gmail.com" TargetMode="External"/><Relationship Id="rId16" Type="http://schemas.openxmlformats.org/officeDocument/2006/relationships/hyperlink" Target="mailto:con.mchugh@gmail.com" TargetMode="External"/><Relationship Id="rId20" Type="http://schemas.openxmlformats.org/officeDocument/2006/relationships/hyperlink" Target="mailto:jackirosin@gmail.com" TargetMode="External"/><Relationship Id="rId29" Type="http://schemas.openxmlformats.org/officeDocument/2006/relationships/hyperlink" Target="mailto:heathermarie412@hotmail.co.uk" TargetMode="External"/><Relationship Id="rId1" Type="http://schemas.openxmlformats.org/officeDocument/2006/relationships/hyperlink" Target="mailto:mary.paterson@ymail.com" TargetMode="External"/><Relationship Id="rId6" Type="http://schemas.openxmlformats.org/officeDocument/2006/relationships/hyperlink" Target="mailto:pwillis1907@gmail.com" TargetMode="External"/><Relationship Id="rId11" Type="http://schemas.openxmlformats.org/officeDocument/2006/relationships/hyperlink" Target="mailto:pawelskibinski@wp.pl" TargetMode="External"/><Relationship Id="rId24" Type="http://schemas.openxmlformats.org/officeDocument/2006/relationships/hyperlink" Target="mailto:trainc616@aol.com" TargetMode="External"/><Relationship Id="rId32" Type="http://schemas.openxmlformats.org/officeDocument/2006/relationships/hyperlink" Target="mailto:inwanderment@gmail.com" TargetMode="External"/><Relationship Id="rId5" Type="http://schemas.openxmlformats.org/officeDocument/2006/relationships/hyperlink" Target="mailto:mpuffett@virginmedia.com" TargetMode="External"/><Relationship Id="rId15" Type="http://schemas.openxmlformats.org/officeDocument/2006/relationships/hyperlink" Target="mailto:jhcrabs@gmail.com" TargetMode="External"/><Relationship Id="rId23" Type="http://schemas.openxmlformats.org/officeDocument/2006/relationships/hyperlink" Target="mailto:edwards_rm@hotmail.co.uk" TargetMode="External"/><Relationship Id="rId28" Type="http://schemas.openxmlformats.org/officeDocument/2006/relationships/hyperlink" Target="mailto:amanda_graham@hotmail.co.uk" TargetMode="External"/><Relationship Id="rId10" Type="http://schemas.openxmlformats.org/officeDocument/2006/relationships/hyperlink" Target="mailto:ramchander@me.com" TargetMode="External"/><Relationship Id="rId19" Type="http://schemas.openxmlformats.org/officeDocument/2006/relationships/hyperlink" Target="mailto:Fionaadams90@gmail.com" TargetMode="External"/><Relationship Id="rId31" Type="http://schemas.openxmlformats.org/officeDocument/2006/relationships/hyperlink" Target="mailto:jaymeslynch@hotmail.com" TargetMode="External"/><Relationship Id="rId4" Type="http://schemas.openxmlformats.org/officeDocument/2006/relationships/hyperlink" Target="mailto:caroline.k9@btinternet.com" TargetMode="External"/><Relationship Id="rId9" Type="http://schemas.openxmlformats.org/officeDocument/2006/relationships/hyperlink" Target="mailto:lindamauch@hotmail.com" TargetMode="External"/><Relationship Id="rId14" Type="http://schemas.openxmlformats.org/officeDocument/2006/relationships/hyperlink" Target="mailto:chris@professionallink.co.uk" TargetMode="External"/><Relationship Id="rId22" Type="http://schemas.openxmlformats.org/officeDocument/2006/relationships/hyperlink" Target="mailto:garrymsuch@btinternet.com" TargetMode="External"/><Relationship Id="rId27" Type="http://schemas.openxmlformats.org/officeDocument/2006/relationships/hyperlink" Target="mailto:nathan920@ymail.com" TargetMode="External"/><Relationship Id="rId30" Type="http://schemas.openxmlformats.org/officeDocument/2006/relationships/hyperlink" Target="mailto:annewatkinson@talk21.com" TargetMode="External"/><Relationship Id="rId8" Type="http://schemas.openxmlformats.org/officeDocument/2006/relationships/hyperlink" Target="mailto:jason.bunce@rocketmail.com" TargetMode="External"/></Relationships>
</file>

<file path=xl/worksheets/_rels/sheet26.xml.rels><?xml version="1.0" encoding="UTF-8" standalone="yes"?>
<Relationships xmlns="http://schemas.openxmlformats.org/package/2006/relationships"><Relationship Id="rId26" Type="http://schemas.openxmlformats.org/officeDocument/2006/relationships/hyperlink" Target="mailto:fiona@flbrown.com" TargetMode="External"/><Relationship Id="rId21" Type="http://schemas.openxmlformats.org/officeDocument/2006/relationships/hyperlink" Target="mailto:ickaohman@gmail.com" TargetMode="External"/><Relationship Id="rId42" Type="http://schemas.openxmlformats.org/officeDocument/2006/relationships/hyperlink" Target="mailto:mike1ford@hotmail.co.uk" TargetMode="External"/><Relationship Id="rId47" Type="http://schemas.openxmlformats.org/officeDocument/2006/relationships/hyperlink" Target="mailto:leslieadams1965@outlook.com" TargetMode="External"/><Relationship Id="rId63" Type="http://schemas.openxmlformats.org/officeDocument/2006/relationships/hyperlink" Target="mailto:georgina.catalinotto@googlemail.com" TargetMode="External"/><Relationship Id="rId68" Type="http://schemas.openxmlformats.org/officeDocument/2006/relationships/hyperlink" Target="mailto:sarahmcgovern86@hotmail.com" TargetMode="External"/><Relationship Id="rId2" Type="http://schemas.openxmlformats.org/officeDocument/2006/relationships/hyperlink" Target="mailto:caroline.k9@btinternet.com" TargetMode="External"/><Relationship Id="rId16" Type="http://schemas.openxmlformats.org/officeDocument/2006/relationships/hyperlink" Target="mailto:pwillis1907@gmail.com" TargetMode="External"/><Relationship Id="rId29" Type="http://schemas.openxmlformats.org/officeDocument/2006/relationships/hyperlink" Target="mailto:gill.core@btinternet.com" TargetMode="External"/><Relationship Id="rId11" Type="http://schemas.openxmlformats.org/officeDocument/2006/relationships/hyperlink" Target="mailto:janeliz.robb@gmail.com" TargetMode="External"/><Relationship Id="rId24" Type="http://schemas.openxmlformats.org/officeDocument/2006/relationships/hyperlink" Target="mailto:yussuf.al.yamani@gmail.com" TargetMode="External"/><Relationship Id="rId32" Type="http://schemas.openxmlformats.org/officeDocument/2006/relationships/hyperlink" Target="mailto:mike1ford@hotmail.co.uk" TargetMode="External"/><Relationship Id="rId37" Type="http://schemas.openxmlformats.org/officeDocument/2006/relationships/hyperlink" Target="mailto:semnicholls@gmail.com" TargetMode="External"/><Relationship Id="rId40" Type="http://schemas.openxmlformats.org/officeDocument/2006/relationships/hyperlink" Target="mailto:karenbarber7@hotmail.com" TargetMode="External"/><Relationship Id="rId45" Type="http://schemas.openxmlformats.org/officeDocument/2006/relationships/hyperlink" Target="mailto:visserruurd1@hotmail.com" TargetMode="External"/><Relationship Id="rId53" Type="http://schemas.openxmlformats.org/officeDocument/2006/relationships/hyperlink" Target="mailto:johanna81005@gmail.com" TargetMode="External"/><Relationship Id="rId58" Type="http://schemas.openxmlformats.org/officeDocument/2006/relationships/hyperlink" Target="mailto:janetrroberts1@btinternet.com" TargetMode="External"/><Relationship Id="rId66" Type="http://schemas.openxmlformats.org/officeDocument/2006/relationships/hyperlink" Target="mailto:edwards_rm@hotmail.co.uk" TargetMode="External"/><Relationship Id="rId74" Type="http://schemas.openxmlformats.org/officeDocument/2006/relationships/hyperlink" Target="mailto:jeandance007@gmail.com" TargetMode="External"/><Relationship Id="rId5" Type="http://schemas.openxmlformats.org/officeDocument/2006/relationships/hyperlink" Target="mailto:barford.neil@gmail.com" TargetMode="External"/><Relationship Id="rId61" Type="http://schemas.openxmlformats.org/officeDocument/2006/relationships/hyperlink" Target="mailto:ian_stuart491999@yahoo.com" TargetMode="External"/><Relationship Id="rId19" Type="http://schemas.openxmlformats.org/officeDocument/2006/relationships/hyperlink" Target="mailto:rfveiga@gmail.com" TargetMode="External"/><Relationship Id="rId14" Type="http://schemas.openxmlformats.org/officeDocument/2006/relationships/hyperlink" Target="mailto:nicky1983mills@gmail.com" TargetMode="External"/><Relationship Id="rId22" Type="http://schemas.openxmlformats.org/officeDocument/2006/relationships/hyperlink" Target="mailto:fjohnstubbs@icloud.com" TargetMode="External"/><Relationship Id="rId27" Type="http://schemas.openxmlformats.org/officeDocument/2006/relationships/hyperlink" Target="mailto:frank2807@gmail.com" TargetMode="External"/><Relationship Id="rId30" Type="http://schemas.openxmlformats.org/officeDocument/2006/relationships/hyperlink" Target="mailto:malcolm.park@virginmedia.com" TargetMode="External"/><Relationship Id="rId35" Type="http://schemas.openxmlformats.org/officeDocument/2006/relationships/hyperlink" Target="mailto:jhcrabs@gmail.com" TargetMode="External"/><Relationship Id="rId43" Type="http://schemas.openxmlformats.org/officeDocument/2006/relationships/hyperlink" Target="mailto:pr@patrickrobiquet.com" TargetMode="External"/><Relationship Id="rId48" Type="http://schemas.openxmlformats.org/officeDocument/2006/relationships/hyperlink" Target="mailto:chrisparker1954@btinternet.com" TargetMode="External"/><Relationship Id="rId56" Type="http://schemas.openxmlformats.org/officeDocument/2006/relationships/hyperlink" Target="mailto:noogle0904@gmail.com" TargetMode="External"/><Relationship Id="rId64" Type="http://schemas.openxmlformats.org/officeDocument/2006/relationships/hyperlink" Target="mailto:samc3019@gmail.com" TargetMode="External"/><Relationship Id="rId69" Type="http://schemas.openxmlformats.org/officeDocument/2006/relationships/hyperlink" Target="mailto:Philgnn@aol.com" TargetMode="External"/><Relationship Id="rId8" Type="http://schemas.openxmlformats.org/officeDocument/2006/relationships/hyperlink" Target="mailto:dene.caple@googlemail.com" TargetMode="External"/><Relationship Id="rId51" Type="http://schemas.openxmlformats.org/officeDocument/2006/relationships/hyperlink" Target="mailto:iancrowsonys@googlemail.com" TargetMode="External"/><Relationship Id="rId72" Type="http://schemas.openxmlformats.org/officeDocument/2006/relationships/hyperlink" Target="mailto:chrisparker1954@btinternet.com" TargetMode="External"/><Relationship Id="rId3" Type="http://schemas.openxmlformats.org/officeDocument/2006/relationships/hyperlink" Target="mailto:jonathan_owl@yahoo.co.uk" TargetMode="External"/><Relationship Id="rId12" Type="http://schemas.openxmlformats.org/officeDocument/2006/relationships/hyperlink" Target="mailto:flax0001@gmail.com" TargetMode="External"/><Relationship Id="rId17" Type="http://schemas.openxmlformats.org/officeDocument/2006/relationships/hyperlink" Target="mailto:jason.bunce@rocketmail.com" TargetMode="External"/><Relationship Id="rId25" Type="http://schemas.openxmlformats.org/officeDocument/2006/relationships/hyperlink" Target="mailto:i.wilkening@warwick.ac.uk" TargetMode="External"/><Relationship Id="rId33" Type="http://schemas.openxmlformats.org/officeDocument/2006/relationships/hyperlink" Target="mailto:mhughesuk@me.com" TargetMode="External"/><Relationship Id="rId38" Type="http://schemas.openxmlformats.org/officeDocument/2006/relationships/hyperlink" Target="mailto:david.varo@outlook.com" TargetMode="External"/><Relationship Id="rId46" Type="http://schemas.openxmlformats.org/officeDocument/2006/relationships/hyperlink" Target="mailto:jeandance007@gmail.com" TargetMode="External"/><Relationship Id="rId59" Type="http://schemas.openxmlformats.org/officeDocument/2006/relationships/hyperlink" Target="mailto:nj_ward@sky.com" TargetMode="External"/><Relationship Id="rId67" Type="http://schemas.openxmlformats.org/officeDocument/2006/relationships/hyperlink" Target="mailto:dandmroberts@googlemail.com" TargetMode="External"/><Relationship Id="rId20" Type="http://schemas.openxmlformats.org/officeDocument/2006/relationships/hyperlink" Target="mailto:husamhsf@gmail.com" TargetMode="External"/><Relationship Id="rId41" Type="http://schemas.openxmlformats.org/officeDocument/2006/relationships/hyperlink" Target="mailto:Fionaadams90@gmail.com" TargetMode="External"/><Relationship Id="rId54" Type="http://schemas.openxmlformats.org/officeDocument/2006/relationships/hyperlink" Target="mailto:jmacsport@hotmail.com" TargetMode="External"/><Relationship Id="rId62" Type="http://schemas.openxmlformats.org/officeDocument/2006/relationships/hyperlink" Target="mailto:Rachelakerman1@yahoo.co.uk" TargetMode="External"/><Relationship Id="rId70" Type="http://schemas.openxmlformats.org/officeDocument/2006/relationships/hyperlink" Target="mailto:nick.decianti@gmail.com" TargetMode="External"/><Relationship Id="rId1" Type="http://schemas.openxmlformats.org/officeDocument/2006/relationships/hyperlink" Target="mailto:angelacox@hotmail.com" TargetMode="External"/><Relationship Id="rId6" Type="http://schemas.openxmlformats.org/officeDocument/2006/relationships/hyperlink" Target="mailto:johanna81005@gmail.com" TargetMode="External"/><Relationship Id="rId15" Type="http://schemas.openxmlformats.org/officeDocument/2006/relationships/hyperlink" Target="mailto:mpuffett@virginmedia.com" TargetMode="External"/><Relationship Id="rId23" Type="http://schemas.openxmlformats.org/officeDocument/2006/relationships/hyperlink" Target="mailto:i.yorgov@gmail.com" TargetMode="External"/><Relationship Id="rId28" Type="http://schemas.openxmlformats.org/officeDocument/2006/relationships/hyperlink" Target="mailto:seelypix@gmail.com" TargetMode="External"/><Relationship Id="rId36" Type="http://schemas.openxmlformats.org/officeDocument/2006/relationships/hyperlink" Target="mailto:Kaysu@hotmail.com" TargetMode="External"/><Relationship Id="rId49" Type="http://schemas.openxmlformats.org/officeDocument/2006/relationships/hyperlink" Target="mailto:simplybowen@hotmail.co.uk" TargetMode="External"/><Relationship Id="rId57" Type="http://schemas.openxmlformats.org/officeDocument/2006/relationships/hyperlink" Target="mailto:simplybowen@hotmail.co.uk" TargetMode="External"/><Relationship Id="rId10" Type="http://schemas.openxmlformats.org/officeDocument/2006/relationships/hyperlink" Target="mailto:b.voules@btinternet.com" TargetMode="External"/><Relationship Id="rId31" Type="http://schemas.openxmlformats.org/officeDocument/2006/relationships/hyperlink" Target="mailto:joyceejames@me.com" TargetMode="External"/><Relationship Id="rId44" Type="http://schemas.openxmlformats.org/officeDocument/2006/relationships/hyperlink" Target="mailto:philseymour77@gmail.com" TargetMode="External"/><Relationship Id="rId52" Type="http://schemas.openxmlformats.org/officeDocument/2006/relationships/hyperlink" Target="mailto:bryanloraine@btinternet.com" TargetMode="External"/><Relationship Id="rId60" Type="http://schemas.openxmlformats.org/officeDocument/2006/relationships/hyperlink" Target="mailto:benmorphet@yahoo.com" TargetMode="External"/><Relationship Id="rId65" Type="http://schemas.openxmlformats.org/officeDocument/2006/relationships/hyperlink" Target="mailto:annemarieandchris@btinternet.com" TargetMode="External"/><Relationship Id="rId73" Type="http://schemas.openxmlformats.org/officeDocument/2006/relationships/hyperlink" Target="mailto:raylene4@hotmail.com" TargetMode="External"/><Relationship Id="rId4" Type="http://schemas.openxmlformats.org/officeDocument/2006/relationships/hyperlink" Target="mailto:joannegalloway2003@yahoo.co.uk" TargetMode="External"/><Relationship Id="rId9" Type="http://schemas.openxmlformats.org/officeDocument/2006/relationships/hyperlink" Target="mailto:kelly.westwood@icloud.com" TargetMode="External"/><Relationship Id="rId13" Type="http://schemas.openxmlformats.org/officeDocument/2006/relationships/hyperlink" Target="mailto:dosinski1990@outlook.com" TargetMode="External"/><Relationship Id="rId18" Type="http://schemas.openxmlformats.org/officeDocument/2006/relationships/hyperlink" Target="mailto:jonathan_owl@yahoo.co.uk" TargetMode="External"/><Relationship Id="rId39" Type="http://schemas.openxmlformats.org/officeDocument/2006/relationships/hyperlink" Target="mailto:uklynnh@gmail.com" TargetMode="External"/><Relationship Id="rId34" Type="http://schemas.openxmlformats.org/officeDocument/2006/relationships/hyperlink" Target="mailto:chrisjohnson305@btinternet.com" TargetMode="External"/><Relationship Id="rId50" Type="http://schemas.openxmlformats.org/officeDocument/2006/relationships/hyperlink" Target="mailto:Alannewbold@hotmail.co.uk" TargetMode="External"/><Relationship Id="rId55" Type="http://schemas.openxmlformats.org/officeDocument/2006/relationships/hyperlink" Target="mailto:vezukbabe@hotmail.com" TargetMode="External"/><Relationship Id="rId7" Type="http://schemas.openxmlformats.org/officeDocument/2006/relationships/hyperlink" Target="mailto:myra_little@hotmail.com" TargetMode="External"/><Relationship Id="rId71" Type="http://schemas.openxmlformats.org/officeDocument/2006/relationships/hyperlink" Target="mailto:johnhayeshere@gmail.com" TargetMode="Externa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hyperlink" Target="mailto:philipogrady@sky.com" TargetMode="External"/><Relationship Id="rId13" Type="http://schemas.openxmlformats.org/officeDocument/2006/relationships/hyperlink" Target="mailto:karenherd91@btinternet.com" TargetMode="External"/><Relationship Id="rId3" Type="http://schemas.openxmlformats.org/officeDocument/2006/relationships/hyperlink" Target="mailto:h.davies@bcguk.com" TargetMode="External"/><Relationship Id="rId7" Type="http://schemas.openxmlformats.org/officeDocument/2006/relationships/hyperlink" Target="mailto:jill_lusted@live.co.uk" TargetMode="External"/><Relationship Id="rId12" Type="http://schemas.openxmlformats.org/officeDocument/2006/relationships/hyperlink" Target="mailto:linn.ashmore@rugby.gov.uk" TargetMode="External"/><Relationship Id="rId2" Type="http://schemas.openxmlformats.org/officeDocument/2006/relationships/hyperlink" Target="mailto:chrisjohnson305@btinternet.com" TargetMode="External"/><Relationship Id="rId1" Type="http://schemas.openxmlformats.org/officeDocument/2006/relationships/hyperlink" Target="mailto:ynossel@aol.com" TargetMode="External"/><Relationship Id="rId6" Type="http://schemas.openxmlformats.org/officeDocument/2006/relationships/hyperlink" Target="mailto:martin.chambers@shaylorgroup.com" TargetMode="External"/><Relationship Id="rId11" Type="http://schemas.openxmlformats.org/officeDocument/2006/relationships/hyperlink" Target="mailto:vivdrury@icloud.com" TargetMode="External"/><Relationship Id="rId5" Type="http://schemas.openxmlformats.org/officeDocument/2006/relationships/hyperlink" Target="mailto:nigeljjones@hotmail.co.uk" TargetMode="External"/><Relationship Id="rId10" Type="http://schemas.openxmlformats.org/officeDocument/2006/relationships/hyperlink" Target="mailto:vivdrury@icloud.com" TargetMode="External"/><Relationship Id="rId4" Type="http://schemas.openxmlformats.org/officeDocument/2006/relationships/hyperlink" Target="mailto:mark4harrison@gmail.com" TargetMode="External"/><Relationship Id="rId9" Type="http://schemas.openxmlformats.org/officeDocument/2006/relationships/hyperlink" Target="mailto:colinclapp@hotmail.com" TargetMode="Externa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30.xml.rels><?xml version="1.0" encoding="UTF-8" standalone="yes"?>
<Relationships xmlns="http://schemas.openxmlformats.org/package/2006/relationships"><Relationship Id="rId13" Type="http://schemas.openxmlformats.org/officeDocument/2006/relationships/hyperlink" Target="mailto:simon.warriner013@btinternet.com" TargetMode="External"/><Relationship Id="rId18" Type="http://schemas.openxmlformats.org/officeDocument/2006/relationships/hyperlink" Target="mailto:jan@nomadians.co.uk" TargetMode="External"/><Relationship Id="rId26" Type="http://schemas.openxmlformats.org/officeDocument/2006/relationships/hyperlink" Target="mailto:annewatkinson@talk21.com" TargetMode="External"/><Relationship Id="rId39" Type="http://schemas.openxmlformats.org/officeDocument/2006/relationships/hyperlink" Target="mailto:annewatkinson@talk21.com" TargetMode="External"/><Relationship Id="rId21" Type="http://schemas.openxmlformats.org/officeDocument/2006/relationships/hyperlink" Target="mailto:leeclarke12@aol.com" TargetMode="External"/><Relationship Id="rId34" Type="http://schemas.openxmlformats.org/officeDocument/2006/relationships/hyperlink" Target="mailto:funsizeclaire@hotmail.co.uk" TargetMode="External"/><Relationship Id="rId42" Type="http://schemas.openxmlformats.org/officeDocument/2006/relationships/hyperlink" Target="mailto:chrisbrownoakcottage@virginmedia.com" TargetMode="External"/><Relationship Id="rId47" Type="http://schemas.openxmlformats.org/officeDocument/2006/relationships/hyperlink" Target="mailto:albanamarina12@outlook.com" TargetMode="External"/><Relationship Id="rId7" Type="http://schemas.openxmlformats.org/officeDocument/2006/relationships/hyperlink" Target="mailto:jeandance007@gmail.com" TargetMode="External"/><Relationship Id="rId2" Type="http://schemas.openxmlformats.org/officeDocument/2006/relationships/hyperlink" Target="mailto:latishadhir@gmail.com" TargetMode="External"/><Relationship Id="rId16" Type="http://schemas.openxmlformats.org/officeDocument/2006/relationships/hyperlink" Target="mailto:colinclapp@hotmail.com" TargetMode="External"/><Relationship Id="rId29" Type="http://schemas.openxmlformats.org/officeDocument/2006/relationships/hyperlink" Target="mailto:annewatkinson@talk21.com" TargetMode="External"/><Relationship Id="rId1" Type="http://schemas.openxmlformats.org/officeDocument/2006/relationships/hyperlink" Target="mailto:angelacox@hotmail.com" TargetMode="External"/><Relationship Id="rId6" Type="http://schemas.openxmlformats.org/officeDocument/2006/relationships/hyperlink" Target="mailto:leslieadams1965@outlook.com" TargetMode="External"/><Relationship Id="rId11" Type="http://schemas.openxmlformats.org/officeDocument/2006/relationships/hyperlink" Target="mailto:ian_stuart491999@yahoo.com" TargetMode="External"/><Relationship Id="rId24" Type="http://schemas.openxmlformats.org/officeDocument/2006/relationships/hyperlink" Target="mailto:tim.newcombe123@btinternet.com" TargetMode="External"/><Relationship Id="rId32" Type="http://schemas.openxmlformats.org/officeDocument/2006/relationships/hyperlink" Target="mailto:annewatkinson@talk21.com" TargetMode="External"/><Relationship Id="rId37" Type="http://schemas.openxmlformats.org/officeDocument/2006/relationships/hyperlink" Target="mailto:alancross9937@gmail.com" TargetMode="External"/><Relationship Id="rId40" Type="http://schemas.openxmlformats.org/officeDocument/2006/relationships/hyperlink" Target="mailto:snavelien@gmail.com" TargetMode="External"/><Relationship Id="rId45" Type="http://schemas.openxmlformats.org/officeDocument/2006/relationships/hyperlink" Target="mailto:jan@nomadians.co.uk" TargetMode="External"/><Relationship Id="rId5" Type="http://schemas.openxmlformats.org/officeDocument/2006/relationships/hyperlink" Target="mailto:cliff@technologist.com" TargetMode="External"/><Relationship Id="rId15" Type="http://schemas.openxmlformats.org/officeDocument/2006/relationships/hyperlink" Target="mailto:greg.sant@sky.com" TargetMode="External"/><Relationship Id="rId23" Type="http://schemas.openxmlformats.org/officeDocument/2006/relationships/hyperlink" Target="mailto:annewatkinson@talk21.com" TargetMode="External"/><Relationship Id="rId28" Type="http://schemas.openxmlformats.org/officeDocument/2006/relationships/hyperlink" Target="mailto:annewatkinson@talk21.com" TargetMode="External"/><Relationship Id="rId36" Type="http://schemas.openxmlformats.org/officeDocument/2006/relationships/hyperlink" Target="mailto:annewatkinson@talk21.com" TargetMode="External"/><Relationship Id="rId10" Type="http://schemas.openxmlformats.org/officeDocument/2006/relationships/hyperlink" Target="mailto:gill.core@btinternet.com" TargetMode="External"/><Relationship Id="rId19" Type="http://schemas.openxmlformats.org/officeDocument/2006/relationships/hyperlink" Target="mailto:leeclarke12@aol.com" TargetMode="External"/><Relationship Id="rId31" Type="http://schemas.openxmlformats.org/officeDocument/2006/relationships/hyperlink" Target="mailto:daniel.robb@live.co.uk" TargetMode="External"/><Relationship Id="rId44" Type="http://schemas.openxmlformats.org/officeDocument/2006/relationships/hyperlink" Target="mailto:quentmelhuish@gmail.com" TargetMode="External"/><Relationship Id="rId4" Type="http://schemas.openxmlformats.org/officeDocument/2006/relationships/hyperlink" Target="mailto:gjralph@tesco.net" TargetMode="External"/><Relationship Id="rId9" Type="http://schemas.openxmlformats.org/officeDocument/2006/relationships/hyperlink" Target="mailto:leslieadams1965@outlook.com" TargetMode="External"/><Relationship Id="rId14" Type="http://schemas.openxmlformats.org/officeDocument/2006/relationships/hyperlink" Target="mailto:bedebe@hotmail.com" TargetMode="External"/><Relationship Id="rId22" Type="http://schemas.openxmlformats.org/officeDocument/2006/relationships/hyperlink" Target="mailto:leeclarke12@aol.com" TargetMode="External"/><Relationship Id="rId27" Type="http://schemas.openxmlformats.org/officeDocument/2006/relationships/hyperlink" Target="mailto:alantaylor1409@gmail.com" TargetMode="External"/><Relationship Id="rId30" Type="http://schemas.openxmlformats.org/officeDocument/2006/relationships/hyperlink" Target="mailto:annewatkinson@talk21.com" TargetMode="External"/><Relationship Id="rId35" Type="http://schemas.openxmlformats.org/officeDocument/2006/relationships/hyperlink" Target="mailto:annewatkinson@talk21.com" TargetMode="External"/><Relationship Id="rId43" Type="http://schemas.openxmlformats.org/officeDocument/2006/relationships/hyperlink" Target="mailto:zydrune22@yahoo.com" TargetMode="External"/><Relationship Id="rId48" Type="http://schemas.openxmlformats.org/officeDocument/2006/relationships/hyperlink" Target="mailto:jaysapna747@gmail.com" TargetMode="External"/><Relationship Id="rId8" Type="http://schemas.openxmlformats.org/officeDocument/2006/relationships/hyperlink" Target="mailto:simonwalkergdp1@btinternet.com" TargetMode="External"/><Relationship Id="rId3" Type="http://schemas.openxmlformats.org/officeDocument/2006/relationships/hyperlink" Target="mailto:jmcooke111@btinternet.com" TargetMode="External"/><Relationship Id="rId12" Type="http://schemas.openxmlformats.org/officeDocument/2006/relationships/hyperlink" Target="mailto:c.caborn@yahoo.co.uk" TargetMode="External"/><Relationship Id="rId17" Type="http://schemas.openxmlformats.org/officeDocument/2006/relationships/hyperlink" Target="mailto:stuart.walters@ob-mc.co.uk" TargetMode="External"/><Relationship Id="rId25" Type="http://schemas.openxmlformats.org/officeDocument/2006/relationships/hyperlink" Target="mailto:dandmroberts@googlemail.com" TargetMode="External"/><Relationship Id="rId33" Type="http://schemas.openxmlformats.org/officeDocument/2006/relationships/hyperlink" Target="mailto:annewatkinson@talk21.com" TargetMode="External"/><Relationship Id="rId38" Type="http://schemas.openxmlformats.org/officeDocument/2006/relationships/hyperlink" Target="mailto:dreamsjoinery@gmail.com" TargetMode="External"/><Relationship Id="rId46" Type="http://schemas.openxmlformats.org/officeDocument/2006/relationships/hyperlink" Target="mailto:jeffreybalyliss@gmail.com" TargetMode="External"/><Relationship Id="rId20" Type="http://schemas.openxmlformats.org/officeDocument/2006/relationships/hyperlink" Target="mailto:philwebster92@gmail.com" TargetMode="External"/><Relationship Id="rId41" Type="http://schemas.openxmlformats.org/officeDocument/2006/relationships/hyperlink" Target="mailto:snavelien@gmail.com" TargetMode="Externa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hyperlink" Target="mailto:kkuttan@jaguarlandrover.com" TargetMode="External"/><Relationship Id="rId13" Type="http://schemas.openxmlformats.org/officeDocument/2006/relationships/comments" Target="../comments8.xml"/><Relationship Id="rId3" Type="http://schemas.openxmlformats.org/officeDocument/2006/relationships/hyperlink" Target="mailto:claveri1@jaguarlandrover.com" TargetMode="External"/><Relationship Id="rId7" Type="http://schemas.openxmlformats.org/officeDocument/2006/relationships/hyperlink" Target="mailto:bvanzeel@jaguarlandrover.com" TargetMode="External"/><Relationship Id="rId12" Type="http://schemas.openxmlformats.org/officeDocument/2006/relationships/vmlDrawing" Target="../drawings/vmlDrawing8.vml"/><Relationship Id="rId2" Type="http://schemas.openxmlformats.org/officeDocument/2006/relationships/hyperlink" Target="mailto:paul.lewis982@googlemail.com" TargetMode="External"/><Relationship Id="rId1" Type="http://schemas.openxmlformats.org/officeDocument/2006/relationships/hyperlink" Target="mailto:fdebelli@jaguarlandrover.com" TargetMode="External"/><Relationship Id="rId6" Type="http://schemas.openxmlformats.org/officeDocument/2006/relationships/hyperlink" Target="mailto:sherle@jaguarlandrover.com" TargetMode="External"/><Relationship Id="rId11" Type="http://schemas.openxmlformats.org/officeDocument/2006/relationships/hyperlink" Target="mailto:gcaus1@jaguarlandrover.com" TargetMode="External"/><Relationship Id="rId5" Type="http://schemas.openxmlformats.org/officeDocument/2006/relationships/hyperlink" Target="mailto:abalasu4@jaguarlandrover.com" TargetMode="External"/><Relationship Id="rId10" Type="http://schemas.openxmlformats.org/officeDocument/2006/relationships/hyperlink" Target="mailto:Marie.Rushworth.1@warwick.ac.uk" TargetMode="External"/><Relationship Id="rId4" Type="http://schemas.openxmlformats.org/officeDocument/2006/relationships/hyperlink" Target="mailto:glingan1@jaguarlandrover.com" TargetMode="External"/><Relationship Id="rId9" Type="http://schemas.openxmlformats.org/officeDocument/2006/relationships/hyperlink" Target="mailto:whyteb2010@aol.co.uk" TargetMode="External"/></Relationships>
</file>

<file path=xl/worksheets/_rels/sheet32.xml.rels><?xml version="1.0" encoding="UTF-8" standalone="yes"?>
<Relationships xmlns="http://schemas.openxmlformats.org/package/2006/relationships"><Relationship Id="rId26" Type="http://schemas.openxmlformats.org/officeDocument/2006/relationships/hyperlink" Target="mailto:nkarupp2@jaguarlandrover.com" TargetMode="External"/><Relationship Id="rId21" Type="http://schemas.openxmlformats.org/officeDocument/2006/relationships/hyperlink" Target="mailto:egoodwin@jaguarlandrover.com" TargetMode="External"/><Relationship Id="rId42" Type="http://schemas.openxmlformats.org/officeDocument/2006/relationships/hyperlink" Target="mailto:cfrankl4@jaguarlandrover.com" TargetMode="External"/><Relationship Id="rId47" Type="http://schemas.openxmlformats.org/officeDocument/2006/relationships/hyperlink" Target="mailto:srickar3@jaguarlandrover.com" TargetMode="External"/><Relationship Id="rId63" Type="http://schemas.openxmlformats.org/officeDocument/2006/relationships/hyperlink" Target="mailto:smcdonald589@gmail.com" TargetMode="External"/><Relationship Id="rId68" Type="http://schemas.openxmlformats.org/officeDocument/2006/relationships/hyperlink" Target="mailto:lindsay_j_best@hotmail.com" TargetMode="External"/><Relationship Id="rId16" Type="http://schemas.openxmlformats.org/officeDocument/2006/relationships/hyperlink" Target="mailto:jaysapna747@gmail.com" TargetMode="External"/><Relationship Id="rId11" Type="http://schemas.openxmlformats.org/officeDocument/2006/relationships/hyperlink" Target="mailto:jjames8@jaguarlandrover.com" TargetMode="External"/><Relationship Id="rId24" Type="http://schemas.openxmlformats.org/officeDocument/2006/relationships/hyperlink" Target="mailto:eandrew1@jaguarlandrover.com" TargetMode="External"/><Relationship Id="rId32" Type="http://schemas.openxmlformats.org/officeDocument/2006/relationships/hyperlink" Target="mailto:johnkitteringham@hotmail.co.uk" TargetMode="External"/><Relationship Id="rId37" Type="http://schemas.openxmlformats.org/officeDocument/2006/relationships/hyperlink" Target="mailto:rob_j_mac@hotmail.com" TargetMode="External"/><Relationship Id="rId40" Type="http://schemas.openxmlformats.org/officeDocument/2006/relationships/hyperlink" Target="mailto:cadwitney@gmail.com" TargetMode="External"/><Relationship Id="rId45" Type="http://schemas.openxmlformats.org/officeDocument/2006/relationships/hyperlink" Target="mailto:andy.haslam62@gmail.com" TargetMode="External"/><Relationship Id="rId53" Type="http://schemas.openxmlformats.org/officeDocument/2006/relationships/hyperlink" Target="mailto:saz.rickards@gmail.com" TargetMode="External"/><Relationship Id="rId58" Type="http://schemas.openxmlformats.org/officeDocument/2006/relationships/hyperlink" Target="mailto:mileshuckle@gmail.com" TargetMode="External"/><Relationship Id="rId66" Type="http://schemas.openxmlformats.org/officeDocument/2006/relationships/hyperlink" Target="mailto:cmather6@jaguarlandrover.com" TargetMode="External"/><Relationship Id="rId74" Type="http://schemas.openxmlformats.org/officeDocument/2006/relationships/hyperlink" Target="mailto:pdbutt7@ntlworld.com" TargetMode="External"/><Relationship Id="rId5" Type="http://schemas.openxmlformats.org/officeDocument/2006/relationships/hyperlink" Target="mailto:rprew@jaguarlandrover.com" TargetMode="External"/><Relationship Id="rId61" Type="http://schemas.openxmlformats.org/officeDocument/2006/relationships/hyperlink" Target="mailto:richard@shearwood.org.uk" TargetMode="External"/><Relationship Id="rId19" Type="http://schemas.openxmlformats.org/officeDocument/2006/relationships/hyperlink" Target="mailto:ltasker@jaguarlandrover.com" TargetMode="External"/><Relationship Id="rId14" Type="http://schemas.openxmlformats.org/officeDocument/2006/relationships/hyperlink" Target="mailto:jaysapna747@gmail.com" TargetMode="External"/><Relationship Id="rId22" Type="http://schemas.openxmlformats.org/officeDocument/2006/relationships/hyperlink" Target="mailto:mpixley@jaguarlandrover.com" TargetMode="External"/><Relationship Id="rId27" Type="http://schemas.openxmlformats.org/officeDocument/2006/relationships/hyperlink" Target="mailto:mdavie32@jaguarlandrover.com" TargetMode="External"/><Relationship Id="rId30" Type="http://schemas.openxmlformats.org/officeDocument/2006/relationships/hyperlink" Target="mailto:dave.pyta@gmail.com" TargetMode="External"/><Relationship Id="rId35" Type="http://schemas.openxmlformats.org/officeDocument/2006/relationships/hyperlink" Target="mailto:jaysapna747@gmail.com" TargetMode="External"/><Relationship Id="rId43" Type="http://schemas.openxmlformats.org/officeDocument/2006/relationships/hyperlink" Target="mailto:dkanaka1@jaguarlandrover.com" TargetMode="External"/><Relationship Id="rId48" Type="http://schemas.openxmlformats.org/officeDocument/2006/relationships/hyperlink" Target="mailto:saz.rickards@gmail.com" TargetMode="External"/><Relationship Id="rId56" Type="http://schemas.openxmlformats.org/officeDocument/2006/relationships/hyperlink" Target="mailto:jeremytroth1@gmail.com" TargetMode="External"/><Relationship Id="rId64" Type="http://schemas.openxmlformats.org/officeDocument/2006/relationships/hyperlink" Target="mailto:cwhitta1@jaguarlandrover.com" TargetMode="External"/><Relationship Id="rId69" Type="http://schemas.openxmlformats.org/officeDocument/2006/relationships/hyperlink" Target="mailto:mrhdenning@gmail.com" TargetMode="External"/><Relationship Id="rId77" Type="http://schemas.openxmlformats.org/officeDocument/2006/relationships/comments" Target="../comments9.xml"/><Relationship Id="rId8" Type="http://schemas.openxmlformats.org/officeDocument/2006/relationships/hyperlink" Target="mailto:john.s.whitehouse@gmail.com" TargetMode="External"/><Relationship Id="rId51" Type="http://schemas.openxmlformats.org/officeDocument/2006/relationships/hyperlink" Target="mailto:ssander2@jaguarlandrover.com" TargetMode="External"/><Relationship Id="rId72" Type="http://schemas.openxmlformats.org/officeDocument/2006/relationships/hyperlink" Target="mailto:alanjpilkington@gmail.com" TargetMode="External"/><Relationship Id="rId3" Type="http://schemas.openxmlformats.org/officeDocument/2006/relationships/hyperlink" Target="mailto:7lockwood@googlemail.com" TargetMode="External"/><Relationship Id="rId12" Type="http://schemas.openxmlformats.org/officeDocument/2006/relationships/hyperlink" Target="mailto:jojames081@gmail.com" TargetMode="External"/><Relationship Id="rId17" Type="http://schemas.openxmlformats.org/officeDocument/2006/relationships/hyperlink" Target="mailto:kxrcool24@gmail.com" TargetMode="External"/><Relationship Id="rId25" Type="http://schemas.openxmlformats.org/officeDocument/2006/relationships/hyperlink" Target="mailto:sophie.deeley@gmail.com" TargetMode="External"/><Relationship Id="rId33" Type="http://schemas.openxmlformats.org/officeDocument/2006/relationships/hyperlink" Target="mailto:gmoys@jaguarlandrover.com" TargetMode="External"/><Relationship Id="rId38" Type="http://schemas.openxmlformats.org/officeDocument/2006/relationships/hyperlink" Target="mailto:jswinde1@jaguarlandrover.com" TargetMode="External"/><Relationship Id="rId46" Type="http://schemas.openxmlformats.org/officeDocument/2006/relationships/hyperlink" Target="mailto:awilli60@jaguarlandrover.com" TargetMode="External"/><Relationship Id="rId59" Type="http://schemas.openxmlformats.org/officeDocument/2006/relationships/hyperlink" Target="mailto:barford.neil@gmail.com" TargetMode="External"/><Relationship Id="rId67" Type="http://schemas.openxmlformats.org/officeDocument/2006/relationships/hyperlink" Target="mailto:salome@sylimited.com" TargetMode="External"/><Relationship Id="rId20" Type="http://schemas.openxmlformats.org/officeDocument/2006/relationships/hyperlink" Target="mailto:pjacks1969@gmail.com" TargetMode="External"/><Relationship Id="rId41" Type="http://schemas.openxmlformats.org/officeDocument/2006/relationships/hyperlink" Target="mailto:lbishop5@jaguarlandrover.com" TargetMode="External"/><Relationship Id="rId54" Type="http://schemas.openxmlformats.org/officeDocument/2006/relationships/hyperlink" Target="mailto:dcoe@jaguarlandrover.com" TargetMode="External"/><Relationship Id="rId62" Type="http://schemas.openxmlformats.org/officeDocument/2006/relationships/hyperlink" Target="mailto:smcdonald589@gmail.com" TargetMode="External"/><Relationship Id="rId70" Type="http://schemas.openxmlformats.org/officeDocument/2006/relationships/hyperlink" Target="mailto:aj_morris@sky.com" TargetMode="External"/><Relationship Id="rId75" Type="http://schemas.openxmlformats.org/officeDocument/2006/relationships/hyperlink" Target="mailto:SCDHM7@GMAIL.COM" TargetMode="External"/><Relationship Id="rId1" Type="http://schemas.openxmlformats.org/officeDocument/2006/relationships/hyperlink" Target="mailto:barford.neil@gmail.com" TargetMode="External"/><Relationship Id="rId6" Type="http://schemas.openxmlformats.org/officeDocument/2006/relationships/hyperlink" Target="mailto:alockwo3@jaguarlandrover.com" TargetMode="External"/><Relationship Id="rId15" Type="http://schemas.openxmlformats.org/officeDocument/2006/relationships/hyperlink" Target="mailto:rcriste1@jaguarlandrover.com" TargetMode="External"/><Relationship Id="rId23" Type="http://schemas.openxmlformats.org/officeDocument/2006/relationships/hyperlink" Target="mailto:gjones56@jaguarlandrover.com" TargetMode="External"/><Relationship Id="rId28" Type="http://schemas.openxmlformats.org/officeDocument/2006/relationships/hyperlink" Target="mailto:nlakshm1@jaguarlandrover.com" TargetMode="External"/><Relationship Id="rId36" Type="http://schemas.openxmlformats.org/officeDocument/2006/relationships/hyperlink" Target="mailto:bernadettehart0@gmail.com" TargetMode="External"/><Relationship Id="rId49" Type="http://schemas.openxmlformats.org/officeDocument/2006/relationships/hyperlink" Target="mailto:djadhav4@jaguarlandrover.com" TargetMode="External"/><Relationship Id="rId57" Type="http://schemas.openxmlformats.org/officeDocument/2006/relationships/hyperlink" Target="mailto:paulj4981@gmail.com" TargetMode="External"/><Relationship Id="rId10" Type="http://schemas.openxmlformats.org/officeDocument/2006/relationships/hyperlink" Target="mailto:julie@partsworldgroup.com" TargetMode="External"/><Relationship Id="rId31" Type="http://schemas.openxmlformats.org/officeDocument/2006/relationships/hyperlink" Target="mailto:richiemack32@hotmail.com" TargetMode="External"/><Relationship Id="rId44" Type="http://schemas.openxmlformats.org/officeDocument/2006/relationships/hyperlink" Target="mailto:simonworledge@icloud.com" TargetMode="External"/><Relationship Id="rId52" Type="http://schemas.openxmlformats.org/officeDocument/2006/relationships/hyperlink" Target="mailto:tmendes1@jaguarlandrover.com" TargetMode="External"/><Relationship Id="rId60" Type="http://schemas.openxmlformats.org/officeDocument/2006/relationships/hyperlink" Target="mailto:lpotter8@jaguarlandrover.com" TargetMode="External"/><Relationship Id="rId65" Type="http://schemas.openxmlformats.org/officeDocument/2006/relationships/hyperlink" Target="mailto:colin.whittaker89@gmail.com" TargetMode="External"/><Relationship Id="rId73" Type="http://schemas.openxmlformats.org/officeDocument/2006/relationships/hyperlink" Target="mailto:j.macdonald1405@btinternet.com" TargetMode="External"/><Relationship Id="rId4" Type="http://schemas.openxmlformats.org/officeDocument/2006/relationships/hyperlink" Target="mailto:cannings57@gmail.com" TargetMode="External"/><Relationship Id="rId9" Type="http://schemas.openxmlformats.org/officeDocument/2006/relationships/hyperlink" Target="mailto:bradleyrj22@gmail.com" TargetMode="External"/><Relationship Id="rId13" Type="http://schemas.openxmlformats.org/officeDocument/2006/relationships/hyperlink" Target="mailto:gjones56@jaguarlandrover.com" TargetMode="External"/><Relationship Id="rId18" Type="http://schemas.openxmlformats.org/officeDocument/2006/relationships/hyperlink" Target="mailto:sabina_004@hotmail.com" TargetMode="External"/><Relationship Id="rId39" Type="http://schemas.openxmlformats.org/officeDocument/2006/relationships/hyperlink" Target="mailto:tim.bigcorp@gmail.com" TargetMode="External"/><Relationship Id="rId34" Type="http://schemas.openxmlformats.org/officeDocument/2006/relationships/hyperlink" Target="mailto:aalexa1@jaguarlandrover.com" TargetMode="External"/><Relationship Id="rId50" Type="http://schemas.openxmlformats.org/officeDocument/2006/relationships/hyperlink" Target="mailto:vthakar1@jaguarlandrover.com" TargetMode="External"/><Relationship Id="rId55" Type="http://schemas.openxmlformats.org/officeDocument/2006/relationships/hyperlink" Target="mailto:ytao2@jaguarlandrover.com" TargetMode="External"/><Relationship Id="rId76" Type="http://schemas.openxmlformats.org/officeDocument/2006/relationships/vmlDrawing" Target="../drawings/vmlDrawing9.vml"/><Relationship Id="rId7" Type="http://schemas.openxmlformats.org/officeDocument/2006/relationships/hyperlink" Target="mailto:alockwo3@jaguarlandrover.com" TargetMode="External"/><Relationship Id="rId71" Type="http://schemas.openxmlformats.org/officeDocument/2006/relationships/hyperlink" Target="mailto:hpownall@jaguarlandrover.com" TargetMode="External"/><Relationship Id="rId2" Type="http://schemas.openxmlformats.org/officeDocument/2006/relationships/hyperlink" Target="mailto:alockwo3@jaguarlandrover.com" TargetMode="External"/><Relationship Id="rId29" Type="http://schemas.openxmlformats.org/officeDocument/2006/relationships/hyperlink" Target="mailto:cadwitney@gmail.com" TargetMode="Externa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1.xml"/><Relationship Id="rId3" Type="http://schemas.openxmlformats.org/officeDocument/2006/relationships/hyperlink" Target="mailto:drsanjay.kumar@btinternet.com" TargetMode="External"/><Relationship Id="rId7" Type="http://schemas.openxmlformats.org/officeDocument/2006/relationships/vmlDrawing" Target="../drawings/vmlDrawing11.vml"/><Relationship Id="rId2" Type="http://schemas.openxmlformats.org/officeDocument/2006/relationships/hyperlink" Target="mailto:ambra.minoli@protonmail.com" TargetMode="External"/><Relationship Id="rId1" Type="http://schemas.openxmlformats.org/officeDocument/2006/relationships/hyperlink" Target="mailto:cathykibble@googlemail.com" TargetMode="External"/><Relationship Id="rId6" Type="http://schemas.openxmlformats.org/officeDocument/2006/relationships/hyperlink" Target="mailto:ambra.minoli@protonmail.com" TargetMode="External"/><Relationship Id="rId5" Type="http://schemas.openxmlformats.org/officeDocument/2006/relationships/hyperlink" Target="mailto:drsanjay.kumar@btinternet.com" TargetMode="External"/><Relationship Id="rId4" Type="http://schemas.openxmlformats.org/officeDocument/2006/relationships/hyperlink" Target="mailto:cathykibble@googlemail.com" TargetMode="Externa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hyperlink" Target="mailto:annewatkinson@talk21.com" TargetMode="External"/><Relationship Id="rId13" Type="http://schemas.openxmlformats.org/officeDocument/2006/relationships/hyperlink" Target="mailto:battisonmatt@googlemail.com" TargetMode="External"/><Relationship Id="rId3" Type="http://schemas.openxmlformats.org/officeDocument/2006/relationships/hyperlink" Target="mailto:myra_little@hotmail.com" TargetMode="External"/><Relationship Id="rId7" Type="http://schemas.openxmlformats.org/officeDocument/2006/relationships/hyperlink" Target="mailto:pjekirby@btinternet.com" TargetMode="External"/><Relationship Id="rId12" Type="http://schemas.openxmlformats.org/officeDocument/2006/relationships/hyperlink" Target="mailto:imlaurab@hotmail.co.uk" TargetMode="External"/><Relationship Id="rId2" Type="http://schemas.openxmlformats.org/officeDocument/2006/relationships/hyperlink" Target="mailto:johnson.pete@btinternet.com" TargetMode="External"/><Relationship Id="rId16" Type="http://schemas.openxmlformats.org/officeDocument/2006/relationships/comments" Target="../comments12.xml"/><Relationship Id="rId1" Type="http://schemas.openxmlformats.org/officeDocument/2006/relationships/hyperlink" Target="mailto:helen.sotheran@gmail.com" TargetMode="External"/><Relationship Id="rId6" Type="http://schemas.openxmlformats.org/officeDocument/2006/relationships/hyperlink" Target="mailto:s.a.hunt@icloud.com" TargetMode="External"/><Relationship Id="rId11" Type="http://schemas.openxmlformats.org/officeDocument/2006/relationships/hyperlink" Target="mailto:diana.saville@icloud.com" TargetMode="External"/><Relationship Id="rId5" Type="http://schemas.openxmlformats.org/officeDocument/2006/relationships/hyperlink" Target="mailto:slates67@icloud.com" TargetMode="External"/><Relationship Id="rId15" Type="http://schemas.openxmlformats.org/officeDocument/2006/relationships/vmlDrawing" Target="../drawings/vmlDrawing12.vml"/><Relationship Id="rId10" Type="http://schemas.openxmlformats.org/officeDocument/2006/relationships/hyperlink" Target="mailto:alistair_willis@yahoo.co.uk" TargetMode="External"/><Relationship Id="rId4" Type="http://schemas.openxmlformats.org/officeDocument/2006/relationships/hyperlink" Target="mailto:alistair_willis@yahoo.co.uk" TargetMode="External"/><Relationship Id="rId9" Type="http://schemas.openxmlformats.org/officeDocument/2006/relationships/hyperlink" Target="mailto:joyceejames@me.com" TargetMode="External"/><Relationship Id="rId14" Type="http://schemas.openxmlformats.org/officeDocument/2006/relationships/hyperlink" Target="mailto:robertjsmith@btinternet.com" TargetMode="Externa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hyperlink" Target="mailto:vytesh@gmail.com" TargetMode="External"/><Relationship Id="rId13" Type="http://schemas.openxmlformats.org/officeDocument/2006/relationships/hyperlink" Target="mailto:greg.sant@sky.com" TargetMode="External"/><Relationship Id="rId18" Type="http://schemas.openxmlformats.org/officeDocument/2006/relationships/hyperlink" Target="mailto:jan@nomadians.co.uk" TargetMode="External"/><Relationship Id="rId26" Type="http://schemas.openxmlformats.org/officeDocument/2006/relationships/vmlDrawing" Target="../drawings/vmlDrawing13.vml"/><Relationship Id="rId3" Type="http://schemas.openxmlformats.org/officeDocument/2006/relationships/hyperlink" Target="mailto:louisanutter@virginmedia.com" TargetMode="External"/><Relationship Id="rId21" Type="http://schemas.openxmlformats.org/officeDocument/2006/relationships/hyperlink" Target="mailto:derekrobbins@sky.com" TargetMode="External"/><Relationship Id="rId7" Type="http://schemas.openxmlformats.org/officeDocument/2006/relationships/hyperlink" Target="mailto:con.mchugh@gmail.com" TargetMode="External"/><Relationship Id="rId12" Type="http://schemas.openxmlformats.org/officeDocument/2006/relationships/hyperlink" Target="mailto:uklynnh@gmail.com" TargetMode="External"/><Relationship Id="rId17" Type="http://schemas.openxmlformats.org/officeDocument/2006/relationships/hyperlink" Target="mailto:jan@nomadians.co.uk" TargetMode="External"/><Relationship Id="rId25" Type="http://schemas.openxmlformats.org/officeDocument/2006/relationships/hyperlink" Target="mailto:maxinewatts@me.com" TargetMode="External"/><Relationship Id="rId2" Type="http://schemas.openxmlformats.org/officeDocument/2006/relationships/hyperlink" Target="mailto:maxinewatts@me.com" TargetMode="External"/><Relationship Id="rId16" Type="http://schemas.openxmlformats.org/officeDocument/2006/relationships/hyperlink" Target="mailto:chrisparker1954@btinternet.com" TargetMode="External"/><Relationship Id="rId20" Type="http://schemas.openxmlformats.org/officeDocument/2006/relationships/hyperlink" Target="mailto:jan@nomadians.co.uk" TargetMode="External"/><Relationship Id="rId1" Type="http://schemas.openxmlformats.org/officeDocument/2006/relationships/hyperlink" Target="mailto:mike.h.g@btinternet.com&#160;" TargetMode="External"/><Relationship Id="rId6" Type="http://schemas.openxmlformats.org/officeDocument/2006/relationships/hyperlink" Target="mailto:chrisjohnson305@btinternet.com" TargetMode="External"/><Relationship Id="rId11" Type="http://schemas.openxmlformats.org/officeDocument/2006/relationships/hyperlink" Target="mailto:jamiebeardmore@yahoo.co.uk" TargetMode="External"/><Relationship Id="rId24" Type="http://schemas.openxmlformats.org/officeDocument/2006/relationships/hyperlink" Target="mailto:mark4harrison@gmail.com" TargetMode="External"/><Relationship Id="rId5" Type="http://schemas.openxmlformats.org/officeDocument/2006/relationships/hyperlink" Target="mailto:annewatkinson@talk21.com" TargetMode="External"/><Relationship Id="rId15" Type="http://schemas.openxmlformats.org/officeDocument/2006/relationships/hyperlink" Target="mailto:christophparker@googlemail.com" TargetMode="External"/><Relationship Id="rId23" Type="http://schemas.openxmlformats.org/officeDocument/2006/relationships/hyperlink" Target="mailto:robertjsmith@btinternet.com" TargetMode="External"/><Relationship Id="rId10" Type="http://schemas.openxmlformats.org/officeDocument/2006/relationships/hyperlink" Target="mailto:chriswalkland@gmail.com" TargetMode="External"/><Relationship Id="rId19" Type="http://schemas.openxmlformats.org/officeDocument/2006/relationships/hyperlink" Target="mailto:jan@nomadians.co.uk" TargetMode="External"/><Relationship Id="rId4" Type="http://schemas.openxmlformats.org/officeDocument/2006/relationships/hyperlink" Target="mailto:maxinewatts@me.com" TargetMode="External"/><Relationship Id="rId9" Type="http://schemas.openxmlformats.org/officeDocument/2006/relationships/hyperlink" Target="mailto:jamiebeardmore@yahoo.co.uk" TargetMode="External"/><Relationship Id="rId14" Type="http://schemas.openxmlformats.org/officeDocument/2006/relationships/hyperlink" Target="mailto:studio@sublime-creative.co.uk" TargetMode="External"/><Relationship Id="rId22" Type="http://schemas.openxmlformats.org/officeDocument/2006/relationships/hyperlink" Target="mailto:judy.longthorn@gmail.com" TargetMode="External"/><Relationship Id="rId27" Type="http://schemas.openxmlformats.org/officeDocument/2006/relationships/comments" Target="../comments13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hyperlink" Target="mailto:rwardle3@jaguarlandrover.com" TargetMode="External"/><Relationship Id="rId1" Type="http://schemas.openxmlformats.org/officeDocument/2006/relationships/hyperlink" Target="mailto:seelypix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indexed="10"/>
    <pageSetUpPr fitToPage="1"/>
  </sheetPr>
  <dimension ref="B1:AF55"/>
  <sheetViews>
    <sheetView workbookViewId="0">
      <pane xSplit="13" ySplit="2" topLeftCell="N27" activePane="bottomRight" state="frozen"/>
      <selection activeCell="G20" sqref="G20"/>
      <selection pane="topRight" activeCell="G20" sqref="G20"/>
      <selection pane="bottomLeft" activeCell="G20" sqref="G20"/>
      <selection pane="bottomRight" activeCell="D64" sqref="D64"/>
    </sheetView>
  </sheetViews>
  <sheetFormatPr defaultColWidth="9.1328125" defaultRowHeight="12.4" x14ac:dyDescent="0.3"/>
  <cols>
    <col min="1" max="1" width="3.53125" style="7" customWidth="1"/>
    <col min="2" max="2" width="10.46484375" style="7" customWidth="1"/>
    <col min="3" max="9" width="5.86328125" style="7" customWidth="1"/>
    <col min="10" max="10" width="1.33203125" style="7" customWidth="1"/>
    <col min="11" max="12" width="13.53125" style="7" customWidth="1"/>
    <col min="13" max="13" width="9.1328125" style="9" customWidth="1"/>
    <col min="14" max="20" width="5" style="8" customWidth="1"/>
    <col min="21" max="21" width="1" style="7" customWidth="1"/>
    <col min="22" max="22" width="18.1328125" style="7" bestFit="1" customWidth="1"/>
    <col min="23" max="23" width="4.19921875" style="7" customWidth="1"/>
    <col min="24" max="24" width="9.1328125" style="7" customWidth="1"/>
    <col min="25" max="31" width="5" style="7" customWidth="1"/>
    <col min="32" max="32" width="13.46484375" style="7" customWidth="1"/>
    <col min="33" max="33" width="9.1328125" style="7" customWidth="1"/>
    <col min="34" max="16384" width="9.1328125" style="7"/>
  </cols>
  <sheetData>
    <row r="1" spans="2:32" ht="8.75" customHeight="1" thickBot="1" x14ac:dyDescent="0.4">
      <c r="M1" s="1216"/>
      <c r="N1" s="1217"/>
      <c r="O1" s="1217"/>
      <c r="P1" s="1217"/>
      <c r="Q1" s="1217"/>
      <c r="R1" s="1217"/>
      <c r="S1" s="1217"/>
      <c r="T1" s="1217"/>
    </row>
    <row r="2" spans="2:32" ht="30" customHeight="1" x14ac:dyDescent="0.3">
      <c r="B2" s="33" t="s">
        <v>109</v>
      </c>
      <c r="C2" s="32" t="s">
        <v>415</v>
      </c>
      <c r="D2" s="32" t="s">
        <v>416</v>
      </c>
      <c r="E2" s="32" t="s">
        <v>417</v>
      </c>
      <c r="F2" s="32" t="s">
        <v>418</v>
      </c>
      <c r="G2" s="32" t="s">
        <v>419</v>
      </c>
      <c r="H2" s="31" t="s">
        <v>420</v>
      </c>
      <c r="I2" s="34" t="s">
        <v>421</v>
      </c>
      <c r="M2" s="33" t="s">
        <v>115</v>
      </c>
      <c r="N2" s="32" t="s">
        <v>415</v>
      </c>
      <c r="O2" s="32" t="s">
        <v>416</v>
      </c>
      <c r="P2" s="32" t="s">
        <v>417</v>
      </c>
      <c r="Q2" s="32" t="s">
        <v>418</v>
      </c>
      <c r="R2" s="32" t="s">
        <v>419</v>
      </c>
      <c r="S2" s="31" t="s">
        <v>420</v>
      </c>
      <c r="T2" s="34" t="s">
        <v>421</v>
      </c>
      <c r="X2" s="33" t="s">
        <v>116</v>
      </c>
      <c r="Y2" s="32" t="s">
        <v>415</v>
      </c>
      <c r="Z2" s="32" t="s">
        <v>416</v>
      </c>
      <c r="AA2" s="32" t="s">
        <v>417</v>
      </c>
      <c r="AB2" s="32" t="s">
        <v>418</v>
      </c>
      <c r="AC2" s="32" t="s">
        <v>419</v>
      </c>
      <c r="AD2" s="31" t="s">
        <v>420</v>
      </c>
      <c r="AE2" s="30" t="s">
        <v>421</v>
      </c>
    </row>
    <row r="3" spans="2:32" ht="18" customHeight="1" x14ac:dyDescent="0.3">
      <c r="B3" s="19" t="s">
        <v>142</v>
      </c>
      <c r="C3" s="625"/>
      <c r="D3" s="625">
        <f t="shared" ref="D3:I6" si="0">C3+1</f>
        <v>1</v>
      </c>
      <c r="E3" s="624">
        <f t="shared" si="0"/>
        <v>2</v>
      </c>
      <c r="F3" s="624">
        <f t="shared" si="0"/>
        <v>3</v>
      </c>
      <c r="G3" s="624">
        <f t="shared" si="0"/>
        <v>4</v>
      </c>
      <c r="H3" s="624">
        <f t="shared" si="0"/>
        <v>5</v>
      </c>
      <c r="I3" s="624">
        <f t="shared" si="0"/>
        <v>6</v>
      </c>
      <c r="J3" s="29"/>
      <c r="K3" s="28"/>
      <c r="M3" s="19" t="s">
        <v>142</v>
      </c>
      <c r="N3" s="12">
        <v>1</v>
      </c>
      <c r="O3" s="18">
        <f t="shared" ref="O3:T6" si="1">N3+1</f>
        <v>2</v>
      </c>
      <c r="P3" s="15">
        <f t="shared" si="1"/>
        <v>3</v>
      </c>
      <c r="Q3" s="15">
        <f t="shared" si="1"/>
        <v>4</v>
      </c>
      <c r="R3" s="15">
        <f t="shared" si="1"/>
        <v>5</v>
      </c>
      <c r="S3" s="15">
        <f t="shared" si="1"/>
        <v>6</v>
      </c>
      <c r="T3" s="15">
        <f t="shared" si="1"/>
        <v>7</v>
      </c>
      <c r="U3" s="29"/>
      <c r="V3" s="28"/>
      <c r="X3" s="19" t="s">
        <v>142</v>
      </c>
      <c r="Y3" s="17"/>
      <c r="Z3" s="17"/>
      <c r="AA3" s="17"/>
      <c r="AB3" s="17"/>
      <c r="AC3" s="17"/>
      <c r="AD3" s="17"/>
      <c r="AE3" s="11">
        <v>1</v>
      </c>
      <c r="AF3" s="29"/>
    </row>
    <row r="4" spans="2:32" ht="18" customHeight="1" x14ac:dyDescent="0.3">
      <c r="B4" s="19" t="s">
        <v>142</v>
      </c>
      <c r="C4" s="624">
        <f t="shared" ref="C4:C15" si="2">I3+1</f>
        <v>7</v>
      </c>
      <c r="D4" s="624">
        <f t="shared" si="0"/>
        <v>8</v>
      </c>
      <c r="E4" s="624">
        <f t="shared" si="0"/>
        <v>9</v>
      </c>
      <c r="F4" s="624">
        <f t="shared" si="0"/>
        <v>10</v>
      </c>
      <c r="G4" s="12">
        <f t="shared" si="0"/>
        <v>11</v>
      </c>
      <c r="H4" s="12">
        <f t="shared" si="0"/>
        <v>12</v>
      </c>
      <c r="I4" s="12">
        <f t="shared" si="0"/>
        <v>13</v>
      </c>
      <c r="K4" s="10"/>
      <c r="M4" s="19" t="s">
        <v>142</v>
      </c>
      <c r="N4" s="15">
        <f t="shared" ref="N4:N41" si="3">T3+1</f>
        <v>8</v>
      </c>
      <c r="O4" s="15">
        <f t="shared" si="1"/>
        <v>9</v>
      </c>
      <c r="P4" s="15">
        <f t="shared" si="1"/>
        <v>10</v>
      </c>
      <c r="Q4" s="15">
        <f t="shared" si="1"/>
        <v>11</v>
      </c>
      <c r="R4" s="12">
        <f t="shared" si="1"/>
        <v>12</v>
      </c>
      <c r="S4" s="12">
        <f t="shared" si="1"/>
        <v>13</v>
      </c>
      <c r="T4" s="12">
        <f t="shared" si="1"/>
        <v>14</v>
      </c>
      <c r="V4" s="10"/>
      <c r="W4" s="10"/>
      <c r="X4" s="19" t="s">
        <v>142</v>
      </c>
      <c r="Y4" s="12">
        <v>2</v>
      </c>
      <c r="Z4" s="15">
        <f t="shared" ref="Z4:AE7" si="4">Y4+1</f>
        <v>3</v>
      </c>
      <c r="AA4" s="15">
        <f t="shared" si="4"/>
        <v>4</v>
      </c>
      <c r="AB4" s="15">
        <f t="shared" si="4"/>
        <v>5</v>
      </c>
      <c r="AC4" s="15">
        <f t="shared" si="4"/>
        <v>6</v>
      </c>
      <c r="AD4" s="15">
        <f t="shared" si="4"/>
        <v>7</v>
      </c>
      <c r="AE4" s="27">
        <f t="shared" si="4"/>
        <v>8</v>
      </c>
      <c r="AF4" s="23"/>
    </row>
    <row r="5" spans="2:32" ht="18" customHeight="1" x14ac:dyDescent="0.3">
      <c r="B5" s="19" t="s">
        <v>142</v>
      </c>
      <c r="C5" s="18">
        <f t="shared" si="2"/>
        <v>14</v>
      </c>
      <c r="D5" s="624">
        <f t="shared" si="0"/>
        <v>15</v>
      </c>
      <c r="E5" s="624">
        <f t="shared" si="0"/>
        <v>16</v>
      </c>
      <c r="F5" s="624">
        <f t="shared" si="0"/>
        <v>17</v>
      </c>
      <c r="G5" s="624">
        <f t="shared" si="0"/>
        <v>18</v>
      </c>
      <c r="H5" s="624">
        <f t="shared" si="0"/>
        <v>19</v>
      </c>
      <c r="I5" s="624">
        <f t="shared" si="0"/>
        <v>20</v>
      </c>
      <c r="K5" s="10"/>
      <c r="M5" s="19" t="s">
        <v>142</v>
      </c>
      <c r="N5" s="18">
        <f t="shared" si="3"/>
        <v>15</v>
      </c>
      <c r="O5" s="15">
        <f t="shared" si="1"/>
        <v>16</v>
      </c>
      <c r="P5" s="15">
        <f t="shared" si="1"/>
        <v>17</v>
      </c>
      <c r="Q5" s="15">
        <f t="shared" si="1"/>
        <v>18</v>
      </c>
      <c r="R5" s="15">
        <f t="shared" si="1"/>
        <v>19</v>
      </c>
      <c r="S5" s="15">
        <f t="shared" si="1"/>
        <v>20</v>
      </c>
      <c r="T5" s="15">
        <f t="shared" si="1"/>
        <v>21</v>
      </c>
      <c r="V5" s="10"/>
      <c r="W5" s="10"/>
      <c r="X5" s="19" t="s">
        <v>142</v>
      </c>
      <c r="Y5" s="15">
        <f>AE4+1</f>
        <v>9</v>
      </c>
      <c r="Z5" s="15">
        <f t="shared" si="4"/>
        <v>10</v>
      </c>
      <c r="AA5" s="15">
        <f t="shared" si="4"/>
        <v>11</v>
      </c>
      <c r="AB5" s="15">
        <f t="shared" si="4"/>
        <v>12</v>
      </c>
      <c r="AC5" s="13">
        <f t="shared" si="4"/>
        <v>13</v>
      </c>
      <c r="AD5" s="13">
        <f t="shared" si="4"/>
        <v>14</v>
      </c>
      <c r="AE5" s="16">
        <f t="shared" si="4"/>
        <v>15</v>
      </c>
    </row>
    <row r="6" spans="2:32" ht="18" customHeight="1" x14ac:dyDescent="0.3">
      <c r="B6" s="19" t="s">
        <v>142</v>
      </c>
      <c r="C6" s="624">
        <f t="shared" si="2"/>
        <v>21</v>
      </c>
      <c r="D6" s="624">
        <f t="shared" si="0"/>
        <v>22</v>
      </c>
      <c r="E6" s="624">
        <f t="shared" si="0"/>
        <v>23</v>
      </c>
      <c r="F6" s="624">
        <f t="shared" si="0"/>
        <v>24</v>
      </c>
      <c r="G6" s="12">
        <f t="shared" si="0"/>
        <v>25</v>
      </c>
      <c r="H6" s="12">
        <f t="shared" si="0"/>
        <v>26</v>
      </c>
      <c r="I6" s="12">
        <f t="shared" si="0"/>
        <v>27</v>
      </c>
      <c r="K6" s="10"/>
      <c r="M6" s="19" t="s">
        <v>142</v>
      </c>
      <c r="N6" s="15">
        <f t="shared" si="3"/>
        <v>22</v>
      </c>
      <c r="O6" s="15">
        <f t="shared" si="1"/>
        <v>23</v>
      </c>
      <c r="P6" s="15">
        <f t="shared" si="1"/>
        <v>24</v>
      </c>
      <c r="Q6" s="15">
        <f t="shared" si="1"/>
        <v>25</v>
      </c>
      <c r="R6" s="12">
        <f t="shared" si="1"/>
        <v>26</v>
      </c>
      <c r="S6" s="12">
        <f t="shared" si="1"/>
        <v>27</v>
      </c>
      <c r="T6" s="12">
        <f t="shared" si="1"/>
        <v>28</v>
      </c>
      <c r="V6" s="10"/>
      <c r="W6" s="10"/>
      <c r="X6" s="19" t="s">
        <v>142</v>
      </c>
      <c r="Y6" s="17">
        <f>AE5+1</f>
        <v>16</v>
      </c>
      <c r="Z6" s="15">
        <f t="shared" si="4"/>
        <v>17</v>
      </c>
      <c r="AA6" s="15">
        <f t="shared" si="4"/>
        <v>18</v>
      </c>
      <c r="AB6" s="15">
        <f t="shared" si="4"/>
        <v>19</v>
      </c>
      <c r="AC6" s="15">
        <f t="shared" si="4"/>
        <v>20</v>
      </c>
      <c r="AD6" s="13">
        <f t="shared" si="4"/>
        <v>21</v>
      </c>
      <c r="AE6" s="16">
        <f t="shared" si="4"/>
        <v>22</v>
      </c>
      <c r="AF6" s="23"/>
    </row>
    <row r="7" spans="2:32" ht="18" customHeight="1" x14ac:dyDescent="0.3">
      <c r="B7" s="20" t="s">
        <v>422</v>
      </c>
      <c r="C7" s="18">
        <f t="shared" si="2"/>
        <v>28</v>
      </c>
      <c r="D7" s="624">
        <f t="shared" ref="D7:F19" si="5">C7+1</f>
        <v>29</v>
      </c>
      <c r="E7" s="624">
        <f t="shared" si="5"/>
        <v>30</v>
      </c>
      <c r="F7" s="624">
        <f t="shared" si="5"/>
        <v>31</v>
      </c>
      <c r="G7" s="624">
        <v>1</v>
      </c>
      <c r="H7" s="624">
        <f t="shared" ref="H7:I23" si="6">G7+1</f>
        <v>2</v>
      </c>
      <c r="I7" s="624">
        <f t="shared" si="6"/>
        <v>3</v>
      </c>
      <c r="K7" s="10"/>
      <c r="M7" s="20" t="s">
        <v>422</v>
      </c>
      <c r="N7" s="18">
        <f t="shared" si="3"/>
        <v>29</v>
      </c>
      <c r="O7" s="15">
        <f t="shared" ref="O7:P19" si="7">N7+1</f>
        <v>30</v>
      </c>
      <c r="P7" s="15">
        <f t="shared" si="7"/>
        <v>31</v>
      </c>
      <c r="Q7" s="15">
        <v>1</v>
      </c>
      <c r="R7" s="15">
        <f t="shared" ref="R7:T14" si="8">Q7+1</f>
        <v>2</v>
      </c>
      <c r="S7" s="15">
        <f t="shared" si="8"/>
        <v>3</v>
      </c>
      <c r="T7" s="15">
        <f t="shared" si="8"/>
        <v>4</v>
      </c>
      <c r="V7" s="10"/>
      <c r="W7" s="10"/>
      <c r="X7" s="19" t="s">
        <v>142</v>
      </c>
      <c r="Y7" s="15">
        <f>AE6+1</f>
        <v>23</v>
      </c>
      <c r="Z7" s="15">
        <f t="shared" si="4"/>
        <v>24</v>
      </c>
      <c r="AA7" s="26">
        <f t="shared" si="4"/>
        <v>25</v>
      </c>
      <c r="AB7" s="15">
        <f t="shared" si="4"/>
        <v>26</v>
      </c>
      <c r="AC7" s="13">
        <f t="shared" si="4"/>
        <v>27</v>
      </c>
      <c r="AD7" s="13">
        <f t="shared" si="4"/>
        <v>28</v>
      </c>
      <c r="AE7" s="16">
        <f t="shared" si="4"/>
        <v>29</v>
      </c>
    </row>
    <row r="8" spans="2:32" ht="18" customHeight="1" x14ac:dyDescent="0.3">
      <c r="B8" s="19" t="s">
        <v>143</v>
      </c>
      <c r="C8" s="624">
        <f t="shared" si="2"/>
        <v>4</v>
      </c>
      <c r="D8" s="624">
        <f t="shared" si="5"/>
        <v>5</v>
      </c>
      <c r="E8" s="624">
        <f t="shared" si="5"/>
        <v>6</v>
      </c>
      <c r="F8" s="624">
        <f t="shared" si="5"/>
        <v>7</v>
      </c>
      <c r="G8" s="12">
        <f>F8+1</f>
        <v>8</v>
      </c>
      <c r="H8" s="12">
        <f t="shared" si="6"/>
        <v>9</v>
      </c>
      <c r="I8" s="12">
        <f t="shared" si="6"/>
        <v>10</v>
      </c>
      <c r="K8" s="10"/>
      <c r="M8" s="19" t="s">
        <v>143</v>
      </c>
      <c r="N8" s="15">
        <f t="shared" si="3"/>
        <v>5</v>
      </c>
      <c r="O8" s="15">
        <f t="shared" si="7"/>
        <v>6</v>
      </c>
      <c r="P8" s="15">
        <f t="shared" si="7"/>
        <v>7</v>
      </c>
      <c r="Q8" s="15">
        <f>P8+1</f>
        <v>8</v>
      </c>
      <c r="R8" s="12">
        <f t="shared" si="8"/>
        <v>9</v>
      </c>
      <c r="S8" s="12">
        <f t="shared" si="8"/>
        <v>10</v>
      </c>
      <c r="T8" s="12">
        <f t="shared" si="8"/>
        <v>11</v>
      </c>
      <c r="V8" s="10"/>
      <c r="W8" s="10"/>
      <c r="X8" s="20" t="s">
        <v>143</v>
      </c>
      <c r="Y8" s="15">
        <v>30</v>
      </c>
      <c r="Z8" s="26">
        <f>Y8+1</f>
        <v>31</v>
      </c>
      <c r="AA8" s="15">
        <v>1</v>
      </c>
      <c r="AB8" s="15">
        <f t="shared" ref="AB8:AE15" si="9">AA8+1</f>
        <v>2</v>
      </c>
      <c r="AC8" s="17">
        <f t="shared" si="9"/>
        <v>3</v>
      </c>
      <c r="AD8" s="13">
        <f t="shared" si="9"/>
        <v>4</v>
      </c>
      <c r="AE8" s="16">
        <f t="shared" si="9"/>
        <v>5</v>
      </c>
    </row>
    <row r="9" spans="2:32" ht="18" customHeight="1" x14ac:dyDescent="0.3">
      <c r="B9" s="19" t="s">
        <v>143</v>
      </c>
      <c r="C9" s="18">
        <f t="shared" si="2"/>
        <v>11</v>
      </c>
      <c r="D9" s="625">
        <f t="shared" si="5"/>
        <v>12</v>
      </c>
      <c r="E9" s="625">
        <f t="shared" si="5"/>
        <v>13</v>
      </c>
      <c r="F9" s="624">
        <f t="shared" si="5"/>
        <v>14</v>
      </c>
      <c r="G9" s="624">
        <f>F9+1</f>
        <v>15</v>
      </c>
      <c r="H9" s="624">
        <f t="shared" si="6"/>
        <v>16</v>
      </c>
      <c r="I9" s="624">
        <f t="shared" si="6"/>
        <v>17</v>
      </c>
      <c r="M9" s="19" t="s">
        <v>143</v>
      </c>
      <c r="N9" s="12">
        <f t="shared" si="3"/>
        <v>12</v>
      </c>
      <c r="O9" s="12">
        <f t="shared" si="7"/>
        <v>13</v>
      </c>
      <c r="P9" s="18">
        <f t="shared" si="7"/>
        <v>14</v>
      </c>
      <c r="Q9" s="15">
        <f>P9+1</f>
        <v>15</v>
      </c>
      <c r="R9" s="15">
        <f t="shared" si="8"/>
        <v>16</v>
      </c>
      <c r="S9" s="15">
        <f t="shared" si="8"/>
        <v>17</v>
      </c>
      <c r="T9" s="15">
        <f t="shared" si="8"/>
        <v>18</v>
      </c>
      <c r="V9" s="10" t="s">
        <v>423</v>
      </c>
      <c r="W9" s="10"/>
      <c r="X9" s="19" t="s">
        <v>143</v>
      </c>
      <c r="Y9" s="15">
        <f t="shared" ref="Y9:Y20" si="10">AE8+1</f>
        <v>6</v>
      </c>
      <c r="Z9" s="15">
        <f>Y9+1</f>
        <v>7</v>
      </c>
      <c r="AA9" s="15">
        <f>Z9+1</f>
        <v>8</v>
      </c>
      <c r="AB9" s="15">
        <f t="shared" si="9"/>
        <v>9</v>
      </c>
      <c r="AC9" s="13">
        <f t="shared" si="9"/>
        <v>10</v>
      </c>
      <c r="AD9" s="13">
        <f t="shared" si="9"/>
        <v>11</v>
      </c>
      <c r="AE9" s="16">
        <f t="shared" si="9"/>
        <v>12</v>
      </c>
    </row>
    <row r="10" spans="2:32" ht="18" customHeight="1" x14ac:dyDescent="0.3">
      <c r="B10" s="19" t="s">
        <v>143</v>
      </c>
      <c r="C10" s="624">
        <f t="shared" si="2"/>
        <v>18</v>
      </c>
      <c r="D10" s="624">
        <f t="shared" si="5"/>
        <v>19</v>
      </c>
      <c r="E10" s="12">
        <f t="shared" si="5"/>
        <v>20</v>
      </c>
      <c r="F10" s="12">
        <f t="shared" si="5"/>
        <v>21</v>
      </c>
      <c r="G10" s="12">
        <f>F10+1</f>
        <v>22</v>
      </c>
      <c r="H10" s="12">
        <f t="shared" si="6"/>
        <v>23</v>
      </c>
      <c r="I10" s="12">
        <f t="shared" si="6"/>
        <v>24</v>
      </c>
      <c r="K10" s="10" t="s">
        <v>423</v>
      </c>
      <c r="M10" s="19" t="s">
        <v>143</v>
      </c>
      <c r="N10" s="15">
        <f t="shared" si="3"/>
        <v>19</v>
      </c>
      <c r="O10" s="15">
        <f t="shared" si="7"/>
        <v>20</v>
      </c>
      <c r="P10" s="15">
        <f t="shared" si="7"/>
        <v>21</v>
      </c>
      <c r="Q10" s="15">
        <f>P10+1</f>
        <v>22</v>
      </c>
      <c r="R10" s="12">
        <f t="shared" si="8"/>
        <v>23</v>
      </c>
      <c r="S10" s="12">
        <f t="shared" si="8"/>
        <v>24</v>
      </c>
      <c r="T10" s="12">
        <f t="shared" si="8"/>
        <v>25</v>
      </c>
      <c r="W10" s="10"/>
      <c r="X10" s="19" t="s">
        <v>143</v>
      </c>
      <c r="Y10" s="13">
        <f t="shared" si="10"/>
        <v>13</v>
      </c>
      <c r="Z10" s="13">
        <f>Y10+1</f>
        <v>14</v>
      </c>
      <c r="AA10" s="15">
        <f>Z10+1</f>
        <v>15</v>
      </c>
      <c r="AB10" s="15">
        <f t="shared" si="9"/>
        <v>16</v>
      </c>
      <c r="AC10" s="17">
        <f t="shared" si="9"/>
        <v>17</v>
      </c>
      <c r="AD10" s="13">
        <f t="shared" si="9"/>
        <v>18</v>
      </c>
      <c r="AE10" s="16">
        <f t="shared" si="9"/>
        <v>19</v>
      </c>
    </row>
    <row r="11" spans="2:32" ht="18" customHeight="1" x14ac:dyDescent="0.3">
      <c r="B11" s="20" t="s">
        <v>424</v>
      </c>
      <c r="C11" s="18">
        <f t="shared" si="2"/>
        <v>25</v>
      </c>
      <c r="D11" s="624">
        <f t="shared" si="5"/>
        <v>26</v>
      </c>
      <c r="E11" s="624">
        <f t="shared" si="5"/>
        <v>27</v>
      </c>
      <c r="F11" s="624">
        <f t="shared" si="5"/>
        <v>28</v>
      </c>
      <c r="G11" s="624">
        <v>1</v>
      </c>
      <c r="H11" s="624">
        <f t="shared" si="6"/>
        <v>2</v>
      </c>
      <c r="I11" s="624">
        <f t="shared" si="6"/>
        <v>3</v>
      </c>
      <c r="K11" s="10"/>
      <c r="M11" s="20" t="s">
        <v>424</v>
      </c>
      <c r="N11" s="18">
        <f t="shared" si="3"/>
        <v>26</v>
      </c>
      <c r="O11" s="15">
        <f t="shared" si="7"/>
        <v>27</v>
      </c>
      <c r="P11" s="15">
        <f t="shared" si="7"/>
        <v>28</v>
      </c>
      <c r="Q11" s="15">
        <v>1</v>
      </c>
      <c r="R11" s="15">
        <f t="shared" si="8"/>
        <v>2</v>
      </c>
      <c r="S11" s="15">
        <f t="shared" si="8"/>
        <v>3</v>
      </c>
      <c r="T11" s="15">
        <f t="shared" si="8"/>
        <v>4</v>
      </c>
      <c r="V11" s="10"/>
      <c r="W11" s="10"/>
      <c r="X11" s="19" t="s">
        <v>143</v>
      </c>
      <c r="Y11" s="15">
        <f t="shared" si="10"/>
        <v>20</v>
      </c>
      <c r="Z11" s="15">
        <f>Y11+1</f>
        <v>21</v>
      </c>
      <c r="AA11" s="17">
        <f>Z11+1</f>
        <v>22</v>
      </c>
      <c r="AB11" s="15">
        <f t="shared" si="9"/>
        <v>23</v>
      </c>
      <c r="AC11" s="13">
        <f t="shared" si="9"/>
        <v>24</v>
      </c>
      <c r="AD11" s="13">
        <f t="shared" si="9"/>
        <v>25</v>
      </c>
      <c r="AE11" s="16">
        <f t="shared" si="9"/>
        <v>26</v>
      </c>
    </row>
    <row r="12" spans="2:32" ht="18" customHeight="1" x14ac:dyDescent="0.3">
      <c r="B12" s="19" t="s">
        <v>144</v>
      </c>
      <c r="C12" s="624">
        <f t="shared" si="2"/>
        <v>4</v>
      </c>
      <c r="D12" s="624">
        <f t="shared" si="5"/>
        <v>5</v>
      </c>
      <c r="E12" s="624">
        <f t="shared" si="5"/>
        <v>6</v>
      </c>
      <c r="F12" s="624">
        <f t="shared" si="5"/>
        <v>7</v>
      </c>
      <c r="G12" s="12">
        <f t="shared" ref="G12:G45" si="11">F12+1</f>
        <v>8</v>
      </c>
      <c r="H12" s="12">
        <f t="shared" si="6"/>
        <v>9</v>
      </c>
      <c r="I12" s="12">
        <f t="shared" si="6"/>
        <v>10</v>
      </c>
      <c r="M12" s="19" t="s">
        <v>144</v>
      </c>
      <c r="N12" s="15">
        <f t="shared" si="3"/>
        <v>5</v>
      </c>
      <c r="O12" s="15">
        <f t="shared" si="7"/>
        <v>6</v>
      </c>
      <c r="P12" s="15">
        <f t="shared" si="7"/>
        <v>7</v>
      </c>
      <c r="Q12" s="15">
        <f t="shared" ref="Q12:Q45" si="12">P12+1</f>
        <v>8</v>
      </c>
      <c r="R12" s="12">
        <f t="shared" si="8"/>
        <v>9</v>
      </c>
      <c r="S12" s="12">
        <f t="shared" si="8"/>
        <v>10</v>
      </c>
      <c r="T12" s="18">
        <f t="shared" si="8"/>
        <v>11</v>
      </c>
      <c r="V12" s="10" t="s">
        <v>425</v>
      </c>
      <c r="W12" s="10"/>
      <c r="X12" s="20" t="s">
        <v>424</v>
      </c>
      <c r="Y12" s="17">
        <f t="shared" si="10"/>
        <v>27</v>
      </c>
      <c r="Z12" s="15">
        <v>28</v>
      </c>
      <c r="AA12" s="15">
        <v>1</v>
      </c>
      <c r="AB12" s="15">
        <f t="shared" si="9"/>
        <v>2</v>
      </c>
      <c r="AC12" s="15">
        <f t="shared" si="9"/>
        <v>3</v>
      </c>
      <c r="AD12" s="13">
        <f t="shared" si="9"/>
        <v>4</v>
      </c>
      <c r="AE12" s="16">
        <f t="shared" si="9"/>
        <v>5</v>
      </c>
      <c r="AF12" s="17"/>
    </row>
    <row r="13" spans="2:32" ht="18" customHeight="1" x14ac:dyDescent="0.3">
      <c r="B13" s="19" t="s">
        <v>144</v>
      </c>
      <c r="C13" s="18">
        <f t="shared" si="2"/>
        <v>11</v>
      </c>
      <c r="D13" s="624">
        <f t="shared" si="5"/>
        <v>12</v>
      </c>
      <c r="E13" s="624">
        <f t="shared" si="5"/>
        <v>13</v>
      </c>
      <c r="F13" s="624">
        <f t="shared" si="5"/>
        <v>14</v>
      </c>
      <c r="G13" s="624">
        <f t="shared" si="11"/>
        <v>15</v>
      </c>
      <c r="H13" s="624">
        <f t="shared" si="6"/>
        <v>16</v>
      </c>
      <c r="I13" s="624">
        <f t="shared" si="6"/>
        <v>17</v>
      </c>
      <c r="K13" s="10"/>
      <c r="M13" s="19" t="s">
        <v>144</v>
      </c>
      <c r="N13" s="15">
        <f t="shared" si="3"/>
        <v>12</v>
      </c>
      <c r="O13" s="15">
        <f t="shared" si="7"/>
        <v>13</v>
      </c>
      <c r="P13" s="15">
        <f t="shared" si="7"/>
        <v>14</v>
      </c>
      <c r="Q13" s="15">
        <f t="shared" si="12"/>
        <v>15</v>
      </c>
      <c r="R13" s="15">
        <f t="shared" si="8"/>
        <v>16</v>
      </c>
      <c r="S13" s="15">
        <f t="shared" si="8"/>
        <v>17</v>
      </c>
      <c r="T13" s="15">
        <f t="shared" si="8"/>
        <v>18</v>
      </c>
      <c r="V13" s="10"/>
      <c r="W13" s="10"/>
      <c r="X13" s="19" t="s">
        <v>144</v>
      </c>
      <c r="Y13" s="15">
        <f t="shared" si="10"/>
        <v>6</v>
      </c>
      <c r="Z13" s="15">
        <f t="shared" ref="Z13:AA24" si="13">Y13+1</f>
        <v>7</v>
      </c>
      <c r="AA13" s="15">
        <f t="shared" si="13"/>
        <v>8</v>
      </c>
      <c r="AB13" s="15">
        <f t="shared" si="9"/>
        <v>9</v>
      </c>
      <c r="AC13" s="12">
        <f t="shared" si="9"/>
        <v>10</v>
      </c>
      <c r="AD13" s="12">
        <f t="shared" si="9"/>
        <v>11</v>
      </c>
      <c r="AE13" s="11">
        <f t="shared" si="9"/>
        <v>12</v>
      </c>
    </row>
    <row r="14" spans="2:32" ht="18" customHeight="1" x14ac:dyDescent="0.3">
      <c r="B14" s="19" t="s">
        <v>144</v>
      </c>
      <c r="C14" s="624">
        <f t="shared" si="2"/>
        <v>18</v>
      </c>
      <c r="D14" s="624">
        <f t="shared" si="5"/>
        <v>19</v>
      </c>
      <c r="E14" s="624">
        <f t="shared" si="5"/>
        <v>20</v>
      </c>
      <c r="F14" s="624">
        <f t="shared" si="5"/>
        <v>21</v>
      </c>
      <c r="G14" s="12">
        <f t="shared" si="11"/>
        <v>22</v>
      </c>
      <c r="H14" s="12">
        <f t="shared" si="6"/>
        <v>23</v>
      </c>
      <c r="I14" s="12">
        <f t="shared" si="6"/>
        <v>24</v>
      </c>
      <c r="M14" s="19" t="s">
        <v>144</v>
      </c>
      <c r="N14" s="15">
        <f t="shared" si="3"/>
        <v>19</v>
      </c>
      <c r="O14" s="15">
        <f t="shared" si="7"/>
        <v>20</v>
      </c>
      <c r="P14" s="15">
        <f t="shared" si="7"/>
        <v>21</v>
      </c>
      <c r="Q14" s="15">
        <f t="shared" si="12"/>
        <v>22</v>
      </c>
      <c r="R14" s="12">
        <f t="shared" si="8"/>
        <v>23</v>
      </c>
      <c r="S14" s="12">
        <f t="shared" si="8"/>
        <v>24</v>
      </c>
      <c r="T14" s="12">
        <f t="shared" si="8"/>
        <v>25</v>
      </c>
      <c r="V14" s="10" t="s">
        <v>426</v>
      </c>
      <c r="W14" s="10"/>
      <c r="X14" s="19" t="s">
        <v>144</v>
      </c>
      <c r="Y14" s="18">
        <f t="shared" si="10"/>
        <v>13</v>
      </c>
      <c r="Z14" s="15">
        <f t="shared" si="13"/>
        <v>14</v>
      </c>
      <c r="AA14" s="15">
        <f t="shared" si="13"/>
        <v>15</v>
      </c>
      <c r="AB14" s="15">
        <f t="shared" si="9"/>
        <v>16</v>
      </c>
      <c r="AC14" s="17">
        <f t="shared" si="9"/>
        <v>17</v>
      </c>
      <c r="AD14" s="17">
        <f t="shared" si="9"/>
        <v>18</v>
      </c>
      <c r="AE14" s="17">
        <f t="shared" si="9"/>
        <v>19</v>
      </c>
      <c r="AF14" s="17"/>
    </row>
    <row r="15" spans="2:32" ht="18" customHeight="1" x14ac:dyDescent="0.3">
      <c r="B15" s="19" t="s">
        <v>144</v>
      </c>
      <c r="C15" s="18">
        <f t="shared" si="2"/>
        <v>25</v>
      </c>
      <c r="D15" s="625">
        <f t="shared" si="5"/>
        <v>26</v>
      </c>
      <c r="E15" s="625">
        <f t="shared" si="5"/>
        <v>27</v>
      </c>
      <c r="F15" s="625">
        <f t="shared" si="5"/>
        <v>28</v>
      </c>
      <c r="G15" s="625">
        <f t="shared" si="11"/>
        <v>29</v>
      </c>
      <c r="H15" s="624">
        <f t="shared" si="6"/>
        <v>30</v>
      </c>
      <c r="I15" s="624">
        <f t="shared" si="6"/>
        <v>31</v>
      </c>
      <c r="K15" s="10" t="s">
        <v>425</v>
      </c>
      <c r="M15" s="19" t="s">
        <v>144</v>
      </c>
      <c r="N15" s="12">
        <f t="shared" si="3"/>
        <v>26</v>
      </c>
      <c r="O15" s="12">
        <f t="shared" si="7"/>
        <v>27</v>
      </c>
      <c r="P15" s="12">
        <f t="shared" si="7"/>
        <v>28</v>
      </c>
      <c r="Q15" s="12">
        <f t="shared" si="12"/>
        <v>29</v>
      </c>
      <c r="R15" s="18">
        <f t="shared" ref="R15:S23" si="14">Q15+1</f>
        <v>30</v>
      </c>
      <c r="S15" s="15">
        <f t="shared" si="14"/>
        <v>31</v>
      </c>
      <c r="T15" s="15">
        <v>1</v>
      </c>
      <c r="V15" s="10"/>
      <c r="W15" s="10"/>
      <c r="X15" s="19" t="s">
        <v>144</v>
      </c>
      <c r="Y15" s="15">
        <f t="shared" si="10"/>
        <v>20</v>
      </c>
      <c r="Z15" s="15">
        <f t="shared" si="13"/>
        <v>21</v>
      </c>
      <c r="AA15" s="15">
        <f t="shared" si="13"/>
        <v>22</v>
      </c>
      <c r="AB15" s="15">
        <f t="shared" si="9"/>
        <v>23</v>
      </c>
      <c r="AC15" s="12">
        <f t="shared" si="9"/>
        <v>24</v>
      </c>
      <c r="AD15" s="12">
        <f t="shared" si="9"/>
        <v>25</v>
      </c>
      <c r="AE15" s="11">
        <f t="shared" si="9"/>
        <v>26</v>
      </c>
    </row>
    <row r="16" spans="2:32" ht="18" customHeight="1" x14ac:dyDescent="0.3">
      <c r="B16" s="25" t="s">
        <v>145</v>
      </c>
      <c r="C16" s="624">
        <v>1</v>
      </c>
      <c r="D16" s="624">
        <f t="shared" si="5"/>
        <v>2</v>
      </c>
      <c r="E16" s="624">
        <f t="shared" si="5"/>
        <v>3</v>
      </c>
      <c r="F16" s="624">
        <f t="shared" si="5"/>
        <v>4</v>
      </c>
      <c r="G16" s="12">
        <f t="shared" si="11"/>
        <v>5</v>
      </c>
      <c r="H16" s="12">
        <f t="shared" si="6"/>
        <v>6</v>
      </c>
      <c r="I16" s="12">
        <f t="shared" si="6"/>
        <v>7</v>
      </c>
      <c r="K16" s="10"/>
      <c r="M16" s="25" t="s">
        <v>145</v>
      </c>
      <c r="N16" s="15">
        <f t="shared" si="3"/>
        <v>2</v>
      </c>
      <c r="O16" s="15">
        <f t="shared" si="7"/>
        <v>3</v>
      </c>
      <c r="P16" s="15">
        <f t="shared" si="7"/>
        <v>4</v>
      </c>
      <c r="Q16" s="15">
        <f t="shared" si="12"/>
        <v>5</v>
      </c>
      <c r="R16" s="12">
        <f t="shared" si="14"/>
        <v>6</v>
      </c>
      <c r="S16" s="12">
        <f t="shared" si="14"/>
        <v>7</v>
      </c>
      <c r="T16" s="12">
        <f t="shared" ref="T16:T27" si="15">S16+1</f>
        <v>8</v>
      </c>
      <c r="V16" s="10"/>
      <c r="W16" s="24"/>
      <c r="X16" s="25" t="s">
        <v>427</v>
      </c>
      <c r="Y16" s="18">
        <f t="shared" si="10"/>
        <v>27</v>
      </c>
      <c r="Z16" s="15">
        <f t="shared" si="13"/>
        <v>28</v>
      </c>
      <c r="AA16" s="15">
        <f t="shared" si="13"/>
        <v>29</v>
      </c>
      <c r="AB16" s="15">
        <f t="shared" ref="AB16:AB24" si="16">AA16+1</f>
        <v>30</v>
      </c>
      <c r="AC16" s="17">
        <v>31</v>
      </c>
      <c r="AD16" s="17">
        <v>1</v>
      </c>
      <c r="AE16" s="17">
        <f>AD16+1</f>
        <v>2</v>
      </c>
    </row>
    <row r="17" spans="2:32" ht="18" customHeight="1" x14ac:dyDescent="0.3">
      <c r="B17" s="19" t="s">
        <v>145</v>
      </c>
      <c r="C17" s="18">
        <f t="shared" ref="C17:C28" si="17">I16+1</f>
        <v>8</v>
      </c>
      <c r="D17" s="624">
        <f t="shared" si="5"/>
        <v>9</v>
      </c>
      <c r="E17" s="624">
        <f t="shared" si="5"/>
        <v>10</v>
      </c>
      <c r="F17" s="624">
        <f t="shared" si="5"/>
        <v>11</v>
      </c>
      <c r="G17" s="624">
        <f t="shared" si="11"/>
        <v>12</v>
      </c>
      <c r="H17" s="624">
        <f t="shared" si="6"/>
        <v>13</v>
      </c>
      <c r="I17" s="624">
        <f t="shared" si="6"/>
        <v>14</v>
      </c>
      <c r="K17" s="10" t="s">
        <v>428</v>
      </c>
      <c r="M17" s="19" t="s">
        <v>145</v>
      </c>
      <c r="N17" s="18">
        <f t="shared" si="3"/>
        <v>9</v>
      </c>
      <c r="O17" s="15">
        <f t="shared" si="7"/>
        <v>10</v>
      </c>
      <c r="P17" s="15">
        <f t="shared" si="7"/>
        <v>11</v>
      </c>
      <c r="Q17" s="15">
        <f t="shared" si="12"/>
        <v>12</v>
      </c>
      <c r="R17" s="15">
        <f t="shared" si="14"/>
        <v>13</v>
      </c>
      <c r="S17" s="15">
        <f t="shared" si="14"/>
        <v>14</v>
      </c>
      <c r="T17" s="15">
        <f t="shared" si="15"/>
        <v>15</v>
      </c>
      <c r="V17" s="10"/>
      <c r="W17" s="10"/>
      <c r="X17" s="19" t="s">
        <v>145</v>
      </c>
      <c r="Y17" s="17">
        <f t="shared" si="10"/>
        <v>3</v>
      </c>
      <c r="Z17" s="15">
        <f t="shared" si="13"/>
        <v>4</v>
      </c>
      <c r="AA17" s="17">
        <f t="shared" si="13"/>
        <v>5</v>
      </c>
      <c r="AB17" s="15">
        <f t="shared" si="16"/>
        <v>6</v>
      </c>
      <c r="AC17" s="12">
        <f t="shared" ref="AC17:AD28" si="18">AB17+1</f>
        <v>7</v>
      </c>
      <c r="AD17" s="12">
        <f t="shared" si="18"/>
        <v>8</v>
      </c>
      <c r="AE17" s="11">
        <f>AD17+1</f>
        <v>9</v>
      </c>
    </row>
    <row r="18" spans="2:32" ht="18" customHeight="1" x14ac:dyDescent="0.3">
      <c r="B18" s="19" t="s">
        <v>145</v>
      </c>
      <c r="C18" s="624">
        <f t="shared" si="17"/>
        <v>15</v>
      </c>
      <c r="D18" s="624">
        <f t="shared" si="5"/>
        <v>16</v>
      </c>
      <c r="E18" s="624">
        <f t="shared" si="5"/>
        <v>17</v>
      </c>
      <c r="F18" s="624">
        <f t="shared" si="5"/>
        <v>18</v>
      </c>
      <c r="G18" s="12">
        <f t="shared" si="11"/>
        <v>19</v>
      </c>
      <c r="H18" s="12">
        <f t="shared" si="6"/>
        <v>20</v>
      </c>
      <c r="I18" s="12">
        <f t="shared" si="6"/>
        <v>21</v>
      </c>
      <c r="M18" s="19" t="s">
        <v>145</v>
      </c>
      <c r="N18" s="15">
        <f t="shared" si="3"/>
        <v>16</v>
      </c>
      <c r="O18" s="15">
        <f t="shared" si="7"/>
        <v>17</v>
      </c>
      <c r="P18" s="15">
        <f t="shared" si="7"/>
        <v>18</v>
      </c>
      <c r="Q18" s="15">
        <f t="shared" si="12"/>
        <v>19</v>
      </c>
      <c r="R18" s="12">
        <f t="shared" si="14"/>
        <v>20</v>
      </c>
      <c r="S18" s="12">
        <f t="shared" si="14"/>
        <v>21</v>
      </c>
      <c r="T18" s="12">
        <f t="shared" si="15"/>
        <v>22</v>
      </c>
      <c r="W18" s="10"/>
      <c r="X18" s="19" t="s">
        <v>145</v>
      </c>
      <c r="Y18" s="18">
        <f t="shared" si="10"/>
        <v>10</v>
      </c>
      <c r="Z18" s="17">
        <f t="shared" si="13"/>
        <v>11</v>
      </c>
      <c r="AA18" s="17">
        <f t="shared" si="13"/>
        <v>12</v>
      </c>
      <c r="AB18" s="15">
        <f t="shared" si="16"/>
        <v>13</v>
      </c>
      <c r="AC18" s="17">
        <f t="shared" si="18"/>
        <v>14</v>
      </c>
      <c r="AD18" s="17">
        <f t="shared" si="18"/>
        <v>15</v>
      </c>
      <c r="AE18" s="17">
        <f>AD18+1</f>
        <v>16</v>
      </c>
      <c r="AF18" s="7" t="s">
        <v>429</v>
      </c>
    </row>
    <row r="19" spans="2:32" ht="18" customHeight="1" x14ac:dyDescent="0.3">
      <c r="B19" s="19" t="s">
        <v>145</v>
      </c>
      <c r="C19" s="12">
        <f t="shared" si="17"/>
        <v>22</v>
      </c>
      <c r="D19" s="12">
        <f t="shared" si="5"/>
        <v>23</v>
      </c>
      <c r="E19" s="12">
        <f t="shared" si="5"/>
        <v>24</v>
      </c>
      <c r="F19" s="12">
        <f t="shared" si="5"/>
        <v>25</v>
      </c>
      <c r="G19" s="12">
        <f t="shared" si="11"/>
        <v>26</v>
      </c>
      <c r="H19" s="624">
        <f t="shared" si="6"/>
        <v>27</v>
      </c>
      <c r="I19" s="624">
        <f t="shared" si="6"/>
        <v>28</v>
      </c>
      <c r="K19" s="10" t="s">
        <v>430</v>
      </c>
      <c r="M19" s="19" t="s">
        <v>145</v>
      </c>
      <c r="N19" s="18">
        <f t="shared" si="3"/>
        <v>23</v>
      </c>
      <c r="O19" s="15">
        <f t="shared" si="7"/>
        <v>24</v>
      </c>
      <c r="P19" s="15">
        <f t="shared" si="7"/>
        <v>25</v>
      </c>
      <c r="Q19" s="15">
        <f t="shared" si="12"/>
        <v>26</v>
      </c>
      <c r="R19" s="15">
        <f t="shared" si="14"/>
        <v>27</v>
      </c>
      <c r="S19" s="15">
        <f t="shared" si="14"/>
        <v>28</v>
      </c>
      <c r="T19" s="15">
        <f t="shared" si="15"/>
        <v>29</v>
      </c>
      <c r="V19" s="10"/>
      <c r="W19" s="10"/>
      <c r="X19" s="19" t="s">
        <v>145</v>
      </c>
      <c r="Y19" s="12">
        <f t="shared" si="10"/>
        <v>17</v>
      </c>
      <c r="Z19" s="12">
        <f t="shared" si="13"/>
        <v>18</v>
      </c>
      <c r="AA19" s="12">
        <f t="shared" si="13"/>
        <v>19</v>
      </c>
      <c r="AB19" s="12">
        <f t="shared" si="16"/>
        <v>20</v>
      </c>
      <c r="AC19" s="12">
        <f t="shared" si="18"/>
        <v>21</v>
      </c>
      <c r="AD19" s="12">
        <f t="shared" si="18"/>
        <v>22</v>
      </c>
      <c r="AE19" s="11">
        <f>AD19+1</f>
        <v>23</v>
      </c>
    </row>
    <row r="20" spans="2:32" ht="18" customHeight="1" x14ac:dyDescent="0.3">
      <c r="B20" s="20" t="s">
        <v>431</v>
      </c>
      <c r="C20" s="624">
        <f t="shared" si="17"/>
        <v>29</v>
      </c>
      <c r="D20" s="624">
        <v>30</v>
      </c>
      <c r="E20" s="624">
        <v>1</v>
      </c>
      <c r="F20" s="624">
        <f t="shared" ref="F20:F32" si="19">E20+1</f>
        <v>2</v>
      </c>
      <c r="G20" s="12">
        <f t="shared" si="11"/>
        <v>3</v>
      </c>
      <c r="H20" s="12">
        <f t="shared" si="6"/>
        <v>4</v>
      </c>
      <c r="I20" s="12">
        <f t="shared" si="6"/>
        <v>5</v>
      </c>
      <c r="K20" s="23"/>
      <c r="M20" s="20" t="s">
        <v>431</v>
      </c>
      <c r="N20" s="15">
        <f t="shared" si="3"/>
        <v>30</v>
      </c>
      <c r="O20" s="15">
        <v>1</v>
      </c>
      <c r="P20" s="15">
        <f t="shared" ref="P20:P32" si="20">O20+1</f>
        <v>2</v>
      </c>
      <c r="Q20" s="15">
        <f t="shared" si="12"/>
        <v>3</v>
      </c>
      <c r="R20" s="12">
        <f t="shared" si="14"/>
        <v>4</v>
      </c>
      <c r="S20" s="12">
        <f t="shared" si="14"/>
        <v>5</v>
      </c>
      <c r="T20" s="12">
        <f t="shared" si="15"/>
        <v>6</v>
      </c>
      <c r="V20" s="23"/>
      <c r="W20" s="10"/>
      <c r="X20" s="20" t="s">
        <v>431</v>
      </c>
      <c r="Y20" s="18">
        <f t="shared" si="10"/>
        <v>24</v>
      </c>
      <c r="Z20" s="15">
        <f t="shared" si="13"/>
        <v>25</v>
      </c>
      <c r="AA20" s="15">
        <f t="shared" si="13"/>
        <v>26</v>
      </c>
      <c r="AB20" s="17">
        <f t="shared" si="16"/>
        <v>27</v>
      </c>
      <c r="AC20" s="17">
        <f t="shared" si="18"/>
        <v>28</v>
      </c>
      <c r="AD20" s="17">
        <f t="shared" si="18"/>
        <v>29</v>
      </c>
      <c r="AE20" s="17">
        <v>30</v>
      </c>
    </row>
    <row r="21" spans="2:32" ht="18" customHeight="1" x14ac:dyDescent="0.3">
      <c r="B21" s="19" t="s">
        <v>146</v>
      </c>
      <c r="C21" s="12">
        <f t="shared" si="17"/>
        <v>6</v>
      </c>
      <c r="D21" s="18">
        <f t="shared" ref="D21:E32" si="21">C21+1</f>
        <v>7</v>
      </c>
      <c r="E21" s="624">
        <f t="shared" si="21"/>
        <v>8</v>
      </c>
      <c r="F21" s="624">
        <f t="shared" si="19"/>
        <v>9</v>
      </c>
      <c r="G21" s="624">
        <f t="shared" si="11"/>
        <v>10</v>
      </c>
      <c r="H21" s="624">
        <f t="shared" si="6"/>
        <v>11</v>
      </c>
      <c r="I21" s="624">
        <f t="shared" si="6"/>
        <v>12</v>
      </c>
      <c r="K21" s="10" t="s">
        <v>432</v>
      </c>
      <c r="M21" s="19" t="s">
        <v>146</v>
      </c>
      <c r="N21" s="12">
        <f t="shared" si="3"/>
        <v>7</v>
      </c>
      <c r="O21" s="18">
        <f t="shared" ref="O21:O54" si="22">N21+1</f>
        <v>8</v>
      </c>
      <c r="P21" s="15">
        <f t="shared" si="20"/>
        <v>9</v>
      </c>
      <c r="Q21" s="15">
        <f t="shared" si="12"/>
        <v>10</v>
      </c>
      <c r="R21" s="15">
        <f t="shared" si="14"/>
        <v>11</v>
      </c>
      <c r="S21" s="15">
        <f t="shared" si="14"/>
        <v>12</v>
      </c>
      <c r="T21" s="15">
        <f t="shared" si="15"/>
        <v>13</v>
      </c>
      <c r="V21" s="10" t="s">
        <v>432</v>
      </c>
      <c r="W21" s="10"/>
      <c r="X21" s="19" t="s">
        <v>146</v>
      </c>
      <c r="Y21" s="15">
        <v>1</v>
      </c>
      <c r="Z21" s="15">
        <f t="shared" si="13"/>
        <v>2</v>
      </c>
      <c r="AA21" s="15">
        <f t="shared" si="13"/>
        <v>3</v>
      </c>
      <c r="AB21" s="15">
        <f t="shared" si="16"/>
        <v>4</v>
      </c>
      <c r="AC21" s="12">
        <f t="shared" si="18"/>
        <v>5</v>
      </c>
      <c r="AD21" s="12">
        <f t="shared" si="18"/>
        <v>6</v>
      </c>
      <c r="AE21" s="11">
        <f t="shared" ref="AE21:AE41" si="23">AD21+1</f>
        <v>7</v>
      </c>
    </row>
    <row r="22" spans="2:32" ht="18" customHeight="1" x14ac:dyDescent="0.3">
      <c r="B22" s="19" t="s">
        <v>146</v>
      </c>
      <c r="C22" s="624">
        <f t="shared" si="17"/>
        <v>13</v>
      </c>
      <c r="D22" s="624">
        <f t="shared" si="21"/>
        <v>14</v>
      </c>
      <c r="E22" s="624">
        <f t="shared" si="21"/>
        <v>15</v>
      </c>
      <c r="F22" s="624">
        <f t="shared" si="19"/>
        <v>16</v>
      </c>
      <c r="G22" s="12">
        <f t="shared" si="11"/>
        <v>17</v>
      </c>
      <c r="H22" s="12">
        <f t="shared" si="6"/>
        <v>18</v>
      </c>
      <c r="I22" s="12">
        <f t="shared" si="6"/>
        <v>19</v>
      </c>
      <c r="K22" s="10"/>
      <c r="M22" s="19" t="s">
        <v>146</v>
      </c>
      <c r="N22" s="15">
        <f t="shared" si="3"/>
        <v>14</v>
      </c>
      <c r="O22" s="15">
        <f t="shared" si="22"/>
        <v>15</v>
      </c>
      <c r="P22" s="15">
        <f t="shared" si="20"/>
        <v>16</v>
      </c>
      <c r="Q22" s="15">
        <f t="shared" si="12"/>
        <v>17</v>
      </c>
      <c r="R22" s="12">
        <f t="shared" si="14"/>
        <v>18</v>
      </c>
      <c r="S22" s="12">
        <f t="shared" si="14"/>
        <v>19</v>
      </c>
      <c r="T22" s="12">
        <f t="shared" si="15"/>
        <v>20</v>
      </c>
      <c r="V22" s="10"/>
      <c r="W22" s="10"/>
      <c r="X22" s="19" t="s">
        <v>146</v>
      </c>
      <c r="Y22" s="18">
        <f t="shared" ref="Y22:Y28" si="24">AE21+1</f>
        <v>8</v>
      </c>
      <c r="Z22" s="15">
        <f t="shared" si="13"/>
        <v>9</v>
      </c>
      <c r="AA22" s="17">
        <f t="shared" si="13"/>
        <v>10</v>
      </c>
      <c r="AB22" s="15">
        <f t="shared" si="16"/>
        <v>11</v>
      </c>
      <c r="AC22" s="17">
        <f t="shared" si="18"/>
        <v>12</v>
      </c>
      <c r="AD22" s="17">
        <f t="shared" si="18"/>
        <v>13</v>
      </c>
      <c r="AE22" s="17">
        <f t="shared" si="23"/>
        <v>14</v>
      </c>
    </row>
    <row r="23" spans="2:32" ht="18" customHeight="1" x14ac:dyDescent="0.3">
      <c r="B23" s="19" t="s">
        <v>146</v>
      </c>
      <c r="C23" s="18">
        <f t="shared" si="17"/>
        <v>20</v>
      </c>
      <c r="D23" s="624">
        <f t="shared" si="21"/>
        <v>21</v>
      </c>
      <c r="E23" s="624">
        <f t="shared" si="21"/>
        <v>22</v>
      </c>
      <c r="F23" s="624">
        <f t="shared" si="19"/>
        <v>23</v>
      </c>
      <c r="G23" s="624">
        <f t="shared" si="11"/>
        <v>24</v>
      </c>
      <c r="H23" s="624">
        <f t="shared" si="6"/>
        <v>25</v>
      </c>
      <c r="I23" s="624">
        <f t="shared" si="6"/>
        <v>26</v>
      </c>
      <c r="K23" s="10"/>
      <c r="M23" s="19" t="s">
        <v>146</v>
      </c>
      <c r="N23" s="18">
        <f t="shared" si="3"/>
        <v>21</v>
      </c>
      <c r="O23" s="15">
        <f t="shared" si="22"/>
        <v>22</v>
      </c>
      <c r="P23" s="15">
        <f t="shared" si="20"/>
        <v>23</v>
      </c>
      <c r="Q23" s="15">
        <f t="shared" si="12"/>
        <v>24</v>
      </c>
      <c r="R23" s="15">
        <f t="shared" si="14"/>
        <v>25</v>
      </c>
      <c r="S23" s="15">
        <f t="shared" si="14"/>
        <v>26</v>
      </c>
      <c r="T23" s="15">
        <f t="shared" si="15"/>
        <v>27</v>
      </c>
      <c r="V23" s="10"/>
      <c r="W23" s="10"/>
      <c r="X23" s="19" t="s">
        <v>146</v>
      </c>
      <c r="Y23" s="15">
        <f t="shared" si="24"/>
        <v>15</v>
      </c>
      <c r="Z23" s="15">
        <f t="shared" si="13"/>
        <v>16</v>
      </c>
      <c r="AA23" s="17">
        <f t="shared" si="13"/>
        <v>17</v>
      </c>
      <c r="AB23" s="15">
        <f t="shared" si="16"/>
        <v>18</v>
      </c>
      <c r="AC23" s="12">
        <f t="shared" si="18"/>
        <v>19</v>
      </c>
      <c r="AD23" s="12">
        <f t="shared" si="18"/>
        <v>20</v>
      </c>
      <c r="AE23" s="11">
        <f t="shared" si="23"/>
        <v>21</v>
      </c>
    </row>
    <row r="24" spans="2:32" ht="18" customHeight="1" x14ac:dyDescent="0.3">
      <c r="B24" s="20" t="s">
        <v>433</v>
      </c>
      <c r="C24" s="669">
        <f t="shared" si="17"/>
        <v>27</v>
      </c>
      <c r="D24" s="624">
        <f t="shared" si="21"/>
        <v>28</v>
      </c>
      <c r="E24" s="12">
        <f t="shared" si="21"/>
        <v>29</v>
      </c>
      <c r="F24" s="12">
        <f t="shared" si="19"/>
        <v>30</v>
      </c>
      <c r="G24" s="12">
        <f t="shared" si="11"/>
        <v>31</v>
      </c>
      <c r="H24" s="12">
        <v>1</v>
      </c>
      <c r="I24" s="12">
        <f t="shared" ref="I24:I36" si="25">H24+1</f>
        <v>2</v>
      </c>
      <c r="K24" s="10" t="s">
        <v>423</v>
      </c>
      <c r="M24" s="20" t="s">
        <v>433</v>
      </c>
      <c r="N24" s="15">
        <f t="shared" si="3"/>
        <v>28</v>
      </c>
      <c r="O24" s="15">
        <f t="shared" si="22"/>
        <v>29</v>
      </c>
      <c r="P24" s="12">
        <f t="shared" si="20"/>
        <v>30</v>
      </c>
      <c r="Q24" s="12">
        <f t="shared" si="12"/>
        <v>31</v>
      </c>
      <c r="R24" s="12">
        <v>1</v>
      </c>
      <c r="S24" s="12">
        <f t="shared" ref="S24:S36" si="26">R24+1</f>
        <v>2</v>
      </c>
      <c r="T24" s="12">
        <f t="shared" si="15"/>
        <v>3</v>
      </c>
      <c r="V24" s="10" t="s">
        <v>423</v>
      </c>
      <c r="W24" s="10"/>
      <c r="X24" s="19" t="s">
        <v>146</v>
      </c>
      <c r="Y24" s="18">
        <f t="shared" si="24"/>
        <v>22</v>
      </c>
      <c r="Z24" s="17">
        <f t="shared" si="13"/>
        <v>23</v>
      </c>
      <c r="AA24" s="17">
        <f t="shared" si="13"/>
        <v>24</v>
      </c>
      <c r="AB24" s="17">
        <f t="shared" si="16"/>
        <v>25</v>
      </c>
      <c r="AC24" s="17">
        <f t="shared" si="18"/>
        <v>26</v>
      </c>
      <c r="AD24" s="17">
        <f t="shared" si="18"/>
        <v>27</v>
      </c>
      <c r="AE24" s="17">
        <f t="shared" si="23"/>
        <v>28</v>
      </c>
    </row>
    <row r="25" spans="2:32" ht="18" customHeight="1" x14ac:dyDescent="0.3">
      <c r="B25" s="19" t="s">
        <v>147</v>
      </c>
      <c r="C25" s="18">
        <f t="shared" si="17"/>
        <v>3</v>
      </c>
      <c r="D25" s="624">
        <f t="shared" si="21"/>
        <v>4</v>
      </c>
      <c r="E25" s="624">
        <f t="shared" si="21"/>
        <v>5</v>
      </c>
      <c r="F25" s="624">
        <f t="shared" si="19"/>
        <v>6</v>
      </c>
      <c r="G25" s="624">
        <f t="shared" si="11"/>
        <v>7</v>
      </c>
      <c r="H25" s="624">
        <f t="shared" ref="H25:H36" si="27">G25+1</f>
        <v>8</v>
      </c>
      <c r="I25" s="624">
        <f t="shared" si="25"/>
        <v>9</v>
      </c>
      <c r="K25" s="10"/>
      <c r="M25" s="19" t="s">
        <v>147</v>
      </c>
      <c r="N25" s="18">
        <f t="shared" si="3"/>
        <v>4</v>
      </c>
      <c r="O25" s="15">
        <f t="shared" si="22"/>
        <v>5</v>
      </c>
      <c r="P25" s="15">
        <f t="shared" si="20"/>
        <v>6</v>
      </c>
      <c r="Q25" s="15">
        <f t="shared" si="12"/>
        <v>7</v>
      </c>
      <c r="R25" s="15">
        <f t="shared" ref="R25:R55" si="28">Q25+1</f>
        <v>8</v>
      </c>
      <c r="S25" s="15">
        <f t="shared" si="26"/>
        <v>9</v>
      </c>
      <c r="T25" s="15">
        <f t="shared" si="15"/>
        <v>10</v>
      </c>
      <c r="V25" s="10"/>
      <c r="W25" s="10"/>
      <c r="X25" s="20" t="s">
        <v>433</v>
      </c>
      <c r="Y25" s="17">
        <f t="shared" si="24"/>
        <v>29</v>
      </c>
      <c r="Z25" s="15">
        <f t="shared" ref="Z25:Z33" si="29">Y25+1</f>
        <v>30</v>
      </c>
      <c r="AA25" s="12">
        <v>31</v>
      </c>
      <c r="AB25" s="12">
        <v>1</v>
      </c>
      <c r="AC25" s="12">
        <f t="shared" si="18"/>
        <v>2</v>
      </c>
      <c r="AD25" s="12">
        <f t="shared" si="18"/>
        <v>3</v>
      </c>
      <c r="AE25" s="11">
        <f t="shared" si="23"/>
        <v>4</v>
      </c>
      <c r="AF25" s="7" t="s">
        <v>423</v>
      </c>
    </row>
    <row r="26" spans="2:32" ht="18" customHeight="1" x14ac:dyDescent="0.3">
      <c r="B26" s="19" t="s">
        <v>147</v>
      </c>
      <c r="C26" s="624">
        <f t="shared" si="17"/>
        <v>10</v>
      </c>
      <c r="D26" s="624">
        <f t="shared" si="21"/>
        <v>11</v>
      </c>
      <c r="E26" s="624">
        <f t="shared" si="21"/>
        <v>12</v>
      </c>
      <c r="F26" s="624">
        <f t="shared" si="19"/>
        <v>13</v>
      </c>
      <c r="G26" s="12">
        <f t="shared" si="11"/>
        <v>14</v>
      </c>
      <c r="H26" s="12">
        <f t="shared" si="27"/>
        <v>15</v>
      </c>
      <c r="I26" s="12">
        <f t="shared" si="25"/>
        <v>16</v>
      </c>
      <c r="K26" s="10" t="s">
        <v>434</v>
      </c>
      <c r="M26" s="19" t="s">
        <v>147</v>
      </c>
      <c r="N26" s="15">
        <f t="shared" si="3"/>
        <v>11</v>
      </c>
      <c r="O26" s="15">
        <f t="shared" si="22"/>
        <v>12</v>
      </c>
      <c r="P26" s="15">
        <f t="shared" si="20"/>
        <v>13</v>
      </c>
      <c r="Q26" s="15">
        <f t="shared" si="12"/>
        <v>14</v>
      </c>
      <c r="R26" s="12">
        <f t="shared" si="28"/>
        <v>15</v>
      </c>
      <c r="S26" s="12">
        <f t="shared" si="26"/>
        <v>16</v>
      </c>
      <c r="T26" s="12">
        <f t="shared" si="15"/>
        <v>17</v>
      </c>
      <c r="V26" s="10" t="s">
        <v>434</v>
      </c>
      <c r="W26" s="10"/>
      <c r="X26" s="19" t="s">
        <v>147</v>
      </c>
      <c r="Y26" s="18">
        <f t="shared" si="24"/>
        <v>5</v>
      </c>
      <c r="Z26" s="15">
        <f t="shared" si="29"/>
        <v>6</v>
      </c>
      <c r="AA26" s="15">
        <f t="shared" ref="AA26:AB37" si="30">Z26+1</f>
        <v>7</v>
      </c>
      <c r="AB26" s="15">
        <f t="shared" si="30"/>
        <v>8</v>
      </c>
      <c r="AC26" s="17">
        <f t="shared" si="18"/>
        <v>9</v>
      </c>
      <c r="AD26" s="17">
        <f t="shared" si="18"/>
        <v>10</v>
      </c>
      <c r="AE26" s="17">
        <f t="shared" si="23"/>
        <v>11</v>
      </c>
    </row>
    <row r="27" spans="2:32" ht="18" customHeight="1" x14ac:dyDescent="0.3">
      <c r="B27" s="19" t="s">
        <v>147</v>
      </c>
      <c r="C27" s="18">
        <f t="shared" si="17"/>
        <v>17</v>
      </c>
      <c r="D27" s="624">
        <f t="shared" si="21"/>
        <v>18</v>
      </c>
      <c r="E27" s="624">
        <f t="shared" si="21"/>
        <v>19</v>
      </c>
      <c r="F27" s="624">
        <f t="shared" si="19"/>
        <v>20</v>
      </c>
      <c r="G27" s="624">
        <f t="shared" si="11"/>
        <v>21</v>
      </c>
      <c r="H27" s="624">
        <f t="shared" si="27"/>
        <v>22</v>
      </c>
      <c r="I27" s="624">
        <f t="shared" si="25"/>
        <v>23</v>
      </c>
      <c r="K27" s="10"/>
      <c r="M27" s="19" t="s">
        <v>147</v>
      </c>
      <c r="N27" s="18">
        <f t="shared" si="3"/>
        <v>18</v>
      </c>
      <c r="O27" s="15">
        <f t="shared" si="22"/>
        <v>19</v>
      </c>
      <c r="P27" s="15">
        <f t="shared" si="20"/>
        <v>20</v>
      </c>
      <c r="Q27" s="15">
        <f t="shared" si="12"/>
        <v>21</v>
      </c>
      <c r="R27" s="15">
        <f t="shared" si="28"/>
        <v>22</v>
      </c>
      <c r="S27" s="15">
        <f t="shared" si="26"/>
        <v>23</v>
      </c>
      <c r="T27" s="15">
        <f t="shared" si="15"/>
        <v>24</v>
      </c>
      <c r="V27" s="10"/>
      <c r="W27" s="10"/>
      <c r="X27" s="19" t="s">
        <v>147</v>
      </c>
      <c r="Y27" s="15">
        <f t="shared" si="24"/>
        <v>12</v>
      </c>
      <c r="Z27" s="15">
        <f t="shared" si="29"/>
        <v>13</v>
      </c>
      <c r="AA27" s="17">
        <f t="shared" si="30"/>
        <v>14</v>
      </c>
      <c r="AB27" s="15">
        <f t="shared" si="30"/>
        <v>15</v>
      </c>
      <c r="AC27" s="12">
        <f t="shared" si="18"/>
        <v>16</v>
      </c>
      <c r="AD27" s="12">
        <f t="shared" si="18"/>
        <v>17</v>
      </c>
      <c r="AE27" s="11">
        <f t="shared" si="23"/>
        <v>18</v>
      </c>
      <c r="AF27" s="7" t="s">
        <v>434</v>
      </c>
    </row>
    <row r="28" spans="2:32" ht="18" customHeight="1" x14ac:dyDescent="0.3">
      <c r="B28" s="19" t="s">
        <v>147</v>
      </c>
      <c r="C28" s="624">
        <f t="shared" si="17"/>
        <v>24</v>
      </c>
      <c r="D28" s="624">
        <f t="shared" si="21"/>
        <v>25</v>
      </c>
      <c r="E28" s="624">
        <f t="shared" si="21"/>
        <v>26</v>
      </c>
      <c r="F28" s="624">
        <f t="shared" si="19"/>
        <v>27</v>
      </c>
      <c r="G28" s="12">
        <f t="shared" si="11"/>
        <v>28</v>
      </c>
      <c r="H28" s="12">
        <f t="shared" si="27"/>
        <v>29</v>
      </c>
      <c r="I28" s="12">
        <f t="shared" si="25"/>
        <v>30</v>
      </c>
      <c r="M28" s="19" t="s">
        <v>147</v>
      </c>
      <c r="N28" s="15">
        <f t="shared" si="3"/>
        <v>25</v>
      </c>
      <c r="O28" s="15">
        <f t="shared" si="22"/>
        <v>26</v>
      </c>
      <c r="P28" s="15">
        <f t="shared" si="20"/>
        <v>27</v>
      </c>
      <c r="Q28" s="15">
        <f t="shared" si="12"/>
        <v>28</v>
      </c>
      <c r="R28" s="12">
        <f t="shared" si="28"/>
        <v>29</v>
      </c>
      <c r="S28" s="12">
        <f t="shared" si="26"/>
        <v>30</v>
      </c>
      <c r="T28" s="12">
        <v>1</v>
      </c>
      <c r="W28" s="10"/>
      <c r="X28" s="19" t="s">
        <v>147</v>
      </c>
      <c r="Y28" s="18">
        <f t="shared" si="24"/>
        <v>19</v>
      </c>
      <c r="Z28" s="15">
        <f t="shared" si="29"/>
        <v>20</v>
      </c>
      <c r="AA28" s="17">
        <f t="shared" si="30"/>
        <v>21</v>
      </c>
      <c r="AB28" s="15">
        <f t="shared" si="30"/>
        <v>22</v>
      </c>
      <c r="AC28" s="17">
        <f t="shared" si="18"/>
        <v>23</v>
      </c>
      <c r="AD28" s="17">
        <f t="shared" si="18"/>
        <v>24</v>
      </c>
      <c r="AE28" s="17">
        <f t="shared" si="23"/>
        <v>25</v>
      </c>
    </row>
    <row r="29" spans="2:32" ht="18" customHeight="1" x14ac:dyDescent="0.3">
      <c r="B29" s="20" t="s">
        <v>435</v>
      </c>
      <c r="C29" s="18">
        <v>1</v>
      </c>
      <c r="D29" s="624">
        <f t="shared" si="21"/>
        <v>2</v>
      </c>
      <c r="E29" s="624">
        <f t="shared" si="21"/>
        <v>3</v>
      </c>
      <c r="F29" s="624">
        <f t="shared" si="19"/>
        <v>4</v>
      </c>
      <c r="G29" s="624">
        <f t="shared" si="11"/>
        <v>5</v>
      </c>
      <c r="H29" s="624">
        <f t="shared" si="27"/>
        <v>6</v>
      </c>
      <c r="I29" s="624">
        <f t="shared" si="25"/>
        <v>7</v>
      </c>
      <c r="K29" s="10"/>
      <c r="M29" s="20" t="s">
        <v>435</v>
      </c>
      <c r="N29" s="18">
        <f t="shared" si="3"/>
        <v>2</v>
      </c>
      <c r="O29" s="15">
        <f t="shared" si="22"/>
        <v>3</v>
      </c>
      <c r="P29" s="15">
        <f t="shared" si="20"/>
        <v>4</v>
      </c>
      <c r="Q29" s="15">
        <f t="shared" si="12"/>
        <v>5</v>
      </c>
      <c r="R29" s="15">
        <f t="shared" si="28"/>
        <v>6</v>
      </c>
      <c r="S29" s="15">
        <f t="shared" si="26"/>
        <v>7</v>
      </c>
      <c r="T29" s="15">
        <f t="shared" ref="T29:T55" si="31">S29+1</f>
        <v>8</v>
      </c>
      <c r="V29" s="10"/>
      <c r="W29" s="10"/>
      <c r="X29" s="20" t="s">
        <v>435</v>
      </c>
      <c r="Y29" s="17">
        <v>26</v>
      </c>
      <c r="Z29" s="15">
        <f t="shared" si="29"/>
        <v>27</v>
      </c>
      <c r="AA29" s="17">
        <f t="shared" si="30"/>
        <v>28</v>
      </c>
      <c r="AB29" s="15">
        <f t="shared" si="30"/>
        <v>29</v>
      </c>
      <c r="AC29" s="12">
        <v>30</v>
      </c>
      <c r="AD29" s="12">
        <v>1</v>
      </c>
      <c r="AE29" s="11">
        <f t="shared" si="23"/>
        <v>2</v>
      </c>
    </row>
    <row r="30" spans="2:32" ht="18" customHeight="1" x14ac:dyDescent="0.3">
      <c r="B30" s="19" t="s">
        <v>148</v>
      </c>
      <c r="C30" s="624">
        <f t="shared" ref="C30:C41" si="32">I29+1</f>
        <v>8</v>
      </c>
      <c r="D30" s="624">
        <f t="shared" si="21"/>
        <v>9</v>
      </c>
      <c r="E30" s="624">
        <f t="shared" si="21"/>
        <v>10</v>
      </c>
      <c r="F30" s="624">
        <f t="shared" si="19"/>
        <v>11</v>
      </c>
      <c r="G30" s="12">
        <f t="shared" si="11"/>
        <v>12</v>
      </c>
      <c r="H30" s="12">
        <f t="shared" si="27"/>
        <v>13</v>
      </c>
      <c r="I30" s="12">
        <f t="shared" si="25"/>
        <v>14</v>
      </c>
      <c r="K30" s="10" t="s">
        <v>426</v>
      </c>
      <c r="M30" s="19" t="s">
        <v>148</v>
      </c>
      <c r="N30" s="15">
        <f t="shared" si="3"/>
        <v>9</v>
      </c>
      <c r="O30" s="15">
        <f t="shared" si="22"/>
        <v>10</v>
      </c>
      <c r="P30" s="15">
        <f t="shared" si="20"/>
        <v>11</v>
      </c>
      <c r="Q30" s="15">
        <f t="shared" si="12"/>
        <v>12</v>
      </c>
      <c r="R30" s="15">
        <f t="shared" si="28"/>
        <v>13</v>
      </c>
      <c r="S30" s="15">
        <f t="shared" si="26"/>
        <v>14</v>
      </c>
      <c r="T30" s="15">
        <f t="shared" si="31"/>
        <v>15</v>
      </c>
      <c r="V30" s="10" t="s">
        <v>426</v>
      </c>
      <c r="W30" s="10"/>
      <c r="X30" s="19" t="s">
        <v>148</v>
      </c>
      <c r="Y30" s="18">
        <f>AE29+1</f>
        <v>3</v>
      </c>
      <c r="Z30" s="15">
        <f t="shared" si="29"/>
        <v>4</v>
      </c>
      <c r="AA30" s="17">
        <f t="shared" si="30"/>
        <v>5</v>
      </c>
      <c r="AB30" s="15">
        <f t="shared" si="30"/>
        <v>6</v>
      </c>
      <c r="AC30" s="17">
        <f t="shared" ref="AC30:AD37" si="33">AB30+1</f>
        <v>7</v>
      </c>
      <c r="AD30" s="17">
        <f t="shared" si="33"/>
        <v>8</v>
      </c>
      <c r="AE30" s="17">
        <f t="shared" si="23"/>
        <v>9</v>
      </c>
    </row>
    <row r="31" spans="2:32" ht="18" customHeight="1" x14ac:dyDescent="0.3">
      <c r="B31" s="19" t="s">
        <v>148</v>
      </c>
      <c r="C31" s="12">
        <f t="shared" si="32"/>
        <v>15</v>
      </c>
      <c r="D31" s="12">
        <f t="shared" si="21"/>
        <v>16</v>
      </c>
      <c r="E31" s="12">
        <f t="shared" si="21"/>
        <v>17</v>
      </c>
      <c r="F31" s="12">
        <f t="shared" si="19"/>
        <v>18</v>
      </c>
      <c r="G31" s="18">
        <f t="shared" si="11"/>
        <v>19</v>
      </c>
      <c r="H31" s="625">
        <f t="shared" si="27"/>
        <v>20</v>
      </c>
      <c r="I31" s="625">
        <f t="shared" si="25"/>
        <v>21</v>
      </c>
      <c r="K31" s="10"/>
      <c r="M31" s="19" t="s">
        <v>148</v>
      </c>
      <c r="N31" s="15">
        <f t="shared" si="3"/>
        <v>16</v>
      </c>
      <c r="O31" s="15">
        <f t="shared" si="22"/>
        <v>17</v>
      </c>
      <c r="P31" s="15">
        <f t="shared" si="20"/>
        <v>18</v>
      </c>
      <c r="Q31" s="15">
        <f t="shared" si="12"/>
        <v>19</v>
      </c>
      <c r="R31" s="12">
        <f t="shared" si="28"/>
        <v>20</v>
      </c>
      <c r="S31" s="12">
        <f t="shared" si="26"/>
        <v>21</v>
      </c>
      <c r="T31" s="12">
        <f t="shared" si="31"/>
        <v>22</v>
      </c>
      <c r="V31" s="10"/>
      <c r="W31" s="10"/>
      <c r="X31" s="19" t="s">
        <v>148</v>
      </c>
      <c r="Y31" s="13">
        <f>AE30+1</f>
        <v>10</v>
      </c>
      <c r="Z31" s="15">
        <f t="shared" si="29"/>
        <v>11</v>
      </c>
      <c r="AA31" s="17">
        <f t="shared" si="30"/>
        <v>12</v>
      </c>
      <c r="AB31" s="15">
        <f t="shared" si="30"/>
        <v>13</v>
      </c>
      <c r="AC31" s="12">
        <f t="shared" si="33"/>
        <v>14</v>
      </c>
      <c r="AD31" s="12">
        <f t="shared" si="33"/>
        <v>15</v>
      </c>
      <c r="AE31" s="11">
        <f t="shared" si="23"/>
        <v>16</v>
      </c>
      <c r="AF31" s="7" t="s">
        <v>436</v>
      </c>
    </row>
    <row r="32" spans="2:32" ht="18" customHeight="1" x14ac:dyDescent="0.3">
      <c r="B32" s="19" t="s">
        <v>148</v>
      </c>
      <c r="C32" s="625">
        <f t="shared" si="32"/>
        <v>22</v>
      </c>
      <c r="D32" s="625">
        <f t="shared" si="21"/>
        <v>23</v>
      </c>
      <c r="E32" s="625">
        <f t="shared" si="21"/>
        <v>24</v>
      </c>
      <c r="F32" s="625">
        <f t="shared" si="19"/>
        <v>25</v>
      </c>
      <c r="G32" s="12">
        <f t="shared" si="11"/>
        <v>26</v>
      </c>
      <c r="H32" s="12">
        <f t="shared" si="27"/>
        <v>27</v>
      </c>
      <c r="I32" s="12">
        <f t="shared" si="25"/>
        <v>28</v>
      </c>
      <c r="K32" s="10"/>
      <c r="M32" s="19" t="s">
        <v>148</v>
      </c>
      <c r="N32" s="12">
        <f t="shared" si="3"/>
        <v>23</v>
      </c>
      <c r="O32" s="12">
        <f t="shared" si="22"/>
        <v>24</v>
      </c>
      <c r="P32" s="12">
        <f t="shared" si="20"/>
        <v>25</v>
      </c>
      <c r="Q32" s="12">
        <f t="shared" si="12"/>
        <v>26</v>
      </c>
      <c r="R32" s="18">
        <f t="shared" si="28"/>
        <v>27</v>
      </c>
      <c r="S32" s="15">
        <f t="shared" si="26"/>
        <v>28</v>
      </c>
      <c r="T32" s="15">
        <f t="shared" si="31"/>
        <v>29</v>
      </c>
      <c r="V32" s="10"/>
      <c r="W32" s="10"/>
      <c r="X32" s="19" t="s">
        <v>148</v>
      </c>
      <c r="Y32" s="12">
        <f>AE31+1</f>
        <v>17</v>
      </c>
      <c r="Z32" s="12">
        <f t="shared" si="29"/>
        <v>18</v>
      </c>
      <c r="AA32" s="12">
        <f t="shared" si="30"/>
        <v>19</v>
      </c>
      <c r="AB32" s="12">
        <f t="shared" si="30"/>
        <v>20</v>
      </c>
      <c r="AC32" s="18">
        <f t="shared" si="33"/>
        <v>21</v>
      </c>
      <c r="AD32" s="13">
        <f t="shared" si="33"/>
        <v>22</v>
      </c>
      <c r="AE32" s="16">
        <f t="shared" si="23"/>
        <v>23</v>
      </c>
    </row>
    <row r="33" spans="2:32" ht="18" customHeight="1" x14ac:dyDescent="0.3">
      <c r="B33" s="20" t="s">
        <v>437</v>
      </c>
      <c r="C33" s="12">
        <f t="shared" si="32"/>
        <v>29</v>
      </c>
      <c r="D33" s="12">
        <f t="shared" ref="D33:D41" si="34">C33+1</f>
        <v>30</v>
      </c>
      <c r="E33" s="12">
        <v>31</v>
      </c>
      <c r="F33" s="12">
        <v>1</v>
      </c>
      <c r="G33" s="12">
        <f t="shared" si="11"/>
        <v>2</v>
      </c>
      <c r="H33" s="12">
        <f t="shared" si="27"/>
        <v>3</v>
      </c>
      <c r="I33" s="12">
        <f t="shared" si="25"/>
        <v>4</v>
      </c>
      <c r="K33" s="10"/>
      <c r="M33" s="20" t="s">
        <v>437</v>
      </c>
      <c r="N33" s="15">
        <f t="shared" si="3"/>
        <v>30</v>
      </c>
      <c r="O33" s="15">
        <f t="shared" si="22"/>
        <v>31</v>
      </c>
      <c r="P33" s="15">
        <v>1</v>
      </c>
      <c r="Q33" s="15">
        <f t="shared" si="12"/>
        <v>2</v>
      </c>
      <c r="R33" s="15">
        <f t="shared" si="28"/>
        <v>3</v>
      </c>
      <c r="S33" s="15">
        <f t="shared" si="26"/>
        <v>4</v>
      </c>
      <c r="T33" s="15">
        <f t="shared" si="31"/>
        <v>5</v>
      </c>
      <c r="V33" s="10"/>
      <c r="W33" s="10"/>
      <c r="X33" s="19" t="s">
        <v>148</v>
      </c>
      <c r="Y33" s="13">
        <f>AE32+1</f>
        <v>24</v>
      </c>
      <c r="Z33" s="13">
        <f t="shared" si="29"/>
        <v>25</v>
      </c>
      <c r="AA33" s="13">
        <f t="shared" si="30"/>
        <v>26</v>
      </c>
      <c r="AB33" s="13">
        <f t="shared" si="30"/>
        <v>27</v>
      </c>
      <c r="AC33" s="12">
        <f t="shared" si="33"/>
        <v>28</v>
      </c>
      <c r="AD33" s="12">
        <f t="shared" si="33"/>
        <v>29</v>
      </c>
      <c r="AE33" s="12">
        <f t="shared" si="23"/>
        <v>30</v>
      </c>
    </row>
    <row r="34" spans="2:32" ht="18" customHeight="1" x14ac:dyDescent="0.3">
      <c r="B34" s="19" t="s">
        <v>149</v>
      </c>
      <c r="C34" s="12">
        <f t="shared" si="32"/>
        <v>5</v>
      </c>
      <c r="D34" s="12">
        <f t="shared" si="34"/>
        <v>6</v>
      </c>
      <c r="E34" s="12">
        <f t="shared" ref="E34:F45" si="35">D34+1</f>
        <v>7</v>
      </c>
      <c r="F34" s="12">
        <f t="shared" si="35"/>
        <v>8</v>
      </c>
      <c r="G34" s="18">
        <f t="shared" si="11"/>
        <v>9</v>
      </c>
      <c r="H34" s="625">
        <f t="shared" si="27"/>
        <v>10</v>
      </c>
      <c r="I34" s="625">
        <f t="shared" si="25"/>
        <v>11</v>
      </c>
      <c r="K34" s="10"/>
      <c r="M34" s="19" t="s">
        <v>149</v>
      </c>
      <c r="N34" s="15">
        <f t="shared" si="3"/>
        <v>6</v>
      </c>
      <c r="O34" s="15">
        <f t="shared" si="22"/>
        <v>7</v>
      </c>
      <c r="P34" s="15">
        <f t="shared" ref="P34:P55" si="36">O34+1</f>
        <v>8</v>
      </c>
      <c r="Q34" s="15">
        <f t="shared" si="12"/>
        <v>9</v>
      </c>
      <c r="R34" s="12">
        <f t="shared" si="28"/>
        <v>10</v>
      </c>
      <c r="S34" s="12">
        <f t="shared" si="26"/>
        <v>11</v>
      </c>
      <c r="T34" s="12">
        <f t="shared" si="31"/>
        <v>12</v>
      </c>
      <c r="V34" s="10"/>
      <c r="W34" s="10"/>
      <c r="X34" s="20" t="s">
        <v>149</v>
      </c>
      <c r="Y34" s="12">
        <v>31</v>
      </c>
      <c r="Z34" s="12">
        <v>1</v>
      </c>
      <c r="AA34" s="12">
        <f t="shared" si="30"/>
        <v>2</v>
      </c>
      <c r="AB34" s="12">
        <f t="shared" si="30"/>
        <v>3</v>
      </c>
      <c r="AC34" s="12">
        <f t="shared" si="33"/>
        <v>4</v>
      </c>
      <c r="AD34" s="12">
        <f t="shared" si="33"/>
        <v>5</v>
      </c>
      <c r="AE34" s="11">
        <f t="shared" si="23"/>
        <v>6</v>
      </c>
      <c r="AF34" s="17"/>
    </row>
    <row r="35" spans="2:32" ht="18" customHeight="1" x14ac:dyDescent="0.3">
      <c r="B35" s="19" t="s">
        <v>149</v>
      </c>
      <c r="C35" s="625">
        <f t="shared" si="32"/>
        <v>12</v>
      </c>
      <c r="D35" s="625">
        <f t="shared" si="34"/>
        <v>13</v>
      </c>
      <c r="E35" s="625">
        <f t="shared" si="35"/>
        <v>14</v>
      </c>
      <c r="F35" s="625">
        <f t="shared" si="35"/>
        <v>15</v>
      </c>
      <c r="G35" s="625">
        <f t="shared" si="11"/>
        <v>16</v>
      </c>
      <c r="H35" s="625">
        <f t="shared" si="27"/>
        <v>17</v>
      </c>
      <c r="I35" s="625">
        <f t="shared" si="25"/>
        <v>18</v>
      </c>
      <c r="K35" s="10"/>
      <c r="M35" s="19" t="s">
        <v>149</v>
      </c>
      <c r="N35" s="12">
        <f t="shared" si="3"/>
        <v>13</v>
      </c>
      <c r="O35" s="12">
        <f t="shared" si="22"/>
        <v>14</v>
      </c>
      <c r="P35" s="12">
        <f t="shared" si="36"/>
        <v>15</v>
      </c>
      <c r="Q35" s="12">
        <f t="shared" si="12"/>
        <v>16</v>
      </c>
      <c r="R35" s="12">
        <f t="shared" si="28"/>
        <v>17</v>
      </c>
      <c r="S35" s="12">
        <f t="shared" si="26"/>
        <v>18</v>
      </c>
      <c r="T35" s="12">
        <f t="shared" si="31"/>
        <v>19</v>
      </c>
      <c r="V35" s="10"/>
      <c r="W35" s="10"/>
      <c r="X35" s="19" t="s">
        <v>149</v>
      </c>
      <c r="Y35" s="12">
        <f t="shared" ref="Y35:Y55" si="37">AE34+1</f>
        <v>7</v>
      </c>
      <c r="Z35" s="12">
        <f t="shared" ref="Z35:Z46" si="38">Y35+1</f>
        <v>8</v>
      </c>
      <c r="AA35" s="12">
        <f t="shared" si="30"/>
        <v>9</v>
      </c>
      <c r="AB35" s="12">
        <f t="shared" si="30"/>
        <v>10</v>
      </c>
      <c r="AC35" s="18">
        <f t="shared" si="33"/>
        <v>11</v>
      </c>
      <c r="AD35" s="13">
        <f t="shared" si="33"/>
        <v>12</v>
      </c>
      <c r="AE35" s="13">
        <f t="shared" si="23"/>
        <v>13</v>
      </c>
      <c r="AF35" s="17"/>
    </row>
    <row r="36" spans="2:32" ht="18" customHeight="1" x14ac:dyDescent="0.3">
      <c r="B36" s="19" t="s">
        <v>149</v>
      </c>
      <c r="C36" s="625">
        <f t="shared" si="32"/>
        <v>19</v>
      </c>
      <c r="D36" s="625">
        <f t="shared" si="34"/>
        <v>20</v>
      </c>
      <c r="E36" s="625">
        <f t="shared" si="35"/>
        <v>21</v>
      </c>
      <c r="F36" s="625">
        <f t="shared" si="35"/>
        <v>22</v>
      </c>
      <c r="G36" s="12">
        <f t="shared" si="11"/>
        <v>23</v>
      </c>
      <c r="H36" s="12">
        <f t="shared" si="27"/>
        <v>24</v>
      </c>
      <c r="I36" s="12">
        <f t="shared" si="25"/>
        <v>25</v>
      </c>
      <c r="K36" s="22"/>
      <c r="M36" s="19" t="s">
        <v>149</v>
      </c>
      <c r="N36" s="12">
        <f t="shared" si="3"/>
        <v>20</v>
      </c>
      <c r="O36" s="12">
        <f t="shared" si="22"/>
        <v>21</v>
      </c>
      <c r="P36" s="12">
        <f t="shared" si="36"/>
        <v>22</v>
      </c>
      <c r="Q36" s="12">
        <f t="shared" si="12"/>
        <v>23</v>
      </c>
      <c r="R36" s="12">
        <f t="shared" si="28"/>
        <v>24</v>
      </c>
      <c r="S36" s="12">
        <f t="shared" si="26"/>
        <v>25</v>
      </c>
      <c r="T36" s="12">
        <f t="shared" si="31"/>
        <v>26</v>
      </c>
      <c r="V36" s="22"/>
      <c r="W36" s="10"/>
      <c r="X36" s="19" t="s">
        <v>149</v>
      </c>
      <c r="Y36" s="13">
        <f t="shared" si="37"/>
        <v>14</v>
      </c>
      <c r="Z36" s="13">
        <f t="shared" si="38"/>
        <v>15</v>
      </c>
      <c r="AA36" s="13">
        <f t="shared" si="30"/>
        <v>16</v>
      </c>
      <c r="AB36" s="13">
        <f t="shared" si="30"/>
        <v>17</v>
      </c>
      <c r="AC36" s="13">
        <f t="shared" si="33"/>
        <v>18</v>
      </c>
      <c r="AD36" s="13">
        <f t="shared" si="33"/>
        <v>19</v>
      </c>
      <c r="AE36" s="16">
        <f t="shared" si="23"/>
        <v>20</v>
      </c>
      <c r="AF36" s="17"/>
    </row>
    <row r="37" spans="2:32" ht="18" customHeight="1" x14ac:dyDescent="0.3">
      <c r="B37" s="21" t="s">
        <v>438</v>
      </c>
      <c r="C37" s="670">
        <f t="shared" si="32"/>
        <v>26</v>
      </c>
      <c r="D37" s="18">
        <f t="shared" si="34"/>
        <v>27</v>
      </c>
      <c r="E37" s="625">
        <f t="shared" si="35"/>
        <v>28</v>
      </c>
      <c r="F37" s="670">
        <f t="shared" si="35"/>
        <v>29</v>
      </c>
      <c r="G37" s="625">
        <f t="shared" si="11"/>
        <v>30</v>
      </c>
      <c r="H37" s="625">
        <v>31</v>
      </c>
      <c r="I37" s="625">
        <v>1</v>
      </c>
      <c r="K37" s="10" t="s">
        <v>439</v>
      </c>
      <c r="M37" s="21" t="s">
        <v>438</v>
      </c>
      <c r="N37" s="18">
        <f t="shared" si="3"/>
        <v>27</v>
      </c>
      <c r="O37" s="670">
        <f t="shared" si="22"/>
        <v>28</v>
      </c>
      <c r="P37" s="13">
        <f t="shared" si="36"/>
        <v>29</v>
      </c>
      <c r="Q37" s="13">
        <f t="shared" si="12"/>
        <v>30</v>
      </c>
      <c r="R37" s="13">
        <f t="shared" si="28"/>
        <v>31</v>
      </c>
      <c r="S37" s="13">
        <v>1</v>
      </c>
      <c r="T37" s="13">
        <f t="shared" si="31"/>
        <v>2</v>
      </c>
      <c r="V37" s="10" t="s">
        <v>440</v>
      </c>
      <c r="W37" s="10"/>
      <c r="X37" s="19" t="s">
        <v>149</v>
      </c>
      <c r="Y37" s="13">
        <f t="shared" si="37"/>
        <v>21</v>
      </c>
      <c r="Z37" s="13">
        <f t="shared" si="38"/>
        <v>22</v>
      </c>
      <c r="AA37" s="13">
        <f t="shared" si="30"/>
        <v>23</v>
      </c>
      <c r="AB37" s="15">
        <f t="shared" si="30"/>
        <v>24</v>
      </c>
      <c r="AC37" s="12">
        <f t="shared" si="33"/>
        <v>25</v>
      </c>
      <c r="AD37" s="12">
        <f t="shared" si="33"/>
        <v>26</v>
      </c>
      <c r="AE37" s="12">
        <f t="shared" si="23"/>
        <v>27</v>
      </c>
    </row>
    <row r="38" spans="2:32" ht="18" customHeight="1" x14ac:dyDescent="0.3">
      <c r="B38" s="19" t="s">
        <v>150</v>
      </c>
      <c r="C38" s="624">
        <f t="shared" si="32"/>
        <v>2</v>
      </c>
      <c r="D38" s="624">
        <f t="shared" si="34"/>
        <v>3</v>
      </c>
      <c r="E38" s="624">
        <f t="shared" si="35"/>
        <v>4</v>
      </c>
      <c r="F38" s="624">
        <f t="shared" si="35"/>
        <v>5</v>
      </c>
      <c r="G38" s="12">
        <f t="shared" si="11"/>
        <v>6</v>
      </c>
      <c r="H38" s="12">
        <f t="shared" ref="H38:I49" si="39">G38+1</f>
        <v>7</v>
      </c>
      <c r="I38" s="12">
        <f t="shared" si="39"/>
        <v>8</v>
      </c>
      <c r="M38" s="19" t="s">
        <v>150</v>
      </c>
      <c r="N38" s="15">
        <f t="shared" si="3"/>
        <v>3</v>
      </c>
      <c r="O38" s="15">
        <f t="shared" si="22"/>
        <v>4</v>
      </c>
      <c r="P38" s="15">
        <f t="shared" si="36"/>
        <v>5</v>
      </c>
      <c r="Q38" s="15">
        <f t="shared" si="12"/>
        <v>6</v>
      </c>
      <c r="R38" s="12">
        <f t="shared" si="28"/>
        <v>7</v>
      </c>
      <c r="S38" s="12">
        <f t="shared" ref="S38:S49" si="40">R38+1</f>
        <v>8</v>
      </c>
      <c r="T38" s="12">
        <f t="shared" si="31"/>
        <v>9</v>
      </c>
      <c r="W38" s="10"/>
      <c r="X38" s="21" t="s">
        <v>438</v>
      </c>
      <c r="Y38" s="12">
        <f t="shared" si="37"/>
        <v>28</v>
      </c>
      <c r="Z38" s="18">
        <f t="shared" si="38"/>
        <v>29</v>
      </c>
      <c r="AA38" s="13">
        <f t="shared" ref="AA38:AA46" si="41">Z38+1</f>
        <v>30</v>
      </c>
      <c r="AB38" s="15">
        <v>31</v>
      </c>
      <c r="AC38" s="17">
        <v>1</v>
      </c>
      <c r="AD38" s="17">
        <f>AC38+1</f>
        <v>2</v>
      </c>
      <c r="AE38" s="17">
        <f t="shared" si="23"/>
        <v>3</v>
      </c>
    </row>
    <row r="39" spans="2:32" ht="18" customHeight="1" x14ac:dyDescent="0.3">
      <c r="B39" s="19" t="s">
        <v>150</v>
      </c>
      <c r="C39" s="18">
        <f t="shared" si="32"/>
        <v>9</v>
      </c>
      <c r="D39" s="624">
        <f t="shared" si="34"/>
        <v>10</v>
      </c>
      <c r="E39" s="624">
        <f t="shared" si="35"/>
        <v>11</v>
      </c>
      <c r="F39" s="624">
        <f t="shared" si="35"/>
        <v>12</v>
      </c>
      <c r="G39" s="624">
        <f t="shared" si="11"/>
        <v>13</v>
      </c>
      <c r="H39" s="624">
        <f t="shared" si="39"/>
        <v>14</v>
      </c>
      <c r="I39" s="624">
        <f t="shared" si="39"/>
        <v>15</v>
      </c>
      <c r="K39" s="10"/>
      <c r="M39" s="19" t="s">
        <v>150</v>
      </c>
      <c r="N39" s="18">
        <f t="shared" si="3"/>
        <v>10</v>
      </c>
      <c r="O39" s="15">
        <f t="shared" si="22"/>
        <v>11</v>
      </c>
      <c r="P39" s="15">
        <f t="shared" si="36"/>
        <v>12</v>
      </c>
      <c r="Q39" s="15">
        <f t="shared" si="12"/>
        <v>13</v>
      </c>
      <c r="R39" s="15">
        <f t="shared" si="28"/>
        <v>14</v>
      </c>
      <c r="S39" s="15">
        <f t="shared" si="40"/>
        <v>15</v>
      </c>
      <c r="T39" s="15">
        <f t="shared" si="31"/>
        <v>16</v>
      </c>
      <c r="V39" s="10"/>
      <c r="W39" s="10"/>
      <c r="X39" s="19" t="s">
        <v>150</v>
      </c>
      <c r="Y39" s="15">
        <f t="shared" si="37"/>
        <v>4</v>
      </c>
      <c r="Z39" s="15">
        <f t="shared" si="38"/>
        <v>5</v>
      </c>
      <c r="AA39" s="13">
        <f t="shared" si="41"/>
        <v>6</v>
      </c>
      <c r="AB39" s="15">
        <f t="shared" ref="AB39:AC50" si="42">AA39+1</f>
        <v>7</v>
      </c>
      <c r="AC39" s="12">
        <f t="shared" si="42"/>
        <v>8</v>
      </c>
      <c r="AD39" s="12">
        <f>AC39+1</f>
        <v>9</v>
      </c>
      <c r="AE39" s="11">
        <f t="shared" si="23"/>
        <v>10</v>
      </c>
    </row>
    <row r="40" spans="2:32" ht="18" customHeight="1" x14ac:dyDescent="0.3">
      <c r="B40" s="19" t="s">
        <v>150</v>
      </c>
      <c r="C40" s="624">
        <f t="shared" si="32"/>
        <v>16</v>
      </c>
      <c r="D40" s="624">
        <f t="shared" si="34"/>
        <v>17</v>
      </c>
      <c r="E40" s="624">
        <f t="shared" si="35"/>
        <v>18</v>
      </c>
      <c r="F40" s="624">
        <f t="shared" si="35"/>
        <v>19</v>
      </c>
      <c r="G40" s="12">
        <f t="shared" si="11"/>
        <v>20</v>
      </c>
      <c r="H40" s="12">
        <f t="shared" si="39"/>
        <v>21</v>
      </c>
      <c r="I40" s="12">
        <f t="shared" si="39"/>
        <v>22</v>
      </c>
      <c r="K40" s="10"/>
      <c r="M40" s="19" t="s">
        <v>150</v>
      </c>
      <c r="N40" s="15">
        <f t="shared" si="3"/>
        <v>17</v>
      </c>
      <c r="O40" s="15">
        <f t="shared" si="22"/>
        <v>18</v>
      </c>
      <c r="P40" s="15">
        <f t="shared" si="36"/>
        <v>19</v>
      </c>
      <c r="Q40" s="15">
        <f t="shared" si="12"/>
        <v>20</v>
      </c>
      <c r="R40" s="12">
        <f t="shared" si="28"/>
        <v>21</v>
      </c>
      <c r="S40" s="12">
        <f t="shared" si="40"/>
        <v>22</v>
      </c>
      <c r="T40" s="12">
        <f t="shared" si="31"/>
        <v>23</v>
      </c>
      <c r="V40" s="10"/>
      <c r="W40" s="10"/>
      <c r="X40" s="19" t="s">
        <v>150</v>
      </c>
      <c r="Y40" s="18">
        <f t="shared" si="37"/>
        <v>11</v>
      </c>
      <c r="Z40" s="15">
        <f t="shared" si="38"/>
        <v>12</v>
      </c>
      <c r="AA40" s="17">
        <f t="shared" si="41"/>
        <v>13</v>
      </c>
      <c r="AB40" s="15">
        <f t="shared" si="42"/>
        <v>14</v>
      </c>
      <c r="AC40" s="17">
        <f t="shared" si="42"/>
        <v>15</v>
      </c>
      <c r="AD40" s="17">
        <f>AC40+1</f>
        <v>16</v>
      </c>
      <c r="AE40" s="17">
        <f t="shared" si="23"/>
        <v>17</v>
      </c>
    </row>
    <row r="41" spans="2:32" ht="18" customHeight="1" x14ac:dyDescent="0.3">
      <c r="B41" s="19" t="s">
        <v>150</v>
      </c>
      <c r="C41" s="18">
        <f t="shared" si="32"/>
        <v>23</v>
      </c>
      <c r="D41" s="624">
        <f t="shared" si="34"/>
        <v>24</v>
      </c>
      <c r="E41" s="624">
        <f t="shared" si="35"/>
        <v>25</v>
      </c>
      <c r="F41" s="624">
        <f t="shared" si="35"/>
        <v>26</v>
      </c>
      <c r="G41" s="624">
        <f t="shared" si="11"/>
        <v>27</v>
      </c>
      <c r="H41" s="624">
        <f t="shared" si="39"/>
        <v>28</v>
      </c>
      <c r="I41" s="624">
        <f t="shared" si="39"/>
        <v>29</v>
      </c>
      <c r="K41" s="10"/>
      <c r="M41" s="19" t="s">
        <v>150</v>
      </c>
      <c r="N41" s="18">
        <f t="shared" si="3"/>
        <v>24</v>
      </c>
      <c r="O41" s="15">
        <f t="shared" si="22"/>
        <v>25</v>
      </c>
      <c r="P41" s="15">
        <f t="shared" si="36"/>
        <v>26</v>
      </c>
      <c r="Q41" s="15">
        <f t="shared" si="12"/>
        <v>27</v>
      </c>
      <c r="R41" s="15">
        <f t="shared" si="28"/>
        <v>28</v>
      </c>
      <c r="S41" s="15">
        <f t="shared" si="40"/>
        <v>29</v>
      </c>
      <c r="T41" s="15">
        <f t="shared" si="31"/>
        <v>30</v>
      </c>
      <c r="V41" s="10"/>
      <c r="W41" s="10"/>
      <c r="X41" s="19" t="s">
        <v>150</v>
      </c>
      <c r="Y41" s="15">
        <f t="shared" si="37"/>
        <v>18</v>
      </c>
      <c r="Z41" s="15">
        <f t="shared" si="38"/>
        <v>19</v>
      </c>
      <c r="AA41" s="13">
        <f t="shared" si="41"/>
        <v>20</v>
      </c>
      <c r="AB41" s="15">
        <f t="shared" si="42"/>
        <v>21</v>
      </c>
      <c r="AC41" s="12">
        <f t="shared" si="42"/>
        <v>22</v>
      </c>
      <c r="AD41" s="12">
        <f>AC41+1</f>
        <v>23</v>
      </c>
      <c r="AE41" s="11">
        <f t="shared" si="23"/>
        <v>24</v>
      </c>
    </row>
    <row r="42" spans="2:32" ht="18" customHeight="1" x14ac:dyDescent="0.3">
      <c r="B42" s="20" t="s">
        <v>151</v>
      </c>
      <c r="C42" s="624">
        <v>30</v>
      </c>
      <c r="D42" s="624">
        <v>1</v>
      </c>
      <c r="E42" s="624">
        <f t="shared" si="35"/>
        <v>2</v>
      </c>
      <c r="F42" s="624">
        <f t="shared" si="35"/>
        <v>3</v>
      </c>
      <c r="G42" s="12">
        <f t="shared" si="11"/>
        <v>4</v>
      </c>
      <c r="H42" s="12">
        <f t="shared" si="39"/>
        <v>5</v>
      </c>
      <c r="I42" s="12">
        <f t="shared" si="39"/>
        <v>6</v>
      </c>
      <c r="K42" s="10"/>
      <c r="M42" s="20" t="s">
        <v>151</v>
      </c>
      <c r="N42" s="15">
        <v>1</v>
      </c>
      <c r="O42" s="15">
        <f t="shared" si="22"/>
        <v>2</v>
      </c>
      <c r="P42" s="15">
        <f t="shared" si="36"/>
        <v>3</v>
      </c>
      <c r="Q42" s="15">
        <f t="shared" si="12"/>
        <v>4</v>
      </c>
      <c r="R42" s="12">
        <f t="shared" si="28"/>
        <v>5</v>
      </c>
      <c r="S42" s="12">
        <f t="shared" si="40"/>
        <v>6</v>
      </c>
      <c r="T42" s="12">
        <f t="shared" si="31"/>
        <v>7</v>
      </c>
      <c r="V42" s="10"/>
      <c r="W42" s="10"/>
      <c r="X42" s="20" t="s">
        <v>441</v>
      </c>
      <c r="Y42" s="18">
        <f t="shared" si="37"/>
        <v>25</v>
      </c>
      <c r="Z42" s="15">
        <f t="shared" si="38"/>
        <v>26</v>
      </c>
      <c r="AA42" s="15">
        <f t="shared" si="41"/>
        <v>27</v>
      </c>
      <c r="AB42" s="15">
        <f t="shared" si="42"/>
        <v>28</v>
      </c>
      <c r="AC42" s="17">
        <f t="shared" si="42"/>
        <v>29</v>
      </c>
      <c r="AD42" s="17">
        <v>30</v>
      </c>
      <c r="AE42" s="17">
        <v>1</v>
      </c>
    </row>
    <row r="43" spans="2:32" ht="18" customHeight="1" x14ac:dyDescent="0.3">
      <c r="B43" s="19" t="s">
        <v>151</v>
      </c>
      <c r="C43" s="18">
        <f t="shared" ref="C43:C55" si="43">I42+1</f>
        <v>7</v>
      </c>
      <c r="D43" s="624">
        <f t="shared" ref="D43:D54" si="44">C43+1</f>
        <v>8</v>
      </c>
      <c r="E43" s="624">
        <f t="shared" si="35"/>
        <v>9</v>
      </c>
      <c r="F43" s="624">
        <f t="shared" si="35"/>
        <v>10</v>
      </c>
      <c r="G43" s="624">
        <f t="shared" si="11"/>
        <v>11</v>
      </c>
      <c r="H43" s="624">
        <f t="shared" si="39"/>
        <v>12</v>
      </c>
      <c r="I43" s="624">
        <f t="shared" si="39"/>
        <v>13</v>
      </c>
      <c r="K43" s="10"/>
      <c r="M43" s="19" t="s">
        <v>151</v>
      </c>
      <c r="N43" s="18">
        <f t="shared" ref="N43:N55" si="45">T42+1</f>
        <v>8</v>
      </c>
      <c r="O43" s="15">
        <f t="shared" si="22"/>
        <v>9</v>
      </c>
      <c r="P43" s="15">
        <f t="shared" si="36"/>
        <v>10</v>
      </c>
      <c r="Q43" s="15">
        <f t="shared" si="12"/>
        <v>11</v>
      </c>
      <c r="R43" s="15">
        <f t="shared" si="28"/>
        <v>12</v>
      </c>
      <c r="S43" s="15">
        <f t="shared" si="40"/>
        <v>13</v>
      </c>
      <c r="T43" s="15">
        <f t="shared" si="31"/>
        <v>14</v>
      </c>
      <c r="V43" s="10"/>
      <c r="W43" s="10"/>
      <c r="X43" s="19" t="s">
        <v>151</v>
      </c>
      <c r="Y43" s="15">
        <f t="shared" si="37"/>
        <v>2</v>
      </c>
      <c r="Z43" s="15">
        <f t="shared" si="38"/>
        <v>3</v>
      </c>
      <c r="AA43" s="13">
        <f t="shared" si="41"/>
        <v>4</v>
      </c>
      <c r="AB43" s="15">
        <f t="shared" si="42"/>
        <v>5</v>
      </c>
      <c r="AC43" s="12">
        <f t="shared" si="42"/>
        <v>6</v>
      </c>
      <c r="AD43" s="12">
        <f t="shared" ref="AD43:AE54" si="46">AC43+1</f>
        <v>7</v>
      </c>
      <c r="AE43" s="11">
        <f t="shared" si="46"/>
        <v>8</v>
      </c>
    </row>
    <row r="44" spans="2:32" ht="18" customHeight="1" x14ac:dyDescent="0.3">
      <c r="B44" s="19" t="s">
        <v>151</v>
      </c>
      <c r="C44" s="624">
        <f t="shared" si="43"/>
        <v>14</v>
      </c>
      <c r="D44" s="624">
        <f t="shared" si="44"/>
        <v>15</v>
      </c>
      <c r="E44" s="12">
        <f t="shared" si="35"/>
        <v>16</v>
      </c>
      <c r="F44" s="12">
        <f t="shared" si="35"/>
        <v>17</v>
      </c>
      <c r="G44" s="12">
        <f t="shared" si="11"/>
        <v>18</v>
      </c>
      <c r="H44" s="12">
        <f t="shared" si="39"/>
        <v>19</v>
      </c>
      <c r="I44" s="12">
        <f t="shared" si="39"/>
        <v>20</v>
      </c>
      <c r="K44" s="10" t="s">
        <v>423</v>
      </c>
      <c r="M44" s="19" t="s">
        <v>151</v>
      </c>
      <c r="N44" s="15">
        <f t="shared" si="45"/>
        <v>15</v>
      </c>
      <c r="O44" s="15">
        <f t="shared" si="22"/>
        <v>16</v>
      </c>
      <c r="P44" s="12">
        <f t="shared" si="36"/>
        <v>17</v>
      </c>
      <c r="Q44" s="12">
        <f t="shared" si="12"/>
        <v>18</v>
      </c>
      <c r="R44" s="12">
        <f t="shared" si="28"/>
        <v>19</v>
      </c>
      <c r="S44" s="12">
        <f t="shared" si="40"/>
        <v>20</v>
      </c>
      <c r="T44" s="12">
        <f t="shared" si="31"/>
        <v>21</v>
      </c>
      <c r="V44" s="10" t="s">
        <v>423</v>
      </c>
      <c r="W44" s="10"/>
      <c r="X44" s="19" t="s">
        <v>151</v>
      </c>
      <c r="Y44" s="18">
        <f t="shared" si="37"/>
        <v>9</v>
      </c>
      <c r="Z44" s="15">
        <f t="shared" si="38"/>
        <v>10</v>
      </c>
      <c r="AA44" s="17">
        <f t="shared" si="41"/>
        <v>11</v>
      </c>
      <c r="AB44" s="15">
        <f t="shared" si="42"/>
        <v>12</v>
      </c>
      <c r="AC44" s="17">
        <f t="shared" si="42"/>
        <v>13</v>
      </c>
      <c r="AD44" s="17">
        <f t="shared" si="46"/>
        <v>14</v>
      </c>
      <c r="AE44" s="17">
        <f t="shared" si="46"/>
        <v>15</v>
      </c>
    </row>
    <row r="45" spans="2:32" ht="18" customHeight="1" x14ac:dyDescent="0.3">
      <c r="B45" s="19" t="s">
        <v>151</v>
      </c>
      <c r="C45" s="18">
        <f t="shared" si="43"/>
        <v>21</v>
      </c>
      <c r="D45" s="624">
        <f t="shared" si="44"/>
        <v>22</v>
      </c>
      <c r="E45" s="624">
        <f t="shared" si="35"/>
        <v>23</v>
      </c>
      <c r="F45" s="624">
        <f t="shared" si="35"/>
        <v>24</v>
      </c>
      <c r="G45" s="624">
        <f t="shared" si="11"/>
        <v>25</v>
      </c>
      <c r="H45" s="624">
        <f t="shared" si="39"/>
        <v>26</v>
      </c>
      <c r="I45" s="624">
        <f t="shared" si="39"/>
        <v>27</v>
      </c>
      <c r="K45" s="10"/>
      <c r="M45" s="19" t="s">
        <v>151</v>
      </c>
      <c r="N45" s="18">
        <f t="shared" si="45"/>
        <v>22</v>
      </c>
      <c r="O45" s="15">
        <f t="shared" si="22"/>
        <v>23</v>
      </c>
      <c r="P45" s="15">
        <f t="shared" si="36"/>
        <v>24</v>
      </c>
      <c r="Q45" s="15">
        <f t="shared" si="12"/>
        <v>25</v>
      </c>
      <c r="R45" s="15">
        <f t="shared" si="28"/>
        <v>26</v>
      </c>
      <c r="S45" s="15">
        <f t="shared" si="40"/>
        <v>27</v>
      </c>
      <c r="T45" s="15">
        <f t="shared" si="31"/>
        <v>28</v>
      </c>
      <c r="V45" s="10"/>
      <c r="W45" s="10"/>
      <c r="X45" s="19" t="s">
        <v>151</v>
      </c>
      <c r="Y45" s="17">
        <f t="shared" si="37"/>
        <v>16</v>
      </c>
      <c r="Z45" s="15">
        <f t="shared" si="38"/>
        <v>17</v>
      </c>
      <c r="AA45" s="12">
        <f t="shared" si="41"/>
        <v>18</v>
      </c>
      <c r="AB45" s="12">
        <f t="shared" si="42"/>
        <v>19</v>
      </c>
      <c r="AC45" s="12">
        <f t="shared" si="42"/>
        <v>20</v>
      </c>
      <c r="AD45" s="12">
        <f t="shared" si="46"/>
        <v>21</v>
      </c>
      <c r="AE45" s="11">
        <f t="shared" si="46"/>
        <v>22</v>
      </c>
      <c r="AF45" s="7" t="s">
        <v>423</v>
      </c>
    </row>
    <row r="46" spans="2:32" ht="18" customHeight="1" x14ac:dyDescent="0.3">
      <c r="B46" s="20" t="s">
        <v>442</v>
      </c>
      <c r="C46" s="624">
        <f t="shared" si="43"/>
        <v>28</v>
      </c>
      <c r="D46" s="624">
        <f t="shared" si="44"/>
        <v>29</v>
      </c>
      <c r="E46" s="624">
        <f t="shared" ref="E46:E54" si="47">D46+1</f>
        <v>30</v>
      </c>
      <c r="F46" s="624">
        <v>31</v>
      </c>
      <c r="G46" s="12">
        <v>1</v>
      </c>
      <c r="H46" s="12">
        <f t="shared" si="39"/>
        <v>2</v>
      </c>
      <c r="I46" s="12">
        <f t="shared" si="39"/>
        <v>3</v>
      </c>
      <c r="K46" s="10"/>
      <c r="M46" s="20" t="s">
        <v>442</v>
      </c>
      <c r="N46" s="15">
        <f t="shared" si="45"/>
        <v>29</v>
      </c>
      <c r="O46" s="15">
        <f t="shared" si="22"/>
        <v>30</v>
      </c>
      <c r="P46" s="15">
        <f t="shared" si="36"/>
        <v>31</v>
      </c>
      <c r="Q46" s="15">
        <v>1</v>
      </c>
      <c r="R46" s="12">
        <f t="shared" si="28"/>
        <v>2</v>
      </c>
      <c r="S46" s="12">
        <f t="shared" si="40"/>
        <v>3</v>
      </c>
      <c r="T46" s="12">
        <f t="shared" si="31"/>
        <v>4</v>
      </c>
      <c r="V46" s="10"/>
      <c r="W46" s="10"/>
      <c r="X46" s="20" t="s">
        <v>442</v>
      </c>
      <c r="Y46" s="18">
        <f t="shared" si="37"/>
        <v>23</v>
      </c>
      <c r="Z46" s="17">
        <f t="shared" si="38"/>
        <v>24</v>
      </c>
      <c r="AA46" s="17">
        <f t="shared" si="41"/>
        <v>25</v>
      </c>
      <c r="AB46" s="15">
        <f t="shared" si="42"/>
        <v>26</v>
      </c>
      <c r="AC46" s="17">
        <f t="shared" si="42"/>
        <v>27</v>
      </c>
      <c r="AD46" s="17">
        <f t="shared" si="46"/>
        <v>28</v>
      </c>
      <c r="AE46" s="17">
        <f t="shared" si="46"/>
        <v>29</v>
      </c>
    </row>
    <row r="47" spans="2:32" ht="18" customHeight="1" x14ac:dyDescent="0.3">
      <c r="B47" s="19" t="s">
        <v>152</v>
      </c>
      <c r="C47" s="18">
        <f t="shared" si="43"/>
        <v>4</v>
      </c>
      <c r="D47" s="624">
        <f t="shared" si="44"/>
        <v>5</v>
      </c>
      <c r="E47" s="624">
        <f t="shared" si="47"/>
        <v>6</v>
      </c>
      <c r="F47" s="624">
        <f t="shared" ref="F47:G55" si="48">E47+1</f>
        <v>7</v>
      </c>
      <c r="G47" s="624">
        <f t="shared" si="48"/>
        <v>8</v>
      </c>
      <c r="H47" s="624">
        <f t="shared" si="39"/>
        <v>9</v>
      </c>
      <c r="I47" s="624">
        <f t="shared" si="39"/>
        <v>10</v>
      </c>
      <c r="K47" s="10"/>
      <c r="M47" s="19" t="s">
        <v>152</v>
      </c>
      <c r="N47" s="18">
        <f t="shared" si="45"/>
        <v>5</v>
      </c>
      <c r="O47" s="15">
        <f t="shared" si="22"/>
        <v>6</v>
      </c>
      <c r="P47" s="15">
        <f t="shared" si="36"/>
        <v>7</v>
      </c>
      <c r="Q47" s="15">
        <f t="shared" ref="Q47:Q55" si="49">P47+1</f>
        <v>8</v>
      </c>
      <c r="R47" s="15">
        <f t="shared" si="28"/>
        <v>9</v>
      </c>
      <c r="S47" s="15">
        <f t="shared" si="40"/>
        <v>10</v>
      </c>
      <c r="T47" s="15">
        <f t="shared" si="31"/>
        <v>11</v>
      </c>
      <c r="V47" s="10"/>
      <c r="W47" s="10"/>
      <c r="X47" s="19" t="s">
        <v>152</v>
      </c>
      <c r="Y47" s="17">
        <f t="shared" si="37"/>
        <v>30</v>
      </c>
      <c r="Z47" s="17">
        <v>31</v>
      </c>
      <c r="AA47" s="17">
        <v>1</v>
      </c>
      <c r="AB47" s="15">
        <f t="shared" si="42"/>
        <v>2</v>
      </c>
      <c r="AC47" s="12">
        <f t="shared" si="42"/>
        <v>3</v>
      </c>
      <c r="AD47" s="12">
        <f t="shared" si="46"/>
        <v>4</v>
      </c>
      <c r="AE47" s="11">
        <f t="shared" si="46"/>
        <v>5</v>
      </c>
    </row>
    <row r="48" spans="2:32" ht="18" customHeight="1" x14ac:dyDescent="0.3">
      <c r="B48" s="19" t="s">
        <v>152</v>
      </c>
      <c r="C48" s="624">
        <f t="shared" si="43"/>
        <v>11</v>
      </c>
      <c r="D48" s="624">
        <f t="shared" si="44"/>
        <v>12</v>
      </c>
      <c r="E48" s="624">
        <f t="shared" si="47"/>
        <v>13</v>
      </c>
      <c r="F48" s="624">
        <f t="shared" si="48"/>
        <v>14</v>
      </c>
      <c r="G48" s="12">
        <f t="shared" si="48"/>
        <v>15</v>
      </c>
      <c r="H48" s="12">
        <f t="shared" si="39"/>
        <v>16</v>
      </c>
      <c r="I48" s="12">
        <f t="shared" si="39"/>
        <v>17</v>
      </c>
      <c r="K48" s="10"/>
      <c r="M48" s="19" t="s">
        <v>152</v>
      </c>
      <c r="N48" s="15">
        <f t="shared" si="45"/>
        <v>12</v>
      </c>
      <c r="O48" s="15">
        <f t="shared" si="22"/>
        <v>13</v>
      </c>
      <c r="P48" s="15">
        <f t="shared" si="36"/>
        <v>14</v>
      </c>
      <c r="Q48" s="15">
        <f t="shared" si="49"/>
        <v>15</v>
      </c>
      <c r="R48" s="12">
        <f t="shared" si="28"/>
        <v>16</v>
      </c>
      <c r="S48" s="12">
        <f t="shared" si="40"/>
        <v>17</v>
      </c>
      <c r="T48" s="12">
        <f t="shared" si="31"/>
        <v>18</v>
      </c>
      <c r="V48" s="10"/>
      <c r="W48" s="10"/>
      <c r="X48" s="19" t="s">
        <v>152</v>
      </c>
      <c r="Y48" s="18">
        <f t="shared" si="37"/>
        <v>6</v>
      </c>
      <c r="Z48" s="15">
        <f t="shared" ref="Z48:AA55" si="50">Y48+1</f>
        <v>7</v>
      </c>
      <c r="AA48" s="17">
        <f t="shared" si="50"/>
        <v>8</v>
      </c>
      <c r="AB48" s="15">
        <f t="shared" si="42"/>
        <v>9</v>
      </c>
      <c r="AC48" s="17">
        <f t="shared" si="42"/>
        <v>10</v>
      </c>
      <c r="AD48" s="17">
        <f t="shared" si="46"/>
        <v>11</v>
      </c>
      <c r="AE48" s="17">
        <f t="shared" si="46"/>
        <v>12</v>
      </c>
    </row>
    <row r="49" spans="2:32" ht="18" customHeight="1" x14ac:dyDescent="0.3">
      <c r="B49" s="19" t="s">
        <v>152</v>
      </c>
      <c r="C49" s="18">
        <f t="shared" si="43"/>
        <v>18</v>
      </c>
      <c r="D49" s="624">
        <f t="shared" si="44"/>
        <v>19</v>
      </c>
      <c r="E49" s="624">
        <f t="shared" si="47"/>
        <v>20</v>
      </c>
      <c r="F49" s="624">
        <f t="shared" si="48"/>
        <v>21</v>
      </c>
      <c r="G49" s="624">
        <f t="shared" si="48"/>
        <v>22</v>
      </c>
      <c r="H49" s="624">
        <f t="shared" si="39"/>
        <v>23</v>
      </c>
      <c r="I49" s="624">
        <f t="shared" si="39"/>
        <v>24</v>
      </c>
      <c r="K49" s="10"/>
      <c r="M49" s="19" t="s">
        <v>152</v>
      </c>
      <c r="N49" s="18">
        <f t="shared" si="45"/>
        <v>19</v>
      </c>
      <c r="O49" s="15">
        <f t="shared" si="22"/>
        <v>20</v>
      </c>
      <c r="P49" s="15">
        <f t="shared" si="36"/>
        <v>21</v>
      </c>
      <c r="Q49" s="15">
        <f t="shared" si="49"/>
        <v>22</v>
      </c>
      <c r="R49" s="15">
        <f t="shared" si="28"/>
        <v>23</v>
      </c>
      <c r="S49" s="15">
        <f t="shared" si="40"/>
        <v>24</v>
      </c>
      <c r="T49" s="15">
        <f t="shared" si="31"/>
        <v>25</v>
      </c>
      <c r="V49" s="10"/>
      <c r="W49" s="10"/>
      <c r="X49" s="19" t="s">
        <v>152</v>
      </c>
      <c r="Y49" s="15">
        <f t="shared" si="37"/>
        <v>13</v>
      </c>
      <c r="Z49" s="15">
        <f t="shared" si="50"/>
        <v>14</v>
      </c>
      <c r="AA49" s="15">
        <f t="shared" si="50"/>
        <v>15</v>
      </c>
      <c r="AB49" s="15">
        <f t="shared" si="42"/>
        <v>16</v>
      </c>
      <c r="AC49" s="12">
        <f t="shared" si="42"/>
        <v>17</v>
      </c>
      <c r="AD49" s="12">
        <f t="shared" si="46"/>
        <v>18</v>
      </c>
      <c r="AE49" s="11">
        <f t="shared" si="46"/>
        <v>19</v>
      </c>
    </row>
    <row r="50" spans="2:32" ht="18" customHeight="1" x14ac:dyDescent="0.3">
      <c r="B50" s="20" t="s">
        <v>443</v>
      </c>
      <c r="C50" s="624">
        <f t="shared" si="43"/>
        <v>25</v>
      </c>
      <c r="D50" s="624">
        <f t="shared" si="44"/>
        <v>26</v>
      </c>
      <c r="E50" s="624">
        <f t="shared" si="47"/>
        <v>27</v>
      </c>
      <c r="F50" s="624">
        <f t="shared" si="48"/>
        <v>28</v>
      </c>
      <c r="G50" s="12">
        <f t="shared" si="48"/>
        <v>29</v>
      </c>
      <c r="H50" s="12">
        <v>30</v>
      </c>
      <c r="I50" s="12">
        <v>1</v>
      </c>
      <c r="K50" s="10"/>
      <c r="M50" s="20" t="s">
        <v>443</v>
      </c>
      <c r="N50" s="15">
        <f t="shared" si="45"/>
        <v>26</v>
      </c>
      <c r="O50" s="15">
        <f t="shared" si="22"/>
        <v>27</v>
      </c>
      <c r="P50" s="15">
        <f t="shared" si="36"/>
        <v>28</v>
      </c>
      <c r="Q50" s="15">
        <f t="shared" si="49"/>
        <v>29</v>
      </c>
      <c r="R50" s="12">
        <f t="shared" si="28"/>
        <v>30</v>
      </c>
      <c r="S50" s="12">
        <v>1</v>
      </c>
      <c r="T50" s="12">
        <f t="shared" si="31"/>
        <v>2</v>
      </c>
      <c r="V50" s="10"/>
      <c r="W50" s="10"/>
      <c r="X50" s="19" t="s">
        <v>152</v>
      </c>
      <c r="Y50" s="18">
        <f t="shared" si="37"/>
        <v>20</v>
      </c>
      <c r="Z50" s="15">
        <f t="shared" si="50"/>
        <v>21</v>
      </c>
      <c r="AA50" s="17">
        <f t="shared" si="50"/>
        <v>22</v>
      </c>
      <c r="AB50" s="15">
        <f t="shared" si="42"/>
        <v>23</v>
      </c>
      <c r="AC50" s="17">
        <f t="shared" si="42"/>
        <v>24</v>
      </c>
      <c r="AD50" s="17">
        <f t="shared" si="46"/>
        <v>25</v>
      </c>
      <c r="AE50" s="17">
        <f t="shared" si="46"/>
        <v>26</v>
      </c>
    </row>
    <row r="51" spans="2:32" ht="18" customHeight="1" x14ac:dyDescent="0.3">
      <c r="B51" s="19" t="s">
        <v>153</v>
      </c>
      <c r="C51" s="18">
        <f t="shared" si="43"/>
        <v>2</v>
      </c>
      <c r="D51" s="624">
        <f t="shared" si="44"/>
        <v>3</v>
      </c>
      <c r="E51" s="624">
        <f t="shared" si="47"/>
        <v>4</v>
      </c>
      <c r="F51" s="624">
        <f t="shared" si="48"/>
        <v>5</v>
      </c>
      <c r="G51" s="624">
        <f t="shared" si="48"/>
        <v>6</v>
      </c>
      <c r="H51" s="624">
        <f t="shared" ref="H51:I55" si="51">G51+1</f>
        <v>7</v>
      </c>
      <c r="I51" s="624">
        <f t="shared" si="51"/>
        <v>8</v>
      </c>
      <c r="K51" s="10"/>
      <c r="M51" s="19" t="s">
        <v>153</v>
      </c>
      <c r="N51" s="18">
        <f t="shared" si="45"/>
        <v>3</v>
      </c>
      <c r="O51" s="15">
        <f t="shared" si="22"/>
        <v>4</v>
      </c>
      <c r="P51" s="15">
        <f t="shared" si="36"/>
        <v>5</v>
      </c>
      <c r="Q51" s="15">
        <f t="shared" si="49"/>
        <v>6</v>
      </c>
      <c r="R51" s="15">
        <f t="shared" si="28"/>
        <v>7</v>
      </c>
      <c r="S51" s="15">
        <f>R51+1</f>
        <v>8</v>
      </c>
      <c r="T51" s="15">
        <f t="shared" si="31"/>
        <v>9</v>
      </c>
      <c r="V51" s="10"/>
      <c r="W51" s="10"/>
      <c r="X51" s="20" t="s">
        <v>443</v>
      </c>
      <c r="Y51" s="15">
        <f t="shared" si="37"/>
        <v>27</v>
      </c>
      <c r="Z51" s="15">
        <f t="shared" si="50"/>
        <v>28</v>
      </c>
      <c r="AA51" s="15">
        <f t="shared" si="50"/>
        <v>29</v>
      </c>
      <c r="AB51" s="15">
        <v>30</v>
      </c>
      <c r="AC51" s="12">
        <v>1</v>
      </c>
      <c r="AD51" s="12">
        <f t="shared" si="46"/>
        <v>2</v>
      </c>
      <c r="AE51" s="11">
        <f t="shared" si="46"/>
        <v>3</v>
      </c>
    </row>
    <row r="52" spans="2:32" ht="18" customHeight="1" x14ac:dyDescent="0.3">
      <c r="B52" s="19" t="s">
        <v>153</v>
      </c>
      <c r="C52" s="624">
        <f t="shared" si="43"/>
        <v>9</v>
      </c>
      <c r="D52" s="624">
        <f t="shared" si="44"/>
        <v>10</v>
      </c>
      <c r="E52" s="624">
        <f t="shared" si="47"/>
        <v>11</v>
      </c>
      <c r="F52" s="624">
        <f t="shared" si="48"/>
        <v>12</v>
      </c>
      <c r="G52" s="12">
        <f t="shared" si="48"/>
        <v>13</v>
      </c>
      <c r="H52" s="12">
        <f t="shared" si="51"/>
        <v>14</v>
      </c>
      <c r="I52" s="12">
        <f t="shared" si="51"/>
        <v>15</v>
      </c>
      <c r="K52" s="10"/>
      <c r="M52" s="19" t="s">
        <v>153</v>
      </c>
      <c r="N52" s="15">
        <f t="shared" si="45"/>
        <v>10</v>
      </c>
      <c r="O52" s="15">
        <f t="shared" si="22"/>
        <v>11</v>
      </c>
      <c r="P52" s="15">
        <f t="shared" si="36"/>
        <v>12</v>
      </c>
      <c r="Q52" s="15">
        <f t="shared" si="49"/>
        <v>13</v>
      </c>
      <c r="R52" s="12">
        <f t="shared" si="28"/>
        <v>14</v>
      </c>
      <c r="S52" s="12">
        <f>R52+1</f>
        <v>15</v>
      </c>
      <c r="T52" s="12">
        <f t="shared" si="31"/>
        <v>16</v>
      </c>
      <c r="V52" s="10"/>
      <c r="W52" s="10"/>
      <c r="X52" s="19" t="s">
        <v>153</v>
      </c>
      <c r="Y52" s="18">
        <f t="shared" si="37"/>
        <v>4</v>
      </c>
      <c r="Z52" s="15">
        <f t="shared" si="50"/>
        <v>5</v>
      </c>
      <c r="AA52" s="17">
        <f t="shared" si="50"/>
        <v>6</v>
      </c>
      <c r="AB52" s="15">
        <f t="shared" ref="AB52:AC55" si="52">AA52+1</f>
        <v>7</v>
      </c>
      <c r="AC52" s="17">
        <f t="shared" si="52"/>
        <v>8</v>
      </c>
      <c r="AD52" s="17">
        <f t="shared" si="46"/>
        <v>9</v>
      </c>
      <c r="AE52" s="17">
        <f t="shared" si="46"/>
        <v>10</v>
      </c>
      <c r="AF52" s="17"/>
    </row>
    <row r="53" spans="2:32" ht="18" customHeight="1" x14ac:dyDescent="0.3">
      <c r="B53" s="19" t="s">
        <v>153</v>
      </c>
      <c r="C53" s="18">
        <f t="shared" si="43"/>
        <v>16</v>
      </c>
      <c r="D53" s="624">
        <f t="shared" si="44"/>
        <v>17</v>
      </c>
      <c r="E53" s="624">
        <f t="shared" si="47"/>
        <v>18</v>
      </c>
      <c r="F53" s="624">
        <f t="shared" si="48"/>
        <v>19</v>
      </c>
      <c r="G53" s="625">
        <f t="shared" si="48"/>
        <v>20</v>
      </c>
      <c r="H53" s="625">
        <f t="shared" si="51"/>
        <v>21</v>
      </c>
      <c r="I53" s="625">
        <f t="shared" si="51"/>
        <v>22</v>
      </c>
      <c r="K53" s="10" t="s">
        <v>436</v>
      </c>
      <c r="M53" s="19" t="s">
        <v>153</v>
      </c>
      <c r="N53" s="18">
        <f t="shared" si="45"/>
        <v>17</v>
      </c>
      <c r="O53" s="15">
        <f t="shared" si="22"/>
        <v>18</v>
      </c>
      <c r="P53" s="15">
        <f t="shared" si="36"/>
        <v>19</v>
      </c>
      <c r="Q53" s="15">
        <f t="shared" si="49"/>
        <v>20</v>
      </c>
      <c r="R53" s="12">
        <f t="shared" si="28"/>
        <v>21</v>
      </c>
      <c r="S53" s="12">
        <f>R53+1</f>
        <v>22</v>
      </c>
      <c r="T53" s="12">
        <f t="shared" si="31"/>
        <v>23</v>
      </c>
      <c r="V53" s="10" t="s">
        <v>436</v>
      </c>
      <c r="W53" s="10"/>
      <c r="X53" s="19" t="s">
        <v>153</v>
      </c>
      <c r="Y53" s="17">
        <f t="shared" si="37"/>
        <v>11</v>
      </c>
      <c r="Z53" s="15">
        <f t="shared" si="50"/>
        <v>12</v>
      </c>
      <c r="AA53" s="17">
        <f t="shared" si="50"/>
        <v>13</v>
      </c>
      <c r="AB53" s="15">
        <f t="shared" si="52"/>
        <v>14</v>
      </c>
      <c r="AC53" s="12">
        <f t="shared" si="52"/>
        <v>15</v>
      </c>
      <c r="AD53" s="12">
        <f t="shared" si="46"/>
        <v>16</v>
      </c>
      <c r="AE53" s="11">
        <f t="shared" si="46"/>
        <v>17</v>
      </c>
    </row>
    <row r="54" spans="2:32" ht="18" customHeight="1" x14ac:dyDescent="0.3">
      <c r="B54" s="19" t="s">
        <v>153</v>
      </c>
      <c r="C54" s="625">
        <f t="shared" si="43"/>
        <v>23</v>
      </c>
      <c r="D54" s="625">
        <f t="shared" si="44"/>
        <v>24</v>
      </c>
      <c r="E54" s="625">
        <f t="shared" si="47"/>
        <v>25</v>
      </c>
      <c r="F54" s="12">
        <f t="shared" si="48"/>
        <v>26</v>
      </c>
      <c r="G54" s="12">
        <f t="shared" si="48"/>
        <v>27</v>
      </c>
      <c r="H54" s="12">
        <f t="shared" si="51"/>
        <v>28</v>
      </c>
      <c r="I54" s="12">
        <f t="shared" si="51"/>
        <v>29</v>
      </c>
      <c r="K54" s="10"/>
      <c r="M54" s="19" t="s">
        <v>153</v>
      </c>
      <c r="N54" s="12">
        <f t="shared" si="45"/>
        <v>24</v>
      </c>
      <c r="O54" s="12">
        <f t="shared" si="22"/>
        <v>25</v>
      </c>
      <c r="P54" s="18">
        <f t="shared" si="36"/>
        <v>26</v>
      </c>
      <c r="Q54" s="15">
        <f t="shared" si="49"/>
        <v>27</v>
      </c>
      <c r="R54" s="15">
        <f t="shared" si="28"/>
        <v>28</v>
      </c>
      <c r="S54" s="15">
        <f>R54+1</f>
        <v>29</v>
      </c>
      <c r="T54" s="15">
        <f t="shared" si="31"/>
        <v>30</v>
      </c>
      <c r="V54" s="10"/>
      <c r="W54" s="10"/>
      <c r="X54" s="19" t="s">
        <v>153</v>
      </c>
      <c r="Y54" s="18">
        <f t="shared" si="37"/>
        <v>18</v>
      </c>
      <c r="Z54" s="15">
        <f t="shared" si="50"/>
        <v>19</v>
      </c>
      <c r="AA54" s="17">
        <f t="shared" si="50"/>
        <v>20</v>
      </c>
      <c r="AB54" s="15">
        <f t="shared" si="52"/>
        <v>21</v>
      </c>
      <c r="AC54" s="17">
        <f t="shared" si="52"/>
        <v>22</v>
      </c>
      <c r="AD54" s="13">
        <f t="shared" si="46"/>
        <v>23</v>
      </c>
      <c r="AE54" s="16">
        <f t="shared" si="46"/>
        <v>24</v>
      </c>
    </row>
    <row r="55" spans="2:32" ht="18" customHeight="1" thickBot="1" x14ac:dyDescent="0.35">
      <c r="B55" s="14" t="s">
        <v>444</v>
      </c>
      <c r="C55" s="12">
        <f t="shared" si="43"/>
        <v>30</v>
      </c>
      <c r="D55" s="12">
        <v>31</v>
      </c>
      <c r="E55" s="12">
        <v>1</v>
      </c>
      <c r="F55" s="18">
        <f t="shared" si="48"/>
        <v>2</v>
      </c>
      <c r="G55" s="625">
        <f t="shared" si="48"/>
        <v>3</v>
      </c>
      <c r="H55" s="624">
        <f t="shared" si="51"/>
        <v>4</v>
      </c>
      <c r="I55" s="624">
        <f t="shared" si="51"/>
        <v>5</v>
      </c>
      <c r="K55" s="10"/>
      <c r="M55" s="14" t="s">
        <v>444</v>
      </c>
      <c r="N55" s="15">
        <f t="shared" si="45"/>
        <v>31</v>
      </c>
      <c r="O55" s="15">
        <v>1</v>
      </c>
      <c r="P55" s="15">
        <f t="shared" si="36"/>
        <v>2</v>
      </c>
      <c r="Q55" s="15">
        <f t="shared" si="49"/>
        <v>3</v>
      </c>
      <c r="R55" s="15">
        <f t="shared" si="28"/>
        <v>4</v>
      </c>
      <c r="S55" s="15">
        <f>R55+1</f>
        <v>5</v>
      </c>
      <c r="T55" s="15">
        <f t="shared" si="31"/>
        <v>6</v>
      </c>
      <c r="V55" s="10"/>
      <c r="W55" s="10"/>
      <c r="X55" s="14" t="s">
        <v>444</v>
      </c>
      <c r="Y55" s="13">
        <f t="shared" si="37"/>
        <v>25</v>
      </c>
      <c r="Z55" s="12">
        <f t="shared" si="50"/>
        <v>26</v>
      </c>
      <c r="AA55" s="12">
        <f t="shared" si="50"/>
        <v>27</v>
      </c>
      <c r="AB55" s="12">
        <f t="shared" si="52"/>
        <v>28</v>
      </c>
      <c r="AC55" s="12">
        <f t="shared" si="52"/>
        <v>29</v>
      </c>
      <c r="AD55" s="12">
        <f>AC55+1</f>
        <v>30</v>
      </c>
      <c r="AE55" s="11">
        <v>31</v>
      </c>
    </row>
  </sheetData>
  <mergeCells count="1">
    <mergeCell ref="M1:T1"/>
  </mergeCells>
  <pageMargins left="0.23622047244094491" right="0.23622047244094491" top="0.39370078740157483" bottom="0.35433070866141742" header="0.31496062992125978" footer="0.31496062992125978"/>
  <pageSetup paperSize="9" scale="58" fitToHeight="0" orientation="portrait"/>
  <rowBreaks count="1" manualBreakCount="1">
    <brk id="55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indexed="10"/>
    <pageSetUpPr fitToPage="1"/>
  </sheetPr>
  <dimension ref="C1:AS56"/>
  <sheetViews>
    <sheetView workbookViewId="0">
      <pane xSplit="27" ySplit="3" topLeftCell="AB19" activePane="bottomRight" state="frozen"/>
      <selection activeCell="G50" sqref="G50"/>
      <selection pane="topRight" activeCell="G50" sqref="G50"/>
      <selection pane="bottomLeft" activeCell="G50" sqref="G50"/>
      <selection pane="bottomRight" activeCell="G50" sqref="G50"/>
    </sheetView>
  </sheetViews>
  <sheetFormatPr defaultColWidth="9.1328125" defaultRowHeight="12.4" x14ac:dyDescent="0.3"/>
  <cols>
    <col min="1" max="1" width="0.53125" style="7" customWidth="1"/>
    <col min="2" max="2" width="2" style="7" customWidth="1"/>
    <col min="3" max="3" width="8.6640625" style="7" customWidth="1"/>
    <col min="4" max="4" width="5.19921875" style="629" customWidth="1"/>
    <col min="5" max="17" width="5.19921875" style="630" customWidth="1"/>
    <col min="18" max="18" width="38.46484375" style="7" customWidth="1"/>
    <col min="19" max="25" width="3.33203125" style="7" customWidth="1"/>
    <col min="26" max="26" width="9.19921875" style="7" customWidth="1"/>
    <col min="27" max="27" width="9.1328125" style="9" customWidth="1"/>
    <col min="28" max="34" width="5" style="8" customWidth="1"/>
    <col min="35" max="35" width="1" style="7" customWidth="1"/>
    <col min="36" max="36" width="44.6640625" style="7" bestFit="1" customWidth="1"/>
    <col min="37" max="37" width="10.1328125" style="7" bestFit="1" customWidth="1"/>
    <col min="38" max="44" width="5" style="7" customWidth="1"/>
    <col min="45" max="45" width="9.1328125" style="7" customWidth="1"/>
    <col min="46" max="16384" width="9.1328125" style="7"/>
  </cols>
  <sheetData>
    <row r="1" spans="3:45" ht="20.25" customHeight="1" thickBot="1" x14ac:dyDescent="0.4">
      <c r="AA1" s="1216"/>
      <c r="AB1" s="1217"/>
      <c r="AC1" s="1217"/>
      <c r="AD1" s="1217"/>
      <c r="AE1" s="1217"/>
      <c r="AF1" s="1217"/>
      <c r="AG1" s="1217"/>
      <c r="AH1" s="1217"/>
    </row>
    <row r="2" spans="3:45" ht="20.25" customHeight="1" thickBot="1" x14ac:dyDescent="0.65">
      <c r="AA2" s="1218" t="s">
        <v>445</v>
      </c>
      <c r="AB2" s="1219"/>
      <c r="AC2" s="1219"/>
      <c r="AD2" s="1219"/>
      <c r="AE2" s="1219"/>
      <c r="AF2" s="1219"/>
      <c r="AG2" s="1219"/>
      <c r="AH2" s="1219"/>
      <c r="AK2" s="1218" t="s">
        <v>446</v>
      </c>
      <c r="AL2" s="1219"/>
      <c r="AM2" s="1219"/>
      <c r="AN2" s="1219"/>
      <c r="AO2" s="1219"/>
      <c r="AP2" s="1219"/>
      <c r="AQ2" s="1219"/>
      <c r="AR2" s="1219"/>
    </row>
    <row r="3" spans="3:45" ht="30" customHeight="1" x14ac:dyDescent="0.3">
      <c r="C3" s="33" t="s">
        <v>115</v>
      </c>
      <c r="D3" s="631" t="s">
        <v>447</v>
      </c>
      <c r="E3" s="632" t="s">
        <v>448</v>
      </c>
      <c r="F3" s="631" t="s">
        <v>449</v>
      </c>
      <c r="G3" s="632" t="s">
        <v>450</v>
      </c>
      <c r="H3" s="631" t="s">
        <v>451</v>
      </c>
      <c r="I3" s="632" t="s">
        <v>452</v>
      </c>
      <c r="J3" s="631" t="s">
        <v>453</v>
      </c>
      <c r="K3" s="632" t="s">
        <v>454</v>
      </c>
      <c r="L3" s="631" t="s">
        <v>455</v>
      </c>
      <c r="M3" s="632" t="s">
        <v>456</v>
      </c>
      <c r="N3" s="631" t="s">
        <v>457</v>
      </c>
      <c r="O3" s="632" t="s">
        <v>458</v>
      </c>
      <c r="P3" s="631" t="s">
        <v>459</v>
      </c>
      <c r="Q3" s="633" t="s">
        <v>460</v>
      </c>
      <c r="AA3" s="33" t="s">
        <v>115</v>
      </c>
      <c r="AB3" s="32" t="s">
        <v>415</v>
      </c>
      <c r="AC3" s="32" t="s">
        <v>416</v>
      </c>
      <c r="AD3" s="32" t="s">
        <v>417</v>
      </c>
      <c r="AE3" s="32" t="s">
        <v>418</v>
      </c>
      <c r="AF3" s="32" t="s">
        <v>419</v>
      </c>
      <c r="AG3" s="31" t="s">
        <v>420</v>
      </c>
      <c r="AH3" s="34" t="s">
        <v>421</v>
      </c>
      <c r="AK3" s="33" t="s">
        <v>115</v>
      </c>
      <c r="AL3" s="32" t="s">
        <v>415</v>
      </c>
      <c r="AM3" s="32" t="s">
        <v>416</v>
      </c>
      <c r="AN3" s="32" t="s">
        <v>417</v>
      </c>
      <c r="AO3" s="32" t="s">
        <v>418</v>
      </c>
      <c r="AP3" s="32" t="s">
        <v>419</v>
      </c>
      <c r="AQ3" s="31" t="s">
        <v>420</v>
      </c>
      <c r="AR3" s="34" t="s">
        <v>421</v>
      </c>
    </row>
    <row r="4" spans="3:45" ht="18" customHeight="1" x14ac:dyDescent="0.3">
      <c r="C4" s="19" t="s">
        <v>142</v>
      </c>
      <c r="D4" s="12">
        <v>1</v>
      </c>
      <c r="E4" s="12">
        <v>1</v>
      </c>
      <c r="F4" s="12">
        <v>2</v>
      </c>
      <c r="G4" s="12">
        <v>2</v>
      </c>
      <c r="H4" s="12">
        <v>3</v>
      </c>
      <c r="I4" s="44">
        <v>3</v>
      </c>
      <c r="J4" s="624">
        <v>4</v>
      </c>
      <c r="K4" s="41">
        <v>4</v>
      </c>
      <c r="L4" s="15">
        <v>5</v>
      </c>
      <c r="M4" s="15">
        <v>5</v>
      </c>
      <c r="N4" s="624">
        <v>6</v>
      </c>
      <c r="O4" s="36">
        <v>6</v>
      </c>
      <c r="P4" s="624">
        <v>7</v>
      </c>
      <c r="Q4" s="624">
        <v>7</v>
      </c>
      <c r="R4" s="28" t="s">
        <v>461</v>
      </c>
      <c r="AA4" s="19" t="s">
        <v>142</v>
      </c>
      <c r="AB4" s="12">
        <v>1</v>
      </c>
      <c r="AC4" s="12">
        <f t="shared" ref="AC4:AH7" si="0">AB4+1</f>
        <v>2</v>
      </c>
      <c r="AD4" s="44">
        <f t="shared" si="0"/>
        <v>3</v>
      </c>
      <c r="AE4" s="41">
        <f t="shared" si="0"/>
        <v>4</v>
      </c>
      <c r="AF4" s="15">
        <f t="shared" si="0"/>
        <v>5</v>
      </c>
      <c r="AG4" s="36">
        <f t="shared" si="0"/>
        <v>6</v>
      </c>
      <c r="AH4" s="36">
        <f t="shared" si="0"/>
        <v>7</v>
      </c>
      <c r="AI4" s="29"/>
      <c r="AJ4" s="28" t="s">
        <v>461</v>
      </c>
      <c r="AK4" s="19" t="s">
        <v>142</v>
      </c>
      <c r="AL4" s="12">
        <v>1</v>
      </c>
      <c r="AM4" s="12">
        <f t="shared" ref="AM4:AR7" si="1">AL4+1</f>
        <v>2</v>
      </c>
      <c r="AN4" s="624">
        <f t="shared" si="1"/>
        <v>3</v>
      </c>
      <c r="AO4" s="624">
        <f t="shared" si="1"/>
        <v>4</v>
      </c>
      <c r="AP4" s="15">
        <f t="shared" si="1"/>
        <v>5</v>
      </c>
      <c r="AQ4" s="624">
        <f t="shared" si="1"/>
        <v>6</v>
      </c>
      <c r="AR4" s="624">
        <f t="shared" si="1"/>
        <v>7</v>
      </c>
      <c r="AS4" s="29"/>
    </row>
    <row r="5" spans="3:45" ht="18" customHeight="1" x14ac:dyDescent="0.3">
      <c r="C5" s="19" t="s">
        <v>142</v>
      </c>
      <c r="D5" s="624">
        <v>8</v>
      </c>
      <c r="E5" s="44">
        <v>8</v>
      </c>
      <c r="F5" s="624">
        <v>9</v>
      </c>
      <c r="G5" s="39">
        <v>9</v>
      </c>
      <c r="H5" s="624">
        <v>10</v>
      </c>
      <c r="I5" s="44">
        <v>10</v>
      </c>
      <c r="J5" s="624">
        <v>11</v>
      </c>
      <c r="K5" s="41">
        <v>11</v>
      </c>
      <c r="L5" s="12">
        <v>12</v>
      </c>
      <c r="M5" s="12">
        <v>12</v>
      </c>
      <c r="N5" s="12">
        <v>13</v>
      </c>
      <c r="O5" s="12">
        <v>13</v>
      </c>
      <c r="P5" s="12">
        <v>14</v>
      </c>
      <c r="Q5" s="12">
        <v>14</v>
      </c>
      <c r="R5" s="35"/>
      <c r="AA5" s="19" t="s">
        <v>142</v>
      </c>
      <c r="AB5" s="44">
        <f t="shared" ref="AB5:AB42" si="2">AH4+1</f>
        <v>8</v>
      </c>
      <c r="AC5" s="39">
        <f t="shared" si="0"/>
        <v>9</v>
      </c>
      <c r="AD5" s="44">
        <f t="shared" si="0"/>
        <v>10</v>
      </c>
      <c r="AE5" s="41">
        <f t="shared" si="0"/>
        <v>11</v>
      </c>
      <c r="AF5" s="12">
        <f t="shared" si="0"/>
        <v>12</v>
      </c>
      <c r="AG5" s="12">
        <f t="shared" si="0"/>
        <v>13</v>
      </c>
      <c r="AH5" s="12">
        <f t="shared" si="0"/>
        <v>14</v>
      </c>
      <c r="AJ5" s="35"/>
      <c r="AK5" s="19" t="s">
        <v>142</v>
      </c>
      <c r="AL5" s="624">
        <f t="shared" ref="AL5:AL42" si="3">AR4+1</f>
        <v>8</v>
      </c>
      <c r="AM5" s="624">
        <f t="shared" si="1"/>
        <v>9</v>
      </c>
      <c r="AN5" s="624">
        <f t="shared" si="1"/>
        <v>10</v>
      </c>
      <c r="AO5" s="624">
        <f t="shared" si="1"/>
        <v>11</v>
      </c>
      <c r="AP5" s="12">
        <f t="shared" si="1"/>
        <v>12</v>
      </c>
      <c r="AQ5" s="12">
        <f t="shared" si="1"/>
        <v>13</v>
      </c>
      <c r="AR5" s="12">
        <f t="shared" si="1"/>
        <v>14</v>
      </c>
    </row>
    <row r="6" spans="3:45" ht="18" customHeight="1" x14ac:dyDescent="0.3">
      <c r="C6" s="19" t="s">
        <v>142</v>
      </c>
      <c r="D6" s="624">
        <v>15</v>
      </c>
      <c r="E6" s="298">
        <v>15</v>
      </c>
      <c r="F6" s="624">
        <v>16</v>
      </c>
      <c r="G6" s="37">
        <v>16</v>
      </c>
      <c r="H6" s="624">
        <v>17</v>
      </c>
      <c r="I6" s="36">
        <v>17</v>
      </c>
      <c r="J6" s="624">
        <v>18</v>
      </c>
      <c r="K6" s="40">
        <v>18</v>
      </c>
      <c r="L6" s="624">
        <v>19</v>
      </c>
      <c r="M6" s="44">
        <v>19</v>
      </c>
      <c r="N6" s="624">
        <v>20</v>
      </c>
      <c r="O6" s="36">
        <v>20</v>
      </c>
      <c r="P6" s="624">
        <v>21</v>
      </c>
      <c r="Q6" s="624">
        <v>21</v>
      </c>
      <c r="R6" s="35" t="s">
        <v>462</v>
      </c>
      <c r="AA6" s="19" t="s">
        <v>142</v>
      </c>
      <c r="AB6" s="298">
        <f t="shared" si="2"/>
        <v>15</v>
      </c>
      <c r="AC6" s="37">
        <f t="shared" si="0"/>
        <v>16</v>
      </c>
      <c r="AD6" s="36">
        <f t="shared" si="0"/>
        <v>17</v>
      </c>
      <c r="AE6" s="40">
        <f t="shared" si="0"/>
        <v>18</v>
      </c>
      <c r="AF6" s="44">
        <f t="shared" si="0"/>
        <v>19</v>
      </c>
      <c r="AG6" s="36">
        <f t="shared" si="0"/>
        <v>20</v>
      </c>
      <c r="AH6" s="36">
        <f t="shared" si="0"/>
        <v>21</v>
      </c>
      <c r="AJ6" s="35" t="s">
        <v>462</v>
      </c>
      <c r="AK6" s="19" t="s">
        <v>142</v>
      </c>
      <c r="AL6" s="624">
        <f t="shared" si="3"/>
        <v>15</v>
      </c>
      <c r="AM6" s="624">
        <f t="shared" si="1"/>
        <v>16</v>
      </c>
      <c r="AN6" s="624">
        <f t="shared" si="1"/>
        <v>17</v>
      </c>
      <c r="AO6" s="624">
        <f t="shared" si="1"/>
        <v>18</v>
      </c>
      <c r="AP6" s="624">
        <f t="shared" si="1"/>
        <v>19</v>
      </c>
      <c r="AQ6" s="624">
        <f t="shared" si="1"/>
        <v>20</v>
      </c>
      <c r="AR6" s="624">
        <f t="shared" si="1"/>
        <v>21</v>
      </c>
    </row>
    <row r="7" spans="3:45" ht="18" customHeight="1" x14ac:dyDescent="0.3">
      <c r="C7" s="19" t="s">
        <v>142</v>
      </c>
      <c r="D7" s="624">
        <v>22</v>
      </c>
      <c r="E7" s="298">
        <v>22</v>
      </c>
      <c r="F7" s="624">
        <v>23</v>
      </c>
      <c r="G7" s="37">
        <v>23</v>
      </c>
      <c r="H7" s="624">
        <v>24</v>
      </c>
      <c r="I7" s="44">
        <v>24</v>
      </c>
      <c r="J7" s="624">
        <v>25</v>
      </c>
      <c r="K7" s="40">
        <v>25</v>
      </c>
      <c r="L7" s="12">
        <v>26</v>
      </c>
      <c r="M7" s="12">
        <v>26</v>
      </c>
      <c r="N7" s="12">
        <v>27</v>
      </c>
      <c r="O7" s="12">
        <v>27</v>
      </c>
      <c r="P7" s="12">
        <v>28</v>
      </c>
      <c r="Q7" s="12">
        <v>28</v>
      </c>
      <c r="R7" s="35"/>
      <c r="AA7" s="19" t="s">
        <v>142</v>
      </c>
      <c r="AB7" s="298">
        <f t="shared" si="2"/>
        <v>22</v>
      </c>
      <c r="AC7" s="37">
        <f t="shared" si="0"/>
        <v>23</v>
      </c>
      <c r="AD7" s="44">
        <f t="shared" si="0"/>
        <v>24</v>
      </c>
      <c r="AE7" s="40">
        <f t="shared" si="0"/>
        <v>25</v>
      </c>
      <c r="AF7" s="12">
        <f t="shared" si="0"/>
        <v>26</v>
      </c>
      <c r="AG7" s="12">
        <f t="shared" si="0"/>
        <v>27</v>
      </c>
      <c r="AH7" s="12">
        <f t="shared" si="0"/>
        <v>28</v>
      </c>
      <c r="AJ7" s="35"/>
      <c r="AK7" s="19" t="s">
        <v>142</v>
      </c>
      <c r="AL7" s="624">
        <f t="shared" si="3"/>
        <v>22</v>
      </c>
      <c r="AM7" s="624">
        <f t="shared" si="1"/>
        <v>23</v>
      </c>
      <c r="AN7" s="624">
        <f t="shared" si="1"/>
        <v>24</v>
      </c>
      <c r="AO7" s="624">
        <f t="shared" si="1"/>
        <v>25</v>
      </c>
      <c r="AP7" s="12">
        <f t="shared" si="1"/>
        <v>26</v>
      </c>
      <c r="AQ7" s="12">
        <f t="shared" si="1"/>
        <v>27</v>
      </c>
      <c r="AR7" s="12">
        <f t="shared" si="1"/>
        <v>28</v>
      </c>
    </row>
    <row r="8" spans="3:45" ht="18" customHeight="1" x14ac:dyDescent="0.3">
      <c r="C8" s="20" t="s">
        <v>422</v>
      </c>
      <c r="D8" s="624">
        <v>29</v>
      </c>
      <c r="E8" s="298">
        <v>29</v>
      </c>
      <c r="F8" s="624">
        <v>30</v>
      </c>
      <c r="G8" s="37">
        <v>30</v>
      </c>
      <c r="H8" s="624">
        <v>31</v>
      </c>
      <c r="I8" s="44">
        <v>31</v>
      </c>
      <c r="J8" s="624">
        <v>1</v>
      </c>
      <c r="K8" s="40">
        <v>1</v>
      </c>
      <c r="L8" s="624">
        <v>2</v>
      </c>
      <c r="M8" s="36">
        <v>2</v>
      </c>
      <c r="N8" s="624">
        <v>3</v>
      </c>
      <c r="O8" s="36">
        <v>3</v>
      </c>
      <c r="P8" s="624">
        <v>4</v>
      </c>
      <c r="Q8" s="624">
        <v>4</v>
      </c>
      <c r="R8" s="35" t="s">
        <v>463</v>
      </c>
      <c r="AA8" s="20" t="s">
        <v>422</v>
      </c>
      <c r="AB8" s="298">
        <f t="shared" si="2"/>
        <v>29</v>
      </c>
      <c r="AC8" s="37">
        <f t="shared" ref="AC8:AD20" si="4">AB8+1</f>
        <v>30</v>
      </c>
      <c r="AD8" s="44">
        <f t="shared" si="4"/>
        <v>31</v>
      </c>
      <c r="AE8" s="40">
        <v>1</v>
      </c>
      <c r="AF8" s="36">
        <f t="shared" ref="AF8:AH15" si="5">AE8+1</f>
        <v>2</v>
      </c>
      <c r="AG8" s="36">
        <f t="shared" si="5"/>
        <v>3</v>
      </c>
      <c r="AH8" s="36">
        <f t="shared" si="5"/>
        <v>4</v>
      </c>
      <c r="AJ8" s="35" t="s">
        <v>463</v>
      </c>
      <c r="AK8" s="20" t="s">
        <v>422</v>
      </c>
      <c r="AL8" s="624">
        <f t="shared" si="3"/>
        <v>29</v>
      </c>
      <c r="AM8" s="624">
        <f t="shared" ref="AM8:AN20" si="6">AL8+1</f>
        <v>30</v>
      </c>
      <c r="AN8" s="624">
        <f t="shared" si="6"/>
        <v>31</v>
      </c>
      <c r="AO8" s="624">
        <v>1</v>
      </c>
      <c r="AP8" s="624">
        <f t="shared" ref="AP8:AR15" si="7">AO8+1</f>
        <v>2</v>
      </c>
      <c r="AQ8" s="624">
        <f t="shared" si="7"/>
        <v>3</v>
      </c>
      <c r="AR8" s="624">
        <f t="shared" si="7"/>
        <v>4</v>
      </c>
    </row>
    <row r="9" spans="3:45" ht="18" customHeight="1" x14ac:dyDescent="0.3">
      <c r="C9" s="19" t="s">
        <v>143</v>
      </c>
      <c r="D9" s="624">
        <v>5</v>
      </c>
      <c r="E9" s="298">
        <v>5</v>
      </c>
      <c r="F9" s="624">
        <v>6</v>
      </c>
      <c r="G9" s="37">
        <v>6</v>
      </c>
      <c r="H9" s="624">
        <v>7</v>
      </c>
      <c r="I9" s="524">
        <v>7</v>
      </c>
      <c r="J9" s="624">
        <v>8</v>
      </c>
      <c r="K9" s="40">
        <v>8</v>
      </c>
      <c r="L9" s="12">
        <v>9</v>
      </c>
      <c r="M9" s="12">
        <v>9</v>
      </c>
      <c r="N9" s="12">
        <v>10</v>
      </c>
      <c r="O9" s="12">
        <v>10</v>
      </c>
      <c r="P9" s="12">
        <v>11</v>
      </c>
      <c r="Q9" s="12">
        <v>11</v>
      </c>
      <c r="R9" s="35"/>
      <c r="AA9" s="19" t="s">
        <v>143</v>
      </c>
      <c r="AB9" s="298">
        <f t="shared" si="2"/>
        <v>5</v>
      </c>
      <c r="AC9" s="37">
        <f t="shared" si="4"/>
        <v>6</v>
      </c>
      <c r="AD9" s="524">
        <f t="shared" si="4"/>
        <v>7</v>
      </c>
      <c r="AE9" s="40">
        <f>AD9+1</f>
        <v>8</v>
      </c>
      <c r="AF9" s="12">
        <f t="shared" si="5"/>
        <v>9</v>
      </c>
      <c r="AG9" s="12">
        <f t="shared" si="5"/>
        <v>10</v>
      </c>
      <c r="AH9" s="12">
        <f t="shared" si="5"/>
        <v>11</v>
      </c>
      <c r="AJ9" s="35"/>
      <c r="AK9" s="19" t="s">
        <v>143</v>
      </c>
      <c r="AL9" s="624">
        <f t="shared" si="3"/>
        <v>5</v>
      </c>
      <c r="AM9" s="624">
        <f t="shared" si="6"/>
        <v>6</v>
      </c>
      <c r="AN9" s="624">
        <f t="shared" si="6"/>
        <v>7</v>
      </c>
      <c r="AO9" s="624">
        <f>AN9+1</f>
        <v>8</v>
      </c>
      <c r="AP9" s="12">
        <f t="shared" si="7"/>
        <v>9</v>
      </c>
      <c r="AQ9" s="12">
        <f t="shared" si="7"/>
        <v>10</v>
      </c>
      <c r="AR9" s="12">
        <f t="shared" si="7"/>
        <v>11</v>
      </c>
    </row>
    <row r="10" spans="3:45" ht="18" customHeight="1" x14ac:dyDescent="0.3">
      <c r="C10" s="19" t="s">
        <v>143</v>
      </c>
      <c r="D10" s="12">
        <v>12</v>
      </c>
      <c r="E10" s="12">
        <v>12</v>
      </c>
      <c r="F10" s="12">
        <v>13</v>
      </c>
      <c r="G10" s="12">
        <v>13</v>
      </c>
      <c r="H10" s="12">
        <v>14</v>
      </c>
      <c r="I10" s="44">
        <v>14</v>
      </c>
      <c r="J10" s="624">
        <v>15</v>
      </c>
      <c r="K10" s="41">
        <v>15</v>
      </c>
      <c r="L10" s="36">
        <v>16</v>
      </c>
      <c r="M10" s="36">
        <v>16</v>
      </c>
      <c r="N10" s="36">
        <v>17</v>
      </c>
      <c r="O10" s="36">
        <v>17</v>
      </c>
      <c r="P10" s="36">
        <v>18</v>
      </c>
      <c r="Q10" s="36">
        <v>18</v>
      </c>
      <c r="R10" s="10" t="s">
        <v>464</v>
      </c>
      <c r="AA10" s="19" t="s">
        <v>143</v>
      </c>
      <c r="AB10" s="12">
        <f t="shared" si="2"/>
        <v>12</v>
      </c>
      <c r="AC10" s="12">
        <f t="shared" si="4"/>
        <v>13</v>
      </c>
      <c r="AD10" s="44">
        <f t="shared" si="4"/>
        <v>14</v>
      </c>
      <c r="AE10" s="41">
        <f>AD10+1</f>
        <v>15</v>
      </c>
      <c r="AF10" s="36">
        <f t="shared" si="5"/>
        <v>16</v>
      </c>
      <c r="AG10" s="36">
        <f t="shared" si="5"/>
        <v>17</v>
      </c>
      <c r="AH10" s="36">
        <f t="shared" si="5"/>
        <v>18</v>
      </c>
      <c r="AJ10" s="10" t="s">
        <v>464</v>
      </c>
      <c r="AK10" s="19" t="s">
        <v>143</v>
      </c>
      <c r="AL10" s="12">
        <f t="shared" si="3"/>
        <v>12</v>
      </c>
      <c r="AM10" s="12">
        <f t="shared" si="6"/>
        <v>13</v>
      </c>
      <c r="AN10" s="624">
        <f t="shared" si="6"/>
        <v>14</v>
      </c>
      <c r="AO10" s="624">
        <f>AN10+1</f>
        <v>15</v>
      </c>
      <c r="AP10" s="36">
        <f t="shared" si="7"/>
        <v>16</v>
      </c>
      <c r="AQ10" s="36">
        <f t="shared" si="7"/>
        <v>17</v>
      </c>
      <c r="AR10" s="36">
        <f t="shared" si="7"/>
        <v>18</v>
      </c>
    </row>
    <row r="11" spans="3:45" ht="18" customHeight="1" x14ac:dyDescent="0.3">
      <c r="C11" s="19" t="s">
        <v>143</v>
      </c>
      <c r="D11" s="624">
        <v>19</v>
      </c>
      <c r="E11" s="44">
        <v>19</v>
      </c>
      <c r="F11" s="624">
        <v>20</v>
      </c>
      <c r="G11" s="39">
        <v>20</v>
      </c>
      <c r="H11" s="624">
        <v>21</v>
      </c>
      <c r="I11" s="44">
        <v>21</v>
      </c>
      <c r="J11" s="624">
        <v>22</v>
      </c>
      <c r="K11" s="41">
        <v>22</v>
      </c>
      <c r="L11" s="12">
        <v>23</v>
      </c>
      <c r="M11" s="12">
        <v>23</v>
      </c>
      <c r="N11" s="12">
        <v>24</v>
      </c>
      <c r="O11" s="12">
        <v>24</v>
      </c>
      <c r="P11" s="12">
        <v>25</v>
      </c>
      <c r="Q11" s="12">
        <v>25</v>
      </c>
      <c r="AA11" s="19" t="s">
        <v>143</v>
      </c>
      <c r="AB11" s="44">
        <f t="shared" si="2"/>
        <v>19</v>
      </c>
      <c r="AC11" s="39">
        <f t="shared" si="4"/>
        <v>20</v>
      </c>
      <c r="AD11" s="44">
        <f t="shared" si="4"/>
        <v>21</v>
      </c>
      <c r="AE11" s="41">
        <f>AD11+1</f>
        <v>22</v>
      </c>
      <c r="AF11" s="12">
        <f t="shared" si="5"/>
        <v>23</v>
      </c>
      <c r="AG11" s="12">
        <f t="shared" si="5"/>
        <v>24</v>
      </c>
      <c r="AH11" s="12">
        <f t="shared" si="5"/>
        <v>25</v>
      </c>
      <c r="AK11" s="19" t="s">
        <v>143</v>
      </c>
      <c r="AL11" s="624">
        <f t="shared" si="3"/>
        <v>19</v>
      </c>
      <c r="AM11" s="624">
        <f t="shared" si="6"/>
        <v>20</v>
      </c>
      <c r="AN11" s="624">
        <f t="shared" si="6"/>
        <v>21</v>
      </c>
      <c r="AO11" s="624">
        <f>AN11+1</f>
        <v>22</v>
      </c>
      <c r="AP11" s="12">
        <f t="shared" si="7"/>
        <v>23</v>
      </c>
      <c r="AQ11" s="12">
        <f t="shared" si="7"/>
        <v>24</v>
      </c>
      <c r="AR11" s="12">
        <f t="shared" si="7"/>
        <v>25</v>
      </c>
    </row>
    <row r="12" spans="3:45" ht="18" customHeight="1" x14ac:dyDescent="0.3">
      <c r="C12" s="20" t="s">
        <v>424</v>
      </c>
      <c r="D12" s="624">
        <v>26</v>
      </c>
      <c r="E12" s="44">
        <v>26</v>
      </c>
      <c r="F12" s="624">
        <v>27</v>
      </c>
      <c r="G12" s="37">
        <v>27</v>
      </c>
      <c r="H12" s="624">
        <v>28</v>
      </c>
      <c r="I12" s="524">
        <v>28</v>
      </c>
      <c r="J12" s="624">
        <v>1</v>
      </c>
      <c r="K12" s="40">
        <v>1</v>
      </c>
      <c r="L12" s="624">
        <v>2</v>
      </c>
      <c r="M12" s="628">
        <v>2</v>
      </c>
      <c r="N12" s="36">
        <v>3</v>
      </c>
      <c r="O12" s="36">
        <v>3</v>
      </c>
      <c r="P12" s="36">
        <v>4</v>
      </c>
      <c r="Q12" s="36">
        <v>4</v>
      </c>
      <c r="R12" s="35" t="s">
        <v>357</v>
      </c>
      <c r="AA12" s="20" t="s">
        <v>424</v>
      </c>
      <c r="AB12" s="44">
        <f t="shared" si="2"/>
        <v>26</v>
      </c>
      <c r="AC12" s="37">
        <f t="shared" si="4"/>
        <v>27</v>
      </c>
      <c r="AD12" s="524">
        <f t="shared" si="4"/>
        <v>28</v>
      </c>
      <c r="AE12" s="40">
        <v>1</v>
      </c>
      <c r="AF12" s="36">
        <f t="shared" si="5"/>
        <v>2</v>
      </c>
      <c r="AG12" s="36">
        <f t="shared" si="5"/>
        <v>3</v>
      </c>
      <c r="AH12" s="36">
        <f t="shared" si="5"/>
        <v>4</v>
      </c>
      <c r="AJ12" s="35" t="s">
        <v>357</v>
      </c>
      <c r="AK12" s="20" t="s">
        <v>424</v>
      </c>
      <c r="AL12" s="624">
        <f t="shared" si="3"/>
        <v>26</v>
      </c>
      <c r="AM12" s="624">
        <f t="shared" si="6"/>
        <v>27</v>
      </c>
      <c r="AN12" s="624">
        <f t="shared" si="6"/>
        <v>28</v>
      </c>
      <c r="AO12" s="624">
        <v>1</v>
      </c>
      <c r="AP12" s="36">
        <f t="shared" si="7"/>
        <v>2</v>
      </c>
      <c r="AQ12" s="36">
        <f t="shared" si="7"/>
        <v>3</v>
      </c>
      <c r="AR12" s="36">
        <f t="shared" si="7"/>
        <v>4</v>
      </c>
    </row>
    <row r="13" spans="3:45" ht="18" customHeight="1" x14ac:dyDescent="0.3">
      <c r="C13" s="19" t="s">
        <v>144</v>
      </c>
      <c r="D13" s="624">
        <v>5</v>
      </c>
      <c r="E13" s="44">
        <v>5</v>
      </c>
      <c r="F13" s="634">
        <v>6</v>
      </c>
      <c r="G13" s="37">
        <v>6</v>
      </c>
      <c r="H13" s="624">
        <v>7</v>
      </c>
      <c r="I13" s="628">
        <v>7</v>
      </c>
      <c r="J13" s="624">
        <v>8</v>
      </c>
      <c r="K13" s="40">
        <v>8</v>
      </c>
      <c r="L13" s="12">
        <v>9</v>
      </c>
      <c r="M13" s="12">
        <v>9</v>
      </c>
      <c r="N13" s="12">
        <v>10</v>
      </c>
      <c r="O13" s="12">
        <v>10</v>
      </c>
      <c r="P13" s="36">
        <v>11</v>
      </c>
      <c r="Q13" s="15">
        <v>11</v>
      </c>
      <c r="R13" s="35" t="s">
        <v>465</v>
      </c>
      <c r="AA13" s="19" t="s">
        <v>144</v>
      </c>
      <c r="AB13" s="44">
        <f t="shared" si="2"/>
        <v>5</v>
      </c>
      <c r="AC13" s="37">
        <f t="shared" si="4"/>
        <v>6</v>
      </c>
      <c r="AD13" s="44">
        <f t="shared" si="4"/>
        <v>7</v>
      </c>
      <c r="AE13" s="40">
        <f t="shared" ref="AE13:AE46" si="8">AD13+1</f>
        <v>8</v>
      </c>
      <c r="AF13" s="12">
        <f t="shared" si="5"/>
        <v>9</v>
      </c>
      <c r="AG13" s="12">
        <f t="shared" si="5"/>
        <v>10</v>
      </c>
      <c r="AH13" s="36">
        <f t="shared" si="5"/>
        <v>11</v>
      </c>
      <c r="AJ13" s="35" t="s">
        <v>465</v>
      </c>
      <c r="AK13" s="19" t="s">
        <v>144</v>
      </c>
      <c r="AL13" s="624">
        <f t="shared" si="3"/>
        <v>5</v>
      </c>
      <c r="AM13" s="624">
        <f t="shared" si="6"/>
        <v>6</v>
      </c>
      <c r="AN13" s="624">
        <f t="shared" si="6"/>
        <v>7</v>
      </c>
      <c r="AO13" s="624">
        <f t="shared" ref="AO13:AO46" si="9">AN13+1</f>
        <v>8</v>
      </c>
      <c r="AP13" s="12">
        <f t="shared" si="7"/>
        <v>9</v>
      </c>
      <c r="AQ13" s="12">
        <f t="shared" si="7"/>
        <v>10</v>
      </c>
      <c r="AR13" s="36">
        <f t="shared" si="7"/>
        <v>11</v>
      </c>
    </row>
    <row r="14" spans="3:45" ht="18" customHeight="1" x14ac:dyDescent="0.3">
      <c r="C14" s="19" t="s">
        <v>144</v>
      </c>
      <c r="D14" s="624">
        <v>12</v>
      </c>
      <c r="E14" s="44">
        <v>12</v>
      </c>
      <c r="F14" s="624">
        <v>13</v>
      </c>
      <c r="G14" s="37">
        <v>13</v>
      </c>
      <c r="H14" s="624">
        <v>14</v>
      </c>
      <c r="I14" s="524">
        <v>14</v>
      </c>
      <c r="J14" s="624">
        <v>15</v>
      </c>
      <c r="K14" s="40">
        <v>15</v>
      </c>
      <c r="L14" s="36">
        <v>16</v>
      </c>
      <c r="M14" s="36">
        <v>16</v>
      </c>
      <c r="N14" s="36">
        <v>17</v>
      </c>
      <c r="O14" s="36">
        <v>17</v>
      </c>
      <c r="P14" s="36">
        <v>18</v>
      </c>
      <c r="Q14" s="36">
        <v>18</v>
      </c>
      <c r="R14" s="35" t="s">
        <v>463</v>
      </c>
      <c r="AA14" s="19" t="s">
        <v>144</v>
      </c>
      <c r="AB14" s="15">
        <f t="shared" si="2"/>
        <v>12</v>
      </c>
      <c r="AC14" s="37">
        <f t="shared" si="4"/>
        <v>13</v>
      </c>
      <c r="AD14" s="524">
        <f t="shared" si="4"/>
        <v>14</v>
      </c>
      <c r="AE14" s="40">
        <f t="shared" si="8"/>
        <v>15</v>
      </c>
      <c r="AF14" s="36">
        <f t="shared" si="5"/>
        <v>16</v>
      </c>
      <c r="AG14" s="36">
        <f t="shared" si="5"/>
        <v>17</v>
      </c>
      <c r="AH14" s="36">
        <f t="shared" si="5"/>
        <v>18</v>
      </c>
      <c r="AJ14" s="35" t="s">
        <v>463</v>
      </c>
      <c r="AK14" s="19" t="s">
        <v>144</v>
      </c>
      <c r="AL14" s="624">
        <f t="shared" si="3"/>
        <v>12</v>
      </c>
      <c r="AM14" s="624">
        <f t="shared" si="6"/>
        <v>13</v>
      </c>
      <c r="AN14" s="624">
        <f t="shared" si="6"/>
        <v>14</v>
      </c>
      <c r="AO14" s="624">
        <f t="shared" si="9"/>
        <v>15</v>
      </c>
      <c r="AP14" s="36">
        <f t="shared" si="7"/>
        <v>16</v>
      </c>
      <c r="AQ14" s="36">
        <f t="shared" si="7"/>
        <v>17</v>
      </c>
      <c r="AR14" s="36">
        <f t="shared" si="7"/>
        <v>18</v>
      </c>
    </row>
    <row r="15" spans="3:45" ht="18" customHeight="1" x14ac:dyDescent="0.3">
      <c r="C15" s="19" t="s">
        <v>144</v>
      </c>
      <c r="D15" s="624">
        <v>19</v>
      </c>
      <c r="E15" s="36">
        <v>19</v>
      </c>
      <c r="F15" s="624">
        <v>20</v>
      </c>
      <c r="G15" s="37">
        <v>20</v>
      </c>
      <c r="H15" s="624">
        <v>21</v>
      </c>
      <c r="I15" s="44">
        <v>21</v>
      </c>
      <c r="J15" s="624">
        <v>22</v>
      </c>
      <c r="K15" s="40">
        <v>22</v>
      </c>
      <c r="L15" s="12">
        <v>23</v>
      </c>
      <c r="M15" s="12">
        <v>23</v>
      </c>
      <c r="N15" s="12">
        <v>24</v>
      </c>
      <c r="O15" s="12">
        <v>24</v>
      </c>
      <c r="P15" s="12">
        <v>25</v>
      </c>
      <c r="Q15" s="12">
        <v>25</v>
      </c>
      <c r="R15" s="10" t="s">
        <v>466</v>
      </c>
      <c r="AA15" s="19" t="s">
        <v>144</v>
      </c>
      <c r="AB15" s="36">
        <f t="shared" si="2"/>
        <v>19</v>
      </c>
      <c r="AC15" s="37">
        <f t="shared" si="4"/>
        <v>20</v>
      </c>
      <c r="AD15" s="44">
        <f t="shared" si="4"/>
        <v>21</v>
      </c>
      <c r="AE15" s="40">
        <f t="shared" si="8"/>
        <v>22</v>
      </c>
      <c r="AF15" s="12">
        <f t="shared" si="5"/>
        <v>23</v>
      </c>
      <c r="AG15" s="12">
        <f t="shared" si="5"/>
        <v>24</v>
      </c>
      <c r="AH15" s="12">
        <f t="shared" si="5"/>
        <v>25</v>
      </c>
      <c r="AJ15" s="10" t="s">
        <v>466</v>
      </c>
      <c r="AK15" s="19" t="s">
        <v>144</v>
      </c>
      <c r="AL15" s="624">
        <f t="shared" si="3"/>
        <v>19</v>
      </c>
      <c r="AM15" s="624">
        <f t="shared" si="6"/>
        <v>20</v>
      </c>
      <c r="AN15" s="624">
        <f t="shared" si="6"/>
        <v>21</v>
      </c>
      <c r="AO15" s="624">
        <f t="shared" si="9"/>
        <v>22</v>
      </c>
      <c r="AP15" s="12">
        <f t="shared" si="7"/>
        <v>23</v>
      </c>
      <c r="AQ15" s="12">
        <f t="shared" si="7"/>
        <v>24</v>
      </c>
      <c r="AR15" s="12">
        <f t="shared" si="7"/>
        <v>25</v>
      </c>
    </row>
    <row r="16" spans="3:45" ht="18" customHeight="1" x14ac:dyDescent="0.3">
      <c r="C16" s="19" t="s">
        <v>144</v>
      </c>
      <c r="D16" s="12">
        <v>26</v>
      </c>
      <c r="E16" s="12">
        <v>26</v>
      </c>
      <c r="F16" s="12">
        <v>27</v>
      </c>
      <c r="G16" s="12">
        <v>27</v>
      </c>
      <c r="H16" s="12">
        <v>28</v>
      </c>
      <c r="I16" s="12">
        <v>28</v>
      </c>
      <c r="J16" s="12">
        <v>29</v>
      </c>
      <c r="K16" s="12">
        <v>29</v>
      </c>
      <c r="L16" s="12">
        <v>30</v>
      </c>
      <c r="M16" s="12">
        <v>30</v>
      </c>
      <c r="N16" s="36">
        <v>31</v>
      </c>
      <c r="O16" s="36">
        <v>31</v>
      </c>
      <c r="P16" s="36">
        <v>1</v>
      </c>
      <c r="Q16" s="36">
        <v>1</v>
      </c>
      <c r="R16" s="35" t="s">
        <v>467</v>
      </c>
      <c r="AA16" s="19" t="s">
        <v>144</v>
      </c>
      <c r="AB16" s="12">
        <f t="shared" si="2"/>
        <v>26</v>
      </c>
      <c r="AC16" s="12">
        <f t="shared" si="4"/>
        <v>27</v>
      </c>
      <c r="AD16" s="12">
        <f t="shared" si="4"/>
        <v>28</v>
      </c>
      <c r="AE16" s="12">
        <f t="shared" si="8"/>
        <v>29</v>
      </c>
      <c r="AF16" s="12">
        <f t="shared" ref="AF16:AG24" si="10">AE16+1</f>
        <v>30</v>
      </c>
      <c r="AG16" s="36">
        <f t="shared" si="10"/>
        <v>31</v>
      </c>
      <c r="AH16" s="36">
        <v>1</v>
      </c>
      <c r="AJ16" s="35" t="s">
        <v>467</v>
      </c>
      <c r="AK16" s="19" t="s">
        <v>144</v>
      </c>
      <c r="AL16" s="12">
        <f t="shared" si="3"/>
        <v>26</v>
      </c>
      <c r="AM16" s="12">
        <f t="shared" si="6"/>
        <v>27</v>
      </c>
      <c r="AN16" s="12">
        <f t="shared" si="6"/>
        <v>28</v>
      </c>
      <c r="AO16" s="12">
        <f t="shared" si="9"/>
        <v>29</v>
      </c>
      <c r="AP16" s="12">
        <f t="shared" ref="AP16:AQ24" si="11">AO16+1</f>
        <v>30</v>
      </c>
      <c r="AQ16" s="36">
        <f t="shared" si="11"/>
        <v>31</v>
      </c>
      <c r="AR16" s="36">
        <v>1</v>
      </c>
    </row>
    <row r="17" spans="3:44" ht="18" customHeight="1" x14ac:dyDescent="0.3">
      <c r="C17" s="25" t="s">
        <v>145</v>
      </c>
      <c r="D17" s="624">
        <v>2</v>
      </c>
      <c r="E17" s="44">
        <v>2</v>
      </c>
      <c r="F17" s="624">
        <v>3</v>
      </c>
      <c r="G17" s="624">
        <v>3</v>
      </c>
      <c r="H17" s="626">
        <v>4</v>
      </c>
      <c r="I17" s="44">
        <v>4</v>
      </c>
      <c r="J17" s="624">
        <v>5</v>
      </c>
      <c r="K17" s="628">
        <v>5</v>
      </c>
      <c r="L17" s="12">
        <v>6</v>
      </c>
      <c r="M17" s="12">
        <v>6</v>
      </c>
      <c r="N17" s="12">
        <v>7</v>
      </c>
      <c r="O17" s="12">
        <v>7</v>
      </c>
      <c r="P17" s="12">
        <v>8</v>
      </c>
      <c r="Q17" s="12">
        <v>8</v>
      </c>
      <c r="R17" s="10"/>
      <c r="AA17" s="25" t="s">
        <v>145</v>
      </c>
      <c r="AB17" s="15">
        <f t="shared" si="2"/>
        <v>2</v>
      </c>
      <c r="AC17" s="39">
        <f t="shared" si="4"/>
        <v>3</v>
      </c>
      <c r="AD17" s="44">
        <f t="shared" si="4"/>
        <v>4</v>
      </c>
      <c r="AE17" s="41">
        <f t="shared" si="8"/>
        <v>5</v>
      </c>
      <c r="AF17" s="12">
        <f t="shared" si="10"/>
        <v>6</v>
      </c>
      <c r="AG17" s="12">
        <f t="shared" si="10"/>
        <v>7</v>
      </c>
      <c r="AH17" s="12">
        <f t="shared" ref="AH17:AH28" si="12">AG17+1</f>
        <v>8</v>
      </c>
      <c r="AJ17" s="10"/>
      <c r="AK17" s="25" t="s">
        <v>145</v>
      </c>
      <c r="AL17" s="624">
        <f t="shared" si="3"/>
        <v>2</v>
      </c>
      <c r="AM17" s="624">
        <f t="shared" si="6"/>
        <v>3</v>
      </c>
      <c r="AN17" s="626">
        <f t="shared" si="6"/>
        <v>4</v>
      </c>
      <c r="AO17" s="624">
        <f t="shared" si="9"/>
        <v>5</v>
      </c>
      <c r="AP17" s="12">
        <f t="shared" si="11"/>
        <v>6</v>
      </c>
      <c r="AQ17" s="12">
        <f t="shared" si="11"/>
        <v>7</v>
      </c>
      <c r="AR17" s="12">
        <f t="shared" ref="AR17:AR28" si="13">AQ17+1</f>
        <v>8</v>
      </c>
    </row>
    <row r="18" spans="3:44" ht="18" customHeight="1" x14ac:dyDescent="0.3">
      <c r="C18" s="19" t="s">
        <v>145</v>
      </c>
      <c r="D18" s="626">
        <v>9</v>
      </c>
      <c r="E18" s="44">
        <v>9</v>
      </c>
      <c r="F18" s="624">
        <v>10</v>
      </c>
      <c r="G18" s="298">
        <v>10</v>
      </c>
      <c r="H18" s="626">
        <v>11</v>
      </c>
      <c r="I18" s="36">
        <v>11</v>
      </c>
      <c r="J18" s="624">
        <v>12</v>
      </c>
      <c r="K18" s="624">
        <v>12</v>
      </c>
      <c r="L18" s="36">
        <v>13</v>
      </c>
      <c r="M18" s="36">
        <v>13</v>
      </c>
      <c r="N18" s="36">
        <v>14</v>
      </c>
      <c r="O18" s="36">
        <v>14</v>
      </c>
      <c r="P18" s="36">
        <v>15</v>
      </c>
      <c r="Q18" s="15">
        <v>15</v>
      </c>
      <c r="R18" s="10" t="s">
        <v>468</v>
      </c>
      <c r="AA18" s="19" t="s">
        <v>145</v>
      </c>
      <c r="AB18" s="15">
        <f t="shared" si="2"/>
        <v>9</v>
      </c>
      <c r="AC18" s="39">
        <f t="shared" si="4"/>
        <v>10</v>
      </c>
      <c r="AD18" s="15">
        <f t="shared" si="4"/>
        <v>11</v>
      </c>
      <c r="AE18" s="41">
        <f t="shared" si="8"/>
        <v>12</v>
      </c>
      <c r="AF18" s="36">
        <f t="shared" si="10"/>
        <v>13</v>
      </c>
      <c r="AG18" s="36">
        <f t="shared" si="10"/>
        <v>14</v>
      </c>
      <c r="AH18" s="36">
        <f t="shared" si="12"/>
        <v>15</v>
      </c>
      <c r="AJ18" s="10" t="s">
        <v>468</v>
      </c>
      <c r="AK18" s="19" t="s">
        <v>145</v>
      </c>
      <c r="AL18" s="626">
        <f t="shared" si="3"/>
        <v>9</v>
      </c>
      <c r="AM18" s="624">
        <f t="shared" si="6"/>
        <v>10</v>
      </c>
      <c r="AN18" s="626">
        <f t="shared" si="6"/>
        <v>11</v>
      </c>
      <c r="AO18" s="624">
        <f t="shared" si="9"/>
        <v>12</v>
      </c>
      <c r="AP18" s="36">
        <f t="shared" si="11"/>
        <v>13</v>
      </c>
      <c r="AQ18" s="36">
        <f t="shared" si="11"/>
        <v>14</v>
      </c>
      <c r="AR18" s="36">
        <f t="shared" si="13"/>
        <v>15</v>
      </c>
    </row>
    <row r="19" spans="3:44" ht="18" customHeight="1" x14ac:dyDescent="0.3">
      <c r="C19" s="19" t="s">
        <v>145</v>
      </c>
      <c r="D19" s="624">
        <v>16</v>
      </c>
      <c r="E19" s="628">
        <v>16</v>
      </c>
      <c r="F19" s="626">
        <v>17</v>
      </c>
      <c r="G19" s="298">
        <v>17</v>
      </c>
      <c r="H19" s="624">
        <v>18</v>
      </c>
      <c r="I19" s="524">
        <v>18</v>
      </c>
      <c r="J19" s="624">
        <v>19</v>
      </c>
      <c r="K19" s="41">
        <v>19</v>
      </c>
      <c r="L19" s="12">
        <v>20</v>
      </c>
      <c r="M19" s="12">
        <v>20</v>
      </c>
      <c r="N19" s="12">
        <v>21</v>
      </c>
      <c r="O19" s="12">
        <v>21</v>
      </c>
      <c r="P19" s="12">
        <v>22</v>
      </c>
      <c r="Q19" s="12">
        <v>22</v>
      </c>
      <c r="R19" s="7" t="s">
        <v>469</v>
      </c>
      <c r="AA19" s="19" t="s">
        <v>145</v>
      </c>
      <c r="AB19" s="15">
        <f t="shared" si="2"/>
        <v>16</v>
      </c>
      <c r="AC19" s="39">
        <f t="shared" si="4"/>
        <v>17</v>
      </c>
      <c r="AD19" s="524">
        <f t="shared" si="4"/>
        <v>18</v>
      </c>
      <c r="AE19" s="41">
        <f t="shared" si="8"/>
        <v>19</v>
      </c>
      <c r="AF19" s="12">
        <f t="shared" si="10"/>
        <v>20</v>
      </c>
      <c r="AG19" s="12">
        <f t="shared" si="10"/>
        <v>21</v>
      </c>
      <c r="AH19" s="12">
        <f t="shared" si="12"/>
        <v>22</v>
      </c>
      <c r="AJ19" s="7" t="s">
        <v>469</v>
      </c>
      <c r="AK19" s="19" t="s">
        <v>145</v>
      </c>
      <c r="AL19" s="624">
        <f t="shared" si="3"/>
        <v>16</v>
      </c>
      <c r="AM19" s="626">
        <f t="shared" si="6"/>
        <v>17</v>
      </c>
      <c r="AN19" s="624">
        <f t="shared" si="6"/>
        <v>18</v>
      </c>
      <c r="AO19" s="624">
        <f t="shared" si="9"/>
        <v>19</v>
      </c>
      <c r="AP19" s="12">
        <f t="shared" si="11"/>
        <v>20</v>
      </c>
      <c r="AQ19" s="12">
        <f t="shared" si="11"/>
        <v>21</v>
      </c>
      <c r="AR19" s="12">
        <f t="shared" si="13"/>
        <v>22</v>
      </c>
    </row>
    <row r="20" spans="3:44" ht="18" customHeight="1" x14ac:dyDescent="0.3">
      <c r="C20" s="19" t="s">
        <v>145</v>
      </c>
      <c r="D20" s="624">
        <v>23</v>
      </c>
      <c r="E20" s="15">
        <v>23</v>
      </c>
      <c r="F20" s="624">
        <v>24</v>
      </c>
      <c r="G20" s="298">
        <v>24</v>
      </c>
      <c r="H20" s="626">
        <v>25</v>
      </c>
      <c r="I20" s="44">
        <v>25</v>
      </c>
      <c r="J20" s="38">
        <v>26</v>
      </c>
      <c r="K20" s="298">
        <v>26</v>
      </c>
      <c r="L20" s="38">
        <v>27</v>
      </c>
      <c r="M20" s="628">
        <v>27</v>
      </c>
      <c r="N20" s="38">
        <v>28</v>
      </c>
      <c r="O20" s="15">
        <v>28</v>
      </c>
      <c r="P20" s="38">
        <v>29</v>
      </c>
      <c r="Q20" s="15">
        <v>29</v>
      </c>
      <c r="R20" s="35" t="s">
        <v>470</v>
      </c>
      <c r="AA20" s="19" t="s">
        <v>145</v>
      </c>
      <c r="AB20" s="15">
        <f t="shared" si="2"/>
        <v>23</v>
      </c>
      <c r="AC20" s="37">
        <f t="shared" si="4"/>
        <v>24</v>
      </c>
      <c r="AD20" s="15">
        <f t="shared" si="4"/>
        <v>25</v>
      </c>
      <c r="AE20" s="298">
        <f t="shared" si="8"/>
        <v>26</v>
      </c>
      <c r="AF20" s="15">
        <f t="shared" si="10"/>
        <v>27</v>
      </c>
      <c r="AG20" s="15">
        <f t="shared" si="10"/>
        <v>28</v>
      </c>
      <c r="AH20" s="15">
        <f t="shared" si="12"/>
        <v>29</v>
      </c>
      <c r="AJ20" s="35" t="s">
        <v>470</v>
      </c>
      <c r="AK20" s="19" t="s">
        <v>145</v>
      </c>
      <c r="AL20" s="624">
        <f t="shared" si="3"/>
        <v>23</v>
      </c>
      <c r="AM20" s="624">
        <f t="shared" si="6"/>
        <v>24</v>
      </c>
      <c r="AN20" s="626">
        <f t="shared" si="6"/>
        <v>25</v>
      </c>
      <c r="AO20" s="38">
        <f t="shared" si="9"/>
        <v>26</v>
      </c>
      <c r="AP20" s="38">
        <f t="shared" si="11"/>
        <v>27</v>
      </c>
      <c r="AQ20" s="38">
        <f t="shared" si="11"/>
        <v>28</v>
      </c>
      <c r="AR20" s="38">
        <f t="shared" si="13"/>
        <v>29</v>
      </c>
    </row>
    <row r="21" spans="3:44" ht="18" customHeight="1" x14ac:dyDescent="0.3">
      <c r="C21" s="20" t="s">
        <v>431</v>
      </c>
      <c r="D21" s="38">
        <v>30</v>
      </c>
      <c r="E21" s="36">
        <v>30</v>
      </c>
      <c r="F21" s="38">
        <v>1</v>
      </c>
      <c r="G21" s="298">
        <v>1</v>
      </c>
      <c r="H21" s="38">
        <v>2</v>
      </c>
      <c r="I21" s="42">
        <v>2</v>
      </c>
      <c r="J21" s="624">
        <v>3</v>
      </c>
      <c r="K21" s="298">
        <v>3</v>
      </c>
      <c r="L21" s="12">
        <v>4</v>
      </c>
      <c r="M21" s="12">
        <v>4</v>
      </c>
      <c r="N21" s="12">
        <v>5</v>
      </c>
      <c r="O21" s="12">
        <v>5</v>
      </c>
      <c r="P21" s="12">
        <v>6</v>
      </c>
      <c r="Q21" s="12">
        <v>6</v>
      </c>
      <c r="R21" s="627" t="s">
        <v>471</v>
      </c>
      <c r="AA21" s="20" t="s">
        <v>431</v>
      </c>
      <c r="AB21" s="36">
        <f t="shared" si="2"/>
        <v>30</v>
      </c>
      <c r="AC21" s="37">
        <v>1</v>
      </c>
      <c r="AD21" s="42">
        <f t="shared" ref="AD21:AD33" si="14">AC21+1</f>
        <v>2</v>
      </c>
      <c r="AE21" s="298">
        <f t="shared" si="8"/>
        <v>3</v>
      </c>
      <c r="AF21" s="12">
        <f t="shared" si="10"/>
        <v>4</v>
      </c>
      <c r="AG21" s="12">
        <f t="shared" si="10"/>
        <v>5</v>
      </c>
      <c r="AH21" s="12">
        <f t="shared" si="12"/>
        <v>6</v>
      </c>
      <c r="AJ21" s="627" t="s">
        <v>472</v>
      </c>
      <c r="AK21" s="20" t="s">
        <v>431</v>
      </c>
      <c r="AL21" s="624">
        <f t="shared" si="3"/>
        <v>30</v>
      </c>
      <c r="AM21" s="624">
        <v>1</v>
      </c>
      <c r="AN21" s="624">
        <f t="shared" ref="AN21:AN33" si="15">AM21+1</f>
        <v>2</v>
      </c>
      <c r="AO21" s="624">
        <f t="shared" si="9"/>
        <v>3</v>
      </c>
      <c r="AP21" s="12">
        <f t="shared" si="11"/>
        <v>4</v>
      </c>
      <c r="AQ21" s="12">
        <f t="shared" si="11"/>
        <v>5</v>
      </c>
      <c r="AR21" s="12">
        <f t="shared" si="13"/>
        <v>6</v>
      </c>
    </row>
    <row r="22" spans="3:44" ht="18" customHeight="1" x14ac:dyDescent="0.3">
      <c r="C22" s="19" t="s">
        <v>146</v>
      </c>
      <c r="D22" s="12">
        <v>7</v>
      </c>
      <c r="E22" s="44">
        <v>7</v>
      </c>
      <c r="F22" s="624">
        <v>8</v>
      </c>
      <c r="G22" s="39">
        <v>8</v>
      </c>
      <c r="H22" s="624">
        <v>9</v>
      </c>
      <c r="I22" s="42">
        <v>9</v>
      </c>
      <c r="J22" s="624">
        <v>10</v>
      </c>
      <c r="K22" s="298">
        <v>10</v>
      </c>
      <c r="L22" s="36">
        <v>11</v>
      </c>
      <c r="M22" s="36">
        <v>11</v>
      </c>
      <c r="N22" s="36">
        <v>12</v>
      </c>
      <c r="O22" s="36">
        <v>12</v>
      </c>
      <c r="P22" s="36">
        <v>13</v>
      </c>
      <c r="Q22" s="36">
        <v>13</v>
      </c>
      <c r="R22" s="10" t="s">
        <v>473</v>
      </c>
      <c r="AA22" s="19" t="s">
        <v>146</v>
      </c>
      <c r="AB22" s="12">
        <f t="shared" si="2"/>
        <v>7</v>
      </c>
      <c r="AC22" s="37">
        <f t="shared" ref="AC22:AC55" si="16">AB22+1</f>
        <v>8</v>
      </c>
      <c r="AD22" s="42">
        <f t="shared" si="14"/>
        <v>9</v>
      </c>
      <c r="AE22" s="298">
        <f t="shared" si="8"/>
        <v>10</v>
      </c>
      <c r="AF22" s="36">
        <f t="shared" si="10"/>
        <v>11</v>
      </c>
      <c r="AG22" s="36">
        <f t="shared" si="10"/>
        <v>12</v>
      </c>
      <c r="AH22" s="36">
        <f t="shared" si="12"/>
        <v>13</v>
      </c>
      <c r="AJ22" s="10" t="s">
        <v>473</v>
      </c>
      <c r="AK22" s="19" t="s">
        <v>146</v>
      </c>
      <c r="AL22" s="625">
        <f t="shared" si="3"/>
        <v>7</v>
      </c>
      <c r="AM22" s="624">
        <f t="shared" ref="AM22:AM55" si="17">AL22+1</f>
        <v>8</v>
      </c>
      <c r="AN22" s="624">
        <f t="shared" si="15"/>
        <v>9</v>
      </c>
      <c r="AO22" s="624">
        <f t="shared" si="9"/>
        <v>10</v>
      </c>
      <c r="AP22" s="36">
        <f t="shared" si="11"/>
        <v>11</v>
      </c>
      <c r="AQ22" s="36">
        <f t="shared" si="11"/>
        <v>12</v>
      </c>
      <c r="AR22" s="36">
        <f t="shared" si="13"/>
        <v>13</v>
      </c>
    </row>
    <row r="23" spans="3:44" ht="18" customHeight="1" x14ac:dyDescent="0.3">
      <c r="C23" s="19" t="s">
        <v>146</v>
      </c>
      <c r="D23" s="624">
        <v>14</v>
      </c>
      <c r="E23" s="628">
        <v>14</v>
      </c>
      <c r="F23" s="626">
        <v>15</v>
      </c>
      <c r="G23" s="628">
        <v>15</v>
      </c>
      <c r="H23" s="624">
        <v>16</v>
      </c>
      <c r="I23" s="524">
        <v>16</v>
      </c>
      <c r="J23" s="624">
        <v>17</v>
      </c>
      <c r="K23" s="298">
        <v>17</v>
      </c>
      <c r="L23" s="12">
        <v>18</v>
      </c>
      <c r="M23" s="12">
        <v>18</v>
      </c>
      <c r="N23" s="12">
        <v>19</v>
      </c>
      <c r="O23" s="12">
        <v>19</v>
      </c>
      <c r="P23" s="12">
        <v>20</v>
      </c>
      <c r="Q23" s="12">
        <v>20</v>
      </c>
      <c r="R23" s="10" t="s">
        <v>474</v>
      </c>
      <c r="AA23" s="19" t="s">
        <v>146</v>
      </c>
      <c r="AB23" s="15">
        <f t="shared" si="2"/>
        <v>14</v>
      </c>
      <c r="AC23" s="37">
        <f t="shared" si="16"/>
        <v>15</v>
      </c>
      <c r="AD23" s="524">
        <f t="shared" si="14"/>
        <v>16</v>
      </c>
      <c r="AE23" s="298">
        <f t="shared" si="8"/>
        <v>17</v>
      </c>
      <c r="AF23" s="12">
        <f t="shared" si="10"/>
        <v>18</v>
      </c>
      <c r="AG23" s="12">
        <f t="shared" si="10"/>
        <v>19</v>
      </c>
      <c r="AH23" s="12">
        <f t="shared" si="12"/>
        <v>20</v>
      </c>
      <c r="AJ23" s="10" t="s">
        <v>474</v>
      </c>
      <c r="AK23" s="19" t="s">
        <v>146</v>
      </c>
      <c r="AL23" s="626">
        <f t="shared" si="3"/>
        <v>14</v>
      </c>
      <c r="AM23" s="624">
        <f t="shared" si="17"/>
        <v>15</v>
      </c>
      <c r="AN23" s="624">
        <f t="shared" si="15"/>
        <v>16</v>
      </c>
      <c r="AO23" s="624">
        <f t="shared" si="9"/>
        <v>17</v>
      </c>
      <c r="AP23" s="12">
        <f t="shared" si="11"/>
        <v>18</v>
      </c>
      <c r="AQ23" s="12">
        <f t="shared" si="11"/>
        <v>19</v>
      </c>
      <c r="AR23" s="12">
        <f t="shared" si="13"/>
        <v>20</v>
      </c>
    </row>
    <row r="24" spans="3:44" ht="18" customHeight="1" x14ac:dyDescent="0.3">
      <c r="C24" s="19" t="s">
        <v>146</v>
      </c>
      <c r="D24" s="36">
        <v>21</v>
      </c>
      <c r="E24" s="36">
        <v>21</v>
      </c>
      <c r="F24" s="36">
        <v>22</v>
      </c>
      <c r="G24" s="36">
        <v>22</v>
      </c>
      <c r="H24" s="36">
        <v>23</v>
      </c>
      <c r="I24" s="36">
        <v>23</v>
      </c>
      <c r="J24" s="36">
        <v>24</v>
      </c>
      <c r="K24" s="36">
        <v>24</v>
      </c>
      <c r="L24" s="36">
        <v>25</v>
      </c>
      <c r="M24" s="36">
        <v>25</v>
      </c>
      <c r="N24" s="36">
        <v>26</v>
      </c>
      <c r="O24" s="36">
        <v>26</v>
      </c>
      <c r="P24" s="36">
        <v>27</v>
      </c>
      <c r="Q24" s="36">
        <v>27</v>
      </c>
      <c r="R24" s="10" t="s">
        <v>475</v>
      </c>
      <c r="AA24" s="19" t="s">
        <v>146</v>
      </c>
      <c r="AB24" s="36">
        <f t="shared" si="2"/>
        <v>21</v>
      </c>
      <c r="AC24" s="36">
        <f t="shared" si="16"/>
        <v>22</v>
      </c>
      <c r="AD24" s="36">
        <f t="shared" si="14"/>
        <v>23</v>
      </c>
      <c r="AE24" s="36">
        <f t="shared" si="8"/>
        <v>24</v>
      </c>
      <c r="AF24" s="36">
        <f t="shared" si="10"/>
        <v>25</v>
      </c>
      <c r="AG24" s="36">
        <f t="shared" si="10"/>
        <v>26</v>
      </c>
      <c r="AH24" s="36">
        <f t="shared" si="12"/>
        <v>27</v>
      </c>
      <c r="AJ24" s="10" t="s">
        <v>475</v>
      </c>
      <c r="AK24" s="19" t="s">
        <v>146</v>
      </c>
      <c r="AL24" s="36">
        <f t="shared" si="3"/>
        <v>21</v>
      </c>
      <c r="AM24" s="36">
        <f t="shared" si="17"/>
        <v>22</v>
      </c>
      <c r="AN24" s="36">
        <f t="shared" si="15"/>
        <v>23</v>
      </c>
      <c r="AO24" s="36">
        <f t="shared" si="9"/>
        <v>24</v>
      </c>
      <c r="AP24" s="36">
        <f t="shared" si="11"/>
        <v>25</v>
      </c>
      <c r="AQ24" s="36">
        <f t="shared" si="11"/>
        <v>26</v>
      </c>
      <c r="AR24" s="36">
        <f t="shared" si="13"/>
        <v>27</v>
      </c>
    </row>
    <row r="25" spans="3:44" ht="18" customHeight="1" x14ac:dyDescent="0.3">
      <c r="C25" s="20" t="s">
        <v>433</v>
      </c>
      <c r="D25" s="36">
        <v>28</v>
      </c>
      <c r="E25" s="36">
        <v>28</v>
      </c>
      <c r="F25" s="626">
        <v>29</v>
      </c>
      <c r="G25" s="39">
        <v>29</v>
      </c>
      <c r="H25" s="12">
        <v>30</v>
      </c>
      <c r="I25" s="12">
        <v>30</v>
      </c>
      <c r="J25" s="626">
        <v>31</v>
      </c>
      <c r="K25" s="12">
        <v>31</v>
      </c>
      <c r="L25" s="12">
        <v>1</v>
      </c>
      <c r="M25" s="12">
        <v>1</v>
      </c>
      <c r="N25" s="12">
        <v>2</v>
      </c>
      <c r="O25" s="12">
        <v>2</v>
      </c>
      <c r="P25" s="12">
        <v>3</v>
      </c>
      <c r="Q25" s="12">
        <v>3</v>
      </c>
      <c r="R25" s="10" t="s">
        <v>476</v>
      </c>
      <c r="AA25" s="20" t="s">
        <v>433</v>
      </c>
      <c r="AB25" s="36">
        <f t="shared" si="2"/>
        <v>28</v>
      </c>
      <c r="AC25" s="39">
        <f t="shared" si="16"/>
        <v>29</v>
      </c>
      <c r="AD25" s="12">
        <f t="shared" si="14"/>
        <v>30</v>
      </c>
      <c r="AE25" s="12">
        <f t="shared" si="8"/>
        <v>31</v>
      </c>
      <c r="AF25" s="12">
        <v>1</v>
      </c>
      <c r="AG25" s="12">
        <f t="shared" ref="AG25:AG37" si="18">AF25+1</f>
        <v>2</v>
      </c>
      <c r="AH25" s="12">
        <f t="shared" si="12"/>
        <v>3</v>
      </c>
      <c r="AJ25" s="10" t="s">
        <v>476</v>
      </c>
      <c r="AK25" s="20" t="s">
        <v>433</v>
      </c>
      <c r="AL25" s="36">
        <f t="shared" si="3"/>
        <v>28</v>
      </c>
      <c r="AM25" s="626">
        <f t="shared" si="17"/>
        <v>29</v>
      </c>
      <c r="AN25" s="12">
        <f t="shared" si="15"/>
        <v>30</v>
      </c>
      <c r="AO25" s="626">
        <f t="shared" si="9"/>
        <v>31</v>
      </c>
      <c r="AP25" s="12">
        <v>1</v>
      </c>
      <c r="AQ25" s="12">
        <f t="shared" ref="AQ25:AQ37" si="19">AP25+1</f>
        <v>2</v>
      </c>
      <c r="AR25" s="12">
        <f t="shared" si="13"/>
        <v>3</v>
      </c>
    </row>
    <row r="26" spans="3:44" ht="18" customHeight="1" x14ac:dyDescent="0.3">
      <c r="C26" s="19" t="s">
        <v>147</v>
      </c>
      <c r="D26" s="15">
        <v>4</v>
      </c>
      <c r="E26" s="628">
        <v>4</v>
      </c>
      <c r="F26" s="626">
        <v>5</v>
      </c>
      <c r="G26" s="39">
        <v>5</v>
      </c>
      <c r="H26" s="624">
        <v>6</v>
      </c>
      <c r="I26" s="44">
        <v>6</v>
      </c>
      <c r="J26" s="624">
        <v>7</v>
      </c>
      <c r="K26" s="41">
        <v>7</v>
      </c>
      <c r="L26" s="36">
        <v>8</v>
      </c>
      <c r="M26" s="36">
        <v>8</v>
      </c>
      <c r="N26" s="36">
        <v>9</v>
      </c>
      <c r="O26" s="36">
        <v>9</v>
      </c>
      <c r="P26" s="36">
        <v>10</v>
      </c>
      <c r="Q26" s="36">
        <v>10</v>
      </c>
      <c r="R26" s="10" t="s">
        <v>477</v>
      </c>
      <c r="AA26" s="19" t="s">
        <v>147</v>
      </c>
      <c r="AB26" s="15">
        <f t="shared" si="2"/>
        <v>4</v>
      </c>
      <c r="AC26" s="39">
        <f t="shared" si="16"/>
        <v>5</v>
      </c>
      <c r="AD26" s="15">
        <f t="shared" si="14"/>
        <v>6</v>
      </c>
      <c r="AE26" s="41">
        <f t="shared" si="8"/>
        <v>7</v>
      </c>
      <c r="AF26" s="36">
        <f t="shared" ref="AF26:AF56" si="20">AE26+1</f>
        <v>8</v>
      </c>
      <c r="AG26" s="36">
        <f t="shared" si="18"/>
        <v>9</v>
      </c>
      <c r="AH26" s="36">
        <f t="shared" si="12"/>
        <v>10</v>
      </c>
      <c r="AJ26" s="10" t="s">
        <v>477</v>
      </c>
      <c r="AK26" s="19" t="s">
        <v>147</v>
      </c>
      <c r="AL26" s="624">
        <f t="shared" si="3"/>
        <v>4</v>
      </c>
      <c r="AM26" s="626">
        <f t="shared" si="17"/>
        <v>5</v>
      </c>
      <c r="AN26" s="624">
        <f t="shared" si="15"/>
        <v>6</v>
      </c>
      <c r="AO26" s="624">
        <f t="shared" si="9"/>
        <v>7</v>
      </c>
      <c r="AP26" s="36">
        <f t="shared" ref="AP26:AP56" si="21">AO26+1</f>
        <v>8</v>
      </c>
      <c r="AQ26" s="36">
        <f t="shared" si="19"/>
        <v>9</v>
      </c>
      <c r="AR26" s="36">
        <f t="shared" si="13"/>
        <v>10</v>
      </c>
    </row>
    <row r="27" spans="3:44" ht="18" customHeight="1" x14ac:dyDescent="0.3">
      <c r="C27" s="19" t="s">
        <v>147</v>
      </c>
      <c r="D27" s="15">
        <v>11</v>
      </c>
      <c r="E27" s="44">
        <v>11</v>
      </c>
      <c r="F27" s="624">
        <v>12</v>
      </c>
      <c r="G27" s="36">
        <v>12</v>
      </c>
      <c r="H27" s="624">
        <v>13</v>
      </c>
      <c r="I27" s="524">
        <v>13</v>
      </c>
      <c r="J27" s="624">
        <v>14</v>
      </c>
      <c r="K27" s="41">
        <v>14</v>
      </c>
      <c r="L27" s="12">
        <v>15</v>
      </c>
      <c r="M27" s="12">
        <v>15</v>
      </c>
      <c r="N27" s="12">
        <v>16</v>
      </c>
      <c r="O27" s="12">
        <v>16</v>
      </c>
      <c r="P27" s="12">
        <v>17</v>
      </c>
      <c r="Q27" s="12">
        <v>17</v>
      </c>
      <c r="R27" s="10" t="s">
        <v>434</v>
      </c>
      <c r="AA27" s="19" t="s">
        <v>147</v>
      </c>
      <c r="AB27" s="15">
        <f t="shared" si="2"/>
        <v>11</v>
      </c>
      <c r="AC27" s="37">
        <f t="shared" si="16"/>
        <v>12</v>
      </c>
      <c r="AD27" s="524">
        <f t="shared" si="14"/>
        <v>13</v>
      </c>
      <c r="AE27" s="41">
        <f t="shared" si="8"/>
        <v>14</v>
      </c>
      <c r="AF27" s="12">
        <f t="shared" si="20"/>
        <v>15</v>
      </c>
      <c r="AG27" s="12">
        <f t="shared" si="18"/>
        <v>16</v>
      </c>
      <c r="AH27" s="12">
        <f t="shared" si="12"/>
        <v>17</v>
      </c>
      <c r="AJ27" s="10" t="s">
        <v>434</v>
      </c>
      <c r="AK27" s="19" t="s">
        <v>147</v>
      </c>
      <c r="AL27" s="624">
        <f t="shared" si="3"/>
        <v>11</v>
      </c>
      <c r="AM27" s="624">
        <f t="shared" si="17"/>
        <v>12</v>
      </c>
      <c r="AN27" s="624">
        <f t="shared" si="15"/>
        <v>13</v>
      </c>
      <c r="AO27" s="624">
        <f t="shared" si="9"/>
        <v>14</v>
      </c>
      <c r="AP27" s="12">
        <f t="shared" si="21"/>
        <v>15</v>
      </c>
      <c r="AQ27" s="12">
        <f t="shared" si="19"/>
        <v>16</v>
      </c>
      <c r="AR27" s="12">
        <f t="shared" si="13"/>
        <v>17</v>
      </c>
    </row>
    <row r="28" spans="3:44" ht="18" customHeight="1" x14ac:dyDescent="0.3">
      <c r="C28" s="19" t="s">
        <v>147</v>
      </c>
      <c r="D28" s="15">
        <v>18</v>
      </c>
      <c r="E28" s="36">
        <v>18</v>
      </c>
      <c r="F28" s="624">
        <v>19</v>
      </c>
      <c r="G28" s="36">
        <v>19</v>
      </c>
      <c r="H28" s="626">
        <v>20</v>
      </c>
      <c r="I28" s="36">
        <v>20</v>
      </c>
      <c r="J28" s="624">
        <v>21</v>
      </c>
      <c r="K28" s="36">
        <v>21</v>
      </c>
      <c r="L28" s="15">
        <v>22</v>
      </c>
      <c r="M28" s="628">
        <v>22</v>
      </c>
      <c r="N28" s="36">
        <v>23</v>
      </c>
      <c r="O28" s="15">
        <v>23</v>
      </c>
      <c r="P28" s="36">
        <v>24</v>
      </c>
      <c r="Q28" s="36">
        <v>24</v>
      </c>
      <c r="R28" s="10" t="s">
        <v>478</v>
      </c>
      <c r="AA28" s="19" t="s">
        <v>147</v>
      </c>
      <c r="AB28" s="36">
        <f t="shared" si="2"/>
        <v>18</v>
      </c>
      <c r="AC28" s="37">
        <f t="shared" si="16"/>
        <v>19</v>
      </c>
      <c r="AD28" s="36">
        <f t="shared" si="14"/>
        <v>20</v>
      </c>
      <c r="AE28" s="36">
        <f t="shared" si="8"/>
        <v>21</v>
      </c>
      <c r="AF28" s="15">
        <f t="shared" si="20"/>
        <v>22</v>
      </c>
      <c r="AG28" s="628">
        <f t="shared" si="18"/>
        <v>23</v>
      </c>
      <c r="AH28" s="628">
        <f t="shared" si="12"/>
        <v>24</v>
      </c>
      <c r="AJ28" s="10" t="s">
        <v>478</v>
      </c>
      <c r="AK28" s="19" t="s">
        <v>147</v>
      </c>
      <c r="AL28" s="624">
        <f t="shared" si="3"/>
        <v>18</v>
      </c>
      <c r="AM28" s="624">
        <f t="shared" si="17"/>
        <v>19</v>
      </c>
      <c r="AN28" s="626">
        <f t="shared" si="15"/>
        <v>20</v>
      </c>
      <c r="AO28" s="624">
        <f t="shared" si="9"/>
        <v>21</v>
      </c>
      <c r="AP28" s="15">
        <f t="shared" si="21"/>
        <v>22</v>
      </c>
      <c r="AQ28" s="36">
        <f t="shared" si="19"/>
        <v>23</v>
      </c>
      <c r="AR28" s="36">
        <f t="shared" si="13"/>
        <v>24</v>
      </c>
    </row>
    <row r="29" spans="3:44" ht="18" customHeight="1" x14ac:dyDescent="0.3">
      <c r="C29" s="19" t="s">
        <v>147</v>
      </c>
      <c r="D29" s="15">
        <v>25</v>
      </c>
      <c r="E29" s="298">
        <v>25</v>
      </c>
      <c r="F29" s="624">
        <v>26</v>
      </c>
      <c r="G29" s="44">
        <v>26</v>
      </c>
      <c r="H29" s="624">
        <v>27</v>
      </c>
      <c r="I29" s="524">
        <v>27</v>
      </c>
      <c r="J29" s="624">
        <v>28</v>
      </c>
      <c r="K29" s="40">
        <v>28</v>
      </c>
      <c r="L29" s="12">
        <v>29</v>
      </c>
      <c r="M29" s="12">
        <v>29</v>
      </c>
      <c r="N29" s="12">
        <v>30</v>
      </c>
      <c r="O29" s="12">
        <v>30</v>
      </c>
      <c r="P29" s="12">
        <v>1</v>
      </c>
      <c r="Q29" s="12">
        <v>1</v>
      </c>
      <c r="AA29" s="19" t="s">
        <v>147</v>
      </c>
      <c r="AB29" s="15">
        <f t="shared" si="2"/>
        <v>25</v>
      </c>
      <c r="AC29" s="37">
        <f t="shared" si="16"/>
        <v>26</v>
      </c>
      <c r="AD29" s="524">
        <f t="shared" si="14"/>
        <v>27</v>
      </c>
      <c r="AE29" s="40">
        <f t="shared" si="8"/>
        <v>28</v>
      </c>
      <c r="AF29" s="12">
        <f t="shared" si="20"/>
        <v>29</v>
      </c>
      <c r="AG29" s="12">
        <f t="shared" si="18"/>
        <v>30</v>
      </c>
      <c r="AH29" s="12">
        <v>1</v>
      </c>
      <c r="AK29" s="19" t="s">
        <v>147</v>
      </c>
      <c r="AL29" s="624">
        <f t="shared" si="3"/>
        <v>25</v>
      </c>
      <c r="AM29" s="624">
        <f t="shared" si="17"/>
        <v>26</v>
      </c>
      <c r="AN29" s="624">
        <f t="shared" si="15"/>
        <v>27</v>
      </c>
      <c r="AO29" s="624">
        <f t="shared" si="9"/>
        <v>28</v>
      </c>
      <c r="AP29" s="12">
        <f t="shared" si="21"/>
        <v>29</v>
      </c>
      <c r="AQ29" s="12">
        <f t="shared" si="19"/>
        <v>30</v>
      </c>
      <c r="AR29" s="12">
        <v>1</v>
      </c>
    </row>
    <row r="30" spans="3:44" ht="18" customHeight="1" x14ac:dyDescent="0.3">
      <c r="C30" s="20" t="s">
        <v>435</v>
      </c>
      <c r="D30" s="15">
        <v>2</v>
      </c>
      <c r="E30" s="298">
        <v>2</v>
      </c>
      <c r="F30" s="624">
        <v>3</v>
      </c>
      <c r="G30" s="44">
        <v>3</v>
      </c>
      <c r="H30" s="624">
        <v>4</v>
      </c>
      <c r="I30" s="44">
        <v>4</v>
      </c>
      <c r="J30" s="624">
        <v>5</v>
      </c>
      <c r="K30" s="40">
        <v>5</v>
      </c>
      <c r="L30" s="15">
        <v>6</v>
      </c>
      <c r="M30" s="15">
        <v>6</v>
      </c>
      <c r="N30" s="36">
        <v>7</v>
      </c>
      <c r="O30" s="36">
        <v>7</v>
      </c>
      <c r="P30" s="36">
        <v>8</v>
      </c>
      <c r="Q30" s="36">
        <v>8</v>
      </c>
      <c r="R30" s="10" t="s">
        <v>479</v>
      </c>
      <c r="AA30" s="20" t="s">
        <v>435</v>
      </c>
      <c r="AB30" s="36">
        <f t="shared" si="2"/>
        <v>2</v>
      </c>
      <c r="AC30" s="37">
        <f t="shared" si="16"/>
        <v>3</v>
      </c>
      <c r="AD30" s="36">
        <f t="shared" si="14"/>
        <v>4</v>
      </c>
      <c r="AE30" s="40">
        <f t="shared" si="8"/>
        <v>5</v>
      </c>
      <c r="AF30" s="15">
        <f t="shared" si="20"/>
        <v>6</v>
      </c>
      <c r="AG30" s="15">
        <f t="shared" si="18"/>
        <v>7</v>
      </c>
      <c r="AH30" s="36">
        <f t="shared" ref="AH30:AH56" si="22">AG30+1</f>
        <v>8</v>
      </c>
      <c r="AJ30" s="10" t="s">
        <v>480</v>
      </c>
      <c r="AK30" s="20" t="s">
        <v>435</v>
      </c>
      <c r="AL30" s="624">
        <f t="shared" si="3"/>
        <v>2</v>
      </c>
      <c r="AM30" s="624">
        <f t="shared" si="17"/>
        <v>3</v>
      </c>
      <c r="AN30" s="624">
        <f t="shared" si="15"/>
        <v>4</v>
      </c>
      <c r="AO30" s="624">
        <f t="shared" si="9"/>
        <v>5</v>
      </c>
      <c r="AP30" s="15">
        <f t="shared" si="21"/>
        <v>6</v>
      </c>
      <c r="AQ30" s="36">
        <f t="shared" si="19"/>
        <v>7</v>
      </c>
      <c r="AR30" s="36">
        <f t="shared" ref="AR30:AR56" si="23">AQ30+1</f>
        <v>8</v>
      </c>
    </row>
    <row r="31" spans="3:44" ht="18" customHeight="1" x14ac:dyDescent="0.3">
      <c r="C31" s="19" t="s">
        <v>148</v>
      </c>
      <c r="D31" s="15">
        <v>9</v>
      </c>
      <c r="E31" s="298">
        <v>9</v>
      </c>
      <c r="F31" s="624">
        <v>10</v>
      </c>
      <c r="G31" s="628">
        <v>10</v>
      </c>
      <c r="H31" s="626">
        <v>11</v>
      </c>
      <c r="I31" s="524">
        <v>11</v>
      </c>
      <c r="J31" s="624">
        <v>12</v>
      </c>
      <c r="K31" s="40">
        <v>12</v>
      </c>
      <c r="L31" s="43">
        <v>13</v>
      </c>
      <c r="M31" s="43">
        <v>13</v>
      </c>
      <c r="N31" s="43">
        <v>14</v>
      </c>
      <c r="O31" s="43">
        <v>14</v>
      </c>
      <c r="P31" s="43">
        <v>15</v>
      </c>
      <c r="Q31" s="43">
        <v>15</v>
      </c>
      <c r="R31" s="10" t="s">
        <v>481</v>
      </c>
      <c r="AA31" s="19" t="s">
        <v>148</v>
      </c>
      <c r="AB31" s="15">
        <f t="shared" si="2"/>
        <v>9</v>
      </c>
      <c r="AC31" s="15">
        <f t="shared" si="16"/>
        <v>10</v>
      </c>
      <c r="AD31" s="524">
        <f t="shared" si="14"/>
        <v>11</v>
      </c>
      <c r="AE31" s="40">
        <f t="shared" si="8"/>
        <v>12</v>
      </c>
      <c r="AF31" s="15">
        <f t="shared" si="20"/>
        <v>13</v>
      </c>
      <c r="AG31" s="43">
        <f t="shared" si="18"/>
        <v>14</v>
      </c>
      <c r="AH31" s="43">
        <f t="shared" si="22"/>
        <v>15</v>
      </c>
      <c r="AJ31" s="10" t="s">
        <v>481</v>
      </c>
      <c r="AK31" s="19" t="s">
        <v>148</v>
      </c>
      <c r="AL31" s="626">
        <f t="shared" si="3"/>
        <v>9</v>
      </c>
      <c r="AM31" s="624">
        <f t="shared" si="17"/>
        <v>10</v>
      </c>
      <c r="AN31" s="624">
        <f t="shared" si="15"/>
        <v>11</v>
      </c>
      <c r="AO31" s="624">
        <f t="shared" si="9"/>
        <v>12</v>
      </c>
      <c r="AP31" s="15">
        <f t="shared" si="21"/>
        <v>13</v>
      </c>
      <c r="AQ31" s="43">
        <f t="shared" si="19"/>
        <v>14</v>
      </c>
      <c r="AR31" s="43">
        <f t="shared" si="23"/>
        <v>15</v>
      </c>
    </row>
    <row r="32" spans="3:44" ht="18" customHeight="1" x14ac:dyDescent="0.3">
      <c r="C32" s="19" t="s">
        <v>148</v>
      </c>
      <c r="D32" s="624">
        <v>16</v>
      </c>
      <c r="E32" s="298">
        <v>16</v>
      </c>
      <c r="F32" s="624">
        <v>17</v>
      </c>
      <c r="G32" s="628">
        <v>17</v>
      </c>
      <c r="H32" s="626">
        <v>18</v>
      </c>
      <c r="I32" s="524">
        <v>18</v>
      </c>
      <c r="J32" s="624">
        <v>19</v>
      </c>
      <c r="K32" s="40">
        <v>19</v>
      </c>
      <c r="L32" s="12">
        <v>20</v>
      </c>
      <c r="M32" s="12">
        <v>20</v>
      </c>
      <c r="N32" s="43">
        <v>21</v>
      </c>
      <c r="O32" s="43">
        <v>21</v>
      </c>
      <c r="P32" s="12">
        <v>22</v>
      </c>
      <c r="Q32" s="12">
        <v>22</v>
      </c>
      <c r="R32" s="10" t="s">
        <v>482</v>
      </c>
      <c r="AA32" s="19" t="s">
        <v>148</v>
      </c>
      <c r="AB32" s="15">
        <f t="shared" si="2"/>
        <v>16</v>
      </c>
      <c r="AC32" s="15">
        <f t="shared" si="16"/>
        <v>17</v>
      </c>
      <c r="AD32" s="15">
        <f t="shared" si="14"/>
        <v>18</v>
      </c>
      <c r="AE32" s="40">
        <f t="shared" si="8"/>
        <v>19</v>
      </c>
      <c r="AF32" s="12">
        <f t="shared" si="20"/>
        <v>20</v>
      </c>
      <c r="AG32" s="43">
        <f t="shared" si="18"/>
        <v>21</v>
      </c>
      <c r="AH32" s="12">
        <f t="shared" si="22"/>
        <v>22</v>
      </c>
      <c r="AJ32" s="10" t="s">
        <v>482</v>
      </c>
      <c r="AK32" s="19" t="s">
        <v>148</v>
      </c>
      <c r="AL32" s="624">
        <f t="shared" si="3"/>
        <v>16</v>
      </c>
      <c r="AM32" s="624">
        <f t="shared" si="17"/>
        <v>17</v>
      </c>
      <c r="AN32" s="626">
        <f t="shared" si="15"/>
        <v>18</v>
      </c>
      <c r="AO32" s="624">
        <f t="shared" si="9"/>
        <v>19</v>
      </c>
      <c r="AP32" s="12">
        <f t="shared" si="21"/>
        <v>20</v>
      </c>
      <c r="AQ32" s="43">
        <f t="shared" si="19"/>
        <v>21</v>
      </c>
      <c r="AR32" s="12">
        <f t="shared" si="23"/>
        <v>22</v>
      </c>
    </row>
    <row r="33" spans="3:44" ht="18" customHeight="1" x14ac:dyDescent="0.3">
      <c r="C33" s="19" t="s">
        <v>148</v>
      </c>
      <c r="D33" s="12">
        <v>23</v>
      </c>
      <c r="E33" s="12">
        <v>23</v>
      </c>
      <c r="F33" s="12">
        <v>24</v>
      </c>
      <c r="G33" s="12">
        <v>24</v>
      </c>
      <c r="H33" s="12">
        <v>25</v>
      </c>
      <c r="I33" s="12">
        <v>25</v>
      </c>
      <c r="J33" s="12">
        <v>26</v>
      </c>
      <c r="K33" s="12">
        <v>26</v>
      </c>
      <c r="L33" s="12">
        <v>27</v>
      </c>
      <c r="M33" s="12">
        <v>27</v>
      </c>
      <c r="N33" s="36">
        <v>28</v>
      </c>
      <c r="O33" s="36">
        <v>28</v>
      </c>
      <c r="P33" s="36">
        <v>29</v>
      </c>
      <c r="Q33" s="15">
        <v>29</v>
      </c>
      <c r="R33" s="10" t="s">
        <v>483</v>
      </c>
      <c r="AA33" s="19" t="s">
        <v>148</v>
      </c>
      <c r="AB33" s="12">
        <f t="shared" si="2"/>
        <v>23</v>
      </c>
      <c r="AC33" s="12">
        <f t="shared" si="16"/>
        <v>24</v>
      </c>
      <c r="AD33" s="12">
        <f t="shared" si="14"/>
        <v>25</v>
      </c>
      <c r="AE33" s="12">
        <f t="shared" si="8"/>
        <v>26</v>
      </c>
      <c r="AF33" s="12">
        <f t="shared" si="20"/>
        <v>27</v>
      </c>
      <c r="AG33" s="36">
        <f t="shared" si="18"/>
        <v>28</v>
      </c>
      <c r="AH33" s="36">
        <f t="shared" si="22"/>
        <v>29</v>
      </c>
      <c r="AJ33" s="10" t="s">
        <v>483</v>
      </c>
      <c r="AK33" s="19" t="s">
        <v>148</v>
      </c>
      <c r="AL33" s="12">
        <f t="shared" si="3"/>
        <v>23</v>
      </c>
      <c r="AM33" s="12">
        <f t="shared" si="17"/>
        <v>24</v>
      </c>
      <c r="AN33" s="12">
        <f t="shared" si="15"/>
        <v>25</v>
      </c>
      <c r="AO33" s="12">
        <f t="shared" si="9"/>
        <v>26</v>
      </c>
      <c r="AP33" s="12">
        <f t="shared" si="21"/>
        <v>27</v>
      </c>
      <c r="AQ33" s="36">
        <f t="shared" si="19"/>
        <v>28</v>
      </c>
      <c r="AR33" s="36">
        <f t="shared" si="23"/>
        <v>29</v>
      </c>
    </row>
    <row r="34" spans="3:44" ht="18" customHeight="1" x14ac:dyDescent="0.3">
      <c r="C34" s="20" t="s">
        <v>437</v>
      </c>
      <c r="D34" s="626">
        <v>30</v>
      </c>
      <c r="E34" s="43">
        <v>30</v>
      </c>
      <c r="F34" s="43">
        <v>31</v>
      </c>
      <c r="G34" s="43">
        <v>31</v>
      </c>
      <c r="H34" s="43">
        <v>1</v>
      </c>
      <c r="I34" s="43">
        <v>1</v>
      </c>
      <c r="J34" s="43">
        <v>2</v>
      </c>
      <c r="K34" s="43">
        <v>2</v>
      </c>
      <c r="L34" s="43">
        <v>3</v>
      </c>
      <c r="M34" s="43">
        <v>3</v>
      </c>
      <c r="N34" s="43">
        <v>4</v>
      </c>
      <c r="O34" s="43">
        <v>4</v>
      </c>
      <c r="P34" s="43">
        <v>5</v>
      </c>
      <c r="Q34" s="43">
        <v>5</v>
      </c>
      <c r="R34" s="10" t="s">
        <v>484</v>
      </c>
      <c r="AA34" s="20" t="s">
        <v>437</v>
      </c>
      <c r="AB34" s="43">
        <f t="shared" si="2"/>
        <v>30</v>
      </c>
      <c r="AC34" s="43">
        <f t="shared" si="16"/>
        <v>31</v>
      </c>
      <c r="AD34" s="43">
        <v>1</v>
      </c>
      <c r="AE34" s="43">
        <f t="shared" si="8"/>
        <v>2</v>
      </c>
      <c r="AF34" s="43">
        <f t="shared" si="20"/>
        <v>3</v>
      </c>
      <c r="AG34" s="43">
        <f t="shared" si="18"/>
        <v>4</v>
      </c>
      <c r="AH34" s="43">
        <f t="shared" si="22"/>
        <v>5</v>
      </c>
      <c r="AJ34" s="10" t="s">
        <v>484</v>
      </c>
      <c r="AK34" s="20" t="s">
        <v>437</v>
      </c>
      <c r="AL34" s="626">
        <f t="shared" si="3"/>
        <v>30</v>
      </c>
      <c r="AM34" s="43">
        <f t="shared" si="17"/>
        <v>31</v>
      </c>
      <c r="AN34" s="43">
        <v>1</v>
      </c>
      <c r="AO34" s="43">
        <f t="shared" si="9"/>
        <v>2</v>
      </c>
      <c r="AP34" s="43">
        <f t="shared" si="21"/>
        <v>3</v>
      </c>
      <c r="AQ34" s="43">
        <f t="shared" si="19"/>
        <v>4</v>
      </c>
      <c r="AR34" s="43">
        <f t="shared" si="23"/>
        <v>5</v>
      </c>
    </row>
    <row r="35" spans="3:44" ht="18" customHeight="1" x14ac:dyDescent="0.3">
      <c r="C35" s="19" t="s">
        <v>149</v>
      </c>
      <c r="D35" s="624">
        <v>6</v>
      </c>
      <c r="E35" s="44">
        <v>6</v>
      </c>
      <c r="F35" s="626">
        <v>7</v>
      </c>
      <c r="G35" s="628">
        <v>7</v>
      </c>
      <c r="H35" s="626">
        <v>8</v>
      </c>
      <c r="I35" s="44">
        <v>8</v>
      </c>
      <c r="J35" s="36">
        <v>9</v>
      </c>
      <c r="K35" s="15">
        <v>9</v>
      </c>
      <c r="L35" s="12">
        <v>10</v>
      </c>
      <c r="M35" s="12">
        <v>10</v>
      </c>
      <c r="N35" s="12">
        <v>11</v>
      </c>
      <c r="O35" s="12">
        <v>11</v>
      </c>
      <c r="P35" s="12">
        <v>12</v>
      </c>
      <c r="Q35" s="12">
        <v>12</v>
      </c>
      <c r="R35" s="10" t="s">
        <v>485</v>
      </c>
      <c r="AA35" s="19" t="s">
        <v>149</v>
      </c>
      <c r="AB35" s="15">
        <f t="shared" si="2"/>
        <v>6</v>
      </c>
      <c r="AC35" s="15">
        <f t="shared" si="16"/>
        <v>7</v>
      </c>
      <c r="AD35" s="15">
        <f t="shared" ref="AD35:AD56" si="24">AC35+1</f>
        <v>8</v>
      </c>
      <c r="AE35" s="15">
        <f t="shared" si="8"/>
        <v>9</v>
      </c>
      <c r="AF35" s="12">
        <f t="shared" si="20"/>
        <v>10</v>
      </c>
      <c r="AG35" s="12">
        <f t="shared" si="18"/>
        <v>11</v>
      </c>
      <c r="AH35" s="12">
        <f t="shared" si="22"/>
        <v>12</v>
      </c>
      <c r="AJ35" s="10" t="s">
        <v>485</v>
      </c>
      <c r="AK35" s="19" t="s">
        <v>149</v>
      </c>
      <c r="AL35" s="624">
        <f t="shared" si="3"/>
        <v>6</v>
      </c>
      <c r="AM35" s="626">
        <f t="shared" si="17"/>
        <v>7</v>
      </c>
      <c r="AN35" s="626">
        <f t="shared" ref="AN35:AN56" si="25">AM35+1</f>
        <v>8</v>
      </c>
      <c r="AO35" s="36">
        <f t="shared" si="9"/>
        <v>9</v>
      </c>
      <c r="AP35" s="12">
        <f t="shared" si="21"/>
        <v>10</v>
      </c>
      <c r="AQ35" s="12">
        <f t="shared" si="19"/>
        <v>11</v>
      </c>
      <c r="AR35" s="12">
        <f t="shared" si="23"/>
        <v>12</v>
      </c>
    </row>
    <row r="36" spans="3:44" ht="18" customHeight="1" x14ac:dyDescent="0.3">
      <c r="C36" s="19" t="s">
        <v>149</v>
      </c>
      <c r="D36" s="12">
        <v>13</v>
      </c>
      <c r="E36" s="12">
        <v>13</v>
      </c>
      <c r="F36" s="12">
        <v>14</v>
      </c>
      <c r="G36" s="12">
        <v>14</v>
      </c>
      <c r="H36" s="12">
        <v>15</v>
      </c>
      <c r="I36" s="12">
        <v>15</v>
      </c>
      <c r="J36" s="12">
        <v>16</v>
      </c>
      <c r="K36" s="12">
        <v>16</v>
      </c>
      <c r="L36" s="12">
        <v>17</v>
      </c>
      <c r="M36" s="12">
        <v>17</v>
      </c>
      <c r="N36" s="12">
        <v>18</v>
      </c>
      <c r="O36" s="12">
        <v>18</v>
      </c>
      <c r="P36" s="12">
        <v>19</v>
      </c>
      <c r="Q36" s="12">
        <v>19</v>
      </c>
      <c r="R36" s="10"/>
      <c r="AA36" s="19" t="s">
        <v>149</v>
      </c>
      <c r="AB36" s="12">
        <f t="shared" si="2"/>
        <v>13</v>
      </c>
      <c r="AC36" s="12">
        <f t="shared" si="16"/>
        <v>14</v>
      </c>
      <c r="AD36" s="12">
        <f t="shared" si="24"/>
        <v>15</v>
      </c>
      <c r="AE36" s="12">
        <f t="shared" si="8"/>
        <v>16</v>
      </c>
      <c r="AF36" s="12">
        <f t="shared" si="20"/>
        <v>17</v>
      </c>
      <c r="AG36" s="12">
        <f t="shared" si="18"/>
        <v>18</v>
      </c>
      <c r="AH36" s="12">
        <f t="shared" si="22"/>
        <v>19</v>
      </c>
      <c r="AJ36" s="10"/>
      <c r="AK36" s="19" t="s">
        <v>149</v>
      </c>
      <c r="AL36" s="12">
        <f t="shared" si="3"/>
        <v>13</v>
      </c>
      <c r="AM36" s="12">
        <f t="shared" si="17"/>
        <v>14</v>
      </c>
      <c r="AN36" s="12">
        <f t="shared" si="25"/>
        <v>15</v>
      </c>
      <c r="AO36" s="12">
        <f t="shared" si="9"/>
        <v>16</v>
      </c>
      <c r="AP36" s="12">
        <f t="shared" si="21"/>
        <v>17</v>
      </c>
      <c r="AQ36" s="12">
        <f t="shared" si="19"/>
        <v>18</v>
      </c>
      <c r="AR36" s="12">
        <f t="shared" si="23"/>
        <v>19</v>
      </c>
    </row>
    <row r="37" spans="3:44" ht="18" customHeight="1" x14ac:dyDescent="0.3">
      <c r="C37" s="19" t="s">
        <v>149</v>
      </c>
      <c r="D37" s="12">
        <v>20</v>
      </c>
      <c r="E37" s="12">
        <v>20</v>
      </c>
      <c r="F37" s="12">
        <v>21</v>
      </c>
      <c r="G37" s="12">
        <v>21</v>
      </c>
      <c r="H37" s="12">
        <v>22</v>
      </c>
      <c r="I37" s="12">
        <v>22</v>
      </c>
      <c r="J37" s="12">
        <v>23</v>
      </c>
      <c r="K37" s="12">
        <v>23</v>
      </c>
      <c r="L37" s="12">
        <v>24</v>
      </c>
      <c r="M37" s="12">
        <v>24</v>
      </c>
      <c r="N37" s="12">
        <v>25</v>
      </c>
      <c r="O37" s="12">
        <v>25</v>
      </c>
      <c r="P37" s="12">
        <v>26</v>
      </c>
      <c r="Q37" s="12">
        <v>26</v>
      </c>
      <c r="R37" s="22"/>
      <c r="AA37" s="19" t="s">
        <v>149</v>
      </c>
      <c r="AB37" s="12">
        <f t="shared" si="2"/>
        <v>20</v>
      </c>
      <c r="AC37" s="12">
        <f t="shared" si="16"/>
        <v>21</v>
      </c>
      <c r="AD37" s="12">
        <f t="shared" si="24"/>
        <v>22</v>
      </c>
      <c r="AE37" s="12">
        <f t="shared" si="8"/>
        <v>23</v>
      </c>
      <c r="AF37" s="12">
        <f t="shared" si="20"/>
        <v>24</v>
      </c>
      <c r="AG37" s="12">
        <f t="shared" si="18"/>
        <v>25</v>
      </c>
      <c r="AH37" s="12">
        <f t="shared" si="22"/>
        <v>26</v>
      </c>
      <c r="AJ37" s="22"/>
      <c r="AK37" s="19" t="s">
        <v>149</v>
      </c>
      <c r="AL37" s="12">
        <f t="shared" si="3"/>
        <v>20</v>
      </c>
      <c r="AM37" s="12">
        <f t="shared" si="17"/>
        <v>21</v>
      </c>
      <c r="AN37" s="12">
        <f t="shared" si="25"/>
        <v>22</v>
      </c>
      <c r="AO37" s="12">
        <f t="shared" si="9"/>
        <v>23</v>
      </c>
      <c r="AP37" s="12">
        <f t="shared" si="21"/>
        <v>24</v>
      </c>
      <c r="AQ37" s="12">
        <f t="shared" si="19"/>
        <v>25</v>
      </c>
      <c r="AR37" s="12">
        <f t="shared" si="23"/>
        <v>26</v>
      </c>
    </row>
    <row r="38" spans="3:44" ht="18" customHeight="1" x14ac:dyDescent="0.3">
      <c r="C38" s="21" t="s">
        <v>438</v>
      </c>
      <c r="D38" s="12">
        <v>27</v>
      </c>
      <c r="E38" s="12">
        <v>27</v>
      </c>
      <c r="F38" s="36">
        <v>28</v>
      </c>
      <c r="G38" s="677">
        <v>28</v>
      </c>
      <c r="H38" s="626">
        <v>29</v>
      </c>
      <c r="I38" s="628">
        <v>29</v>
      </c>
      <c r="J38" s="36">
        <v>30</v>
      </c>
      <c r="K38" s="44">
        <v>30</v>
      </c>
      <c r="L38" s="36">
        <v>31</v>
      </c>
      <c r="M38" s="36">
        <v>31</v>
      </c>
      <c r="N38" s="36">
        <v>1</v>
      </c>
      <c r="O38" s="36">
        <v>1</v>
      </c>
      <c r="P38" s="36">
        <v>2</v>
      </c>
      <c r="Q38" s="36">
        <v>2</v>
      </c>
      <c r="R38" s="10" t="s">
        <v>486</v>
      </c>
      <c r="AA38" s="21" t="s">
        <v>438</v>
      </c>
      <c r="AB38" s="12">
        <f t="shared" si="2"/>
        <v>27</v>
      </c>
      <c r="AC38" s="13">
        <f t="shared" si="16"/>
        <v>28</v>
      </c>
      <c r="AD38" s="13">
        <f t="shared" si="24"/>
        <v>29</v>
      </c>
      <c r="AE38" s="36">
        <f t="shared" si="8"/>
        <v>30</v>
      </c>
      <c r="AF38" s="36">
        <f t="shared" si="20"/>
        <v>31</v>
      </c>
      <c r="AG38" s="36">
        <v>1</v>
      </c>
      <c r="AH38" s="36">
        <f t="shared" si="22"/>
        <v>2</v>
      </c>
      <c r="AJ38" s="10" t="s">
        <v>486</v>
      </c>
      <c r="AK38" s="21" t="s">
        <v>438</v>
      </c>
      <c r="AL38" s="12">
        <f t="shared" si="3"/>
        <v>27</v>
      </c>
      <c r="AM38" s="36">
        <f t="shared" si="17"/>
        <v>28</v>
      </c>
      <c r="AN38" s="626">
        <f t="shared" si="25"/>
        <v>29</v>
      </c>
      <c r="AO38" s="36">
        <f t="shared" si="9"/>
        <v>30</v>
      </c>
      <c r="AP38" s="36">
        <f t="shared" si="21"/>
        <v>31</v>
      </c>
      <c r="AQ38" s="36">
        <v>1</v>
      </c>
      <c r="AR38" s="36">
        <f t="shared" si="23"/>
        <v>2</v>
      </c>
    </row>
    <row r="39" spans="3:44" ht="18" customHeight="1" x14ac:dyDescent="0.3">
      <c r="C39" s="19" t="s">
        <v>150</v>
      </c>
      <c r="D39" s="15">
        <v>3</v>
      </c>
      <c r="E39" s="15">
        <v>3</v>
      </c>
      <c r="F39" s="626">
        <v>4</v>
      </c>
      <c r="G39" s="677">
        <v>4</v>
      </c>
      <c r="H39" s="15">
        <v>5</v>
      </c>
      <c r="I39" s="628">
        <v>4</v>
      </c>
      <c r="J39" s="15">
        <v>6</v>
      </c>
      <c r="K39" s="677">
        <v>6</v>
      </c>
      <c r="L39" s="12">
        <v>7</v>
      </c>
      <c r="M39" s="12">
        <v>7</v>
      </c>
      <c r="N39" s="12">
        <v>8</v>
      </c>
      <c r="O39" s="12">
        <v>8</v>
      </c>
      <c r="P39" s="12">
        <v>9</v>
      </c>
      <c r="Q39" s="12">
        <v>9</v>
      </c>
      <c r="R39" s="7" t="s">
        <v>487</v>
      </c>
      <c r="AA39" s="19" t="s">
        <v>150</v>
      </c>
      <c r="AB39" s="15">
        <f t="shared" si="2"/>
        <v>3</v>
      </c>
      <c r="AC39" s="15">
        <f t="shared" si="16"/>
        <v>4</v>
      </c>
      <c r="AD39" s="15">
        <f t="shared" si="24"/>
        <v>5</v>
      </c>
      <c r="AE39" s="15">
        <f t="shared" si="8"/>
        <v>6</v>
      </c>
      <c r="AF39" s="12">
        <f t="shared" si="20"/>
        <v>7</v>
      </c>
      <c r="AG39" s="12">
        <f t="shared" ref="AG39:AG50" si="26">AF39+1</f>
        <v>8</v>
      </c>
      <c r="AH39" s="12">
        <f t="shared" si="22"/>
        <v>9</v>
      </c>
      <c r="AJ39" s="7" t="s">
        <v>487</v>
      </c>
      <c r="AK39" s="19" t="s">
        <v>150</v>
      </c>
      <c r="AL39" s="626">
        <f t="shared" si="3"/>
        <v>3</v>
      </c>
      <c r="AM39" s="15">
        <f t="shared" si="17"/>
        <v>4</v>
      </c>
      <c r="AN39" s="15">
        <f t="shared" si="25"/>
        <v>5</v>
      </c>
      <c r="AO39" s="15">
        <f t="shared" si="9"/>
        <v>6</v>
      </c>
      <c r="AP39" s="12">
        <f t="shared" si="21"/>
        <v>7</v>
      </c>
      <c r="AQ39" s="12">
        <f t="shared" ref="AQ39:AQ50" si="27">AP39+1</f>
        <v>8</v>
      </c>
      <c r="AR39" s="12">
        <f t="shared" si="23"/>
        <v>9</v>
      </c>
    </row>
    <row r="40" spans="3:44" ht="18" customHeight="1" x14ac:dyDescent="0.3">
      <c r="C40" s="19" t="s">
        <v>150</v>
      </c>
      <c r="D40" s="15">
        <v>10</v>
      </c>
      <c r="E40" s="15">
        <v>10</v>
      </c>
      <c r="F40" s="15">
        <v>11</v>
      </c>
      <c r="G40" s="678">
        <v>11</v>
      </c>
      <c r="H40" s="15">
        <v>12</v>
      </c>
      <c r="I40" s="628">
        <v>12</v>
      </c>
      <c r="J40" s="15">
        <v>13</v>
      </c>
      <c r="K40" s="676">
        <v>13</v>
      </c>
      <c r="L40" s="36">
        <v>14</v>
      </c>
      <c r="M40" s="36">
        <v>14</v>
      </c>
      <c r="N40" s="36">
        <v>15</v>
      </c>
      <c r="O40" s="36">
        <v>15</v>
      </c>
      <c r="P40" s="36">
        <v>16</v>
      </c>
      <c r="Q40" s="15">
        <v>16</v>
      </c>
      <c r="R40" s="10" t="s">
        <v>463</v>
      </c>
      <c r="AA40" s="19" t="s">
        <v>150</v>
      </c>
      <c r="AB40" s="15">
        <f t="shared" si="2"/>
        <v>10</v>
      </c>
      <c r="AC40" s="15">
        <f t="shared" si="16"/>
        <v>11</v>
      </c>
      <c r="AD40" s="15">
        <f t="shared" si="24"/>
        <v>12</v>
      </c>
      <c r="AE40" s="15">
        <f t="shared" si="8"/>
        <v>13</v>
      </c>
      <c r="AF40" s="36">
        <f t="shared" si="20"/>
        <v>14</v>
      </c>
      <c r="AG40" s="36">
        <f t="shared" si="26"/>
        <v>15</v>
      </c>
      <c r="AH40" s="36">
        <f t="shared" si="22"/>
        <v>16</v>
      </c>
      <c r="AJ40" s="10" t="s">
        <v>463</v>
      </c>
      <c r="AK40" s="19" t="s">
        <v>150</v>
      </c>
      <c r="AL40" s="15">
        <f t="shared" si="3"/>
        <v>10</v>
      </c>
      <c r="AM40" s="15">
        <f t="shared" si="17"/>
        <v>11</v>
      </c>
      <c r="AN40" s="15">
        <f t="shared" si="25"/>
        <v>12</v>
      </c>
      <c r="AO40" s="15">
        <f t="shared" si="9"/>
        <v>13</v>
      </c>
      <c r="AP40" s="36">
        <f t="shared" si="21"/>
        <v>14</v>
      </c>
      <c r="AQ40" s="36">
        <f t="shared" si="27"/>
        <v>15</v>
      </c>
      <c r="AR40" s="36">
        <f t="shared" si="23"/>
        <v>16</v>
      </c>
    </row>
    <row r="41" spans="3:44" ht="18" customHeight="1" x14ac:dyDescent="0.3">
      <c r="C41" s="19" t="s">
        <v>150</v>
      </c>
      <c r="D41" s="15">
        <v>17</v>
      </c>
      <c r="E41" s="15">
        <v>17</v>
      </c>
      <c r="F41" s="15">
        <v>18</v>
      </c>
      <c r="G41" s="678">
        <v>18</v>
      </c>
      <c r="H41" s="15">
        <v>19</v>
      </c>
      <c r="I41" s="524">
        <v>19</v>
      </c>
      <c r="J41" s="15">
        <v>20</v>
      </c>
      <c r="K41" s="676">
        <v>20</v>
      </c>
      <c r="L41" s="12">
        <v>21</v>
      </c>
      <c r="M41" s="12">
        <v>21</v>
      </c>
      <c r="N41" s="12">
        <v>22</v>
      </c>
      <c r="O41" s="12">
        <v>22</v>
      </c>
      <c r="P41" s="12">
        <v>23</v>
      </c>
      <c r="Q41" s="12">
        <v>23</v>
      </c>
      <c r="R41" s="10"/>
      <c r="AA41" s="19" t="s">
        <v>150</v>
      </c>
      <c r="AB41" s="15">
        <f t="shared" si="2"/>
        <v>17</v>
      </c>
      <c r="AC41" s="15">
        <f t="shared" si="16"/>
        <v>18</v>
      </c>
      <c r="AD41" s="15">
        <f t="shared" si="24"/>
        <v>19</v>
      </c>
      <c r="AE41" s="15">
        <f t="shared" si="8"/>
        <v>20</v>
      </c>
      <c r="AF41" s="12">
        <f t="shared" si="20"/>
        <v>21</v>
      </c>
      <c r="AG41" s="12">
        <f t="shared" si="26"/>
        <v>22</v>
      </c>
      <c r="AH41" s="12">
        <f t="shared" si="22"/>
        <v>23</v>
      </c>
      <c r="AJ41" s="10"/>
      <c r="AK41" s="19" t="s">
        <v>150</v>
      </c>
      <c r="AL41" s="15">
        <f t="shared" si="3"/>
        <v>17</v>
      </c>
      <c r="AM41" s="15">
        <f t="shared" si="17"/>
        <v>18</v>
      </c>
      <c r="AN41" s="15">
        <f t="shared" si="25"/>
        <v>19</v>
      </c>
      <c r="AO41" s="15">
        <f t="shared" si="9"/>
        <v>20</v>
      </c>
      <c r="AP41" s="12">
        <f t="shared" si="21"/>
        <v>21</v>
      </c>
      <c r="AQ41" s="12">
        <f t="shared" si="27"/>
        <v>22</v>
      </c>
      <c r="AR41" s="12">
        <f t="shared" si="23"/>
        <v>23</v>
      </c>
    </row>
    <row r="42" spans="3:44" ht="18" customHeight="1" x14ac:dyDescent="0.3">
      <c r="C42" s="19" t="s">
        <v>150</v>
      </c>
      <c r="D42" s="15">
        <v>24</v>
      </c>
      <c r="E42" s="15">
        <v>24</v>
      </c>
      <c r="F42" s="15">
        <v>25</v>
      </c>
      <c r="G42" s="678">
        <v>25</v>
      </c>
      <c r="H42" s="626">
        <v>26</v>
      </c>
      <c r="I42" s="15">
        <v>26</v>
      </c>
      <c r="J42" s="15">
        <v>27</v>
      </c>
      <c r="K42" s="676">
        <v>27</v>
      </c>
      <c r="L42" s="36">
        <v>28</v>
      </c>
      <c r="M42" s="36">
        <v>28</v>
      </c>
      <c r="N42" s="36">
        <v>29</v>
      </c>
      <c r="O42" s="36">
        <v>29</v>
      </c>
      <c r="P42" s="36">
        <v>30</v>
      </c>
      <c r="Q42" s="15">
        <v>30</v>
      </c>
      <c r="R42" s="10" t="s">
        <v>488</v>
      </c>
      <c r="AA42" s="19" t="s">
        <v>150</v>
      </c>
      <c r="AB42" s="15">
        <f t="shared" si="2"/>
        <v>24</v>
      </c>
      <c r="AC42" s="15">
        <f t="shared" si="16"/>
        <v>25</v>
      </c>
      <c r="AD42" s="15">
        <f t="shared" si="24"/>
        <v>26</v>
      </c>
      <c r="AE42" s="15">
        <f t="shared" si="8"/>
        <v>27</v>
      </c>
      <c r="AF42" s="36">
        <f t="shared" si="20"/>
        <v>28</v>
      </c>
      <c r="AG42" s="36">
        <f t="shared" si="26"/>
        <v>29</v>
      </c>
      <c r="AH42" s="36">
        <f t="shared" si="22"/>
        <v>30</v>
      </c>
      <c r="AJ42" s="10" t="s">
        <v>489</v>
      </c>
      <c r="AK42" s="19" t="s">
        <v>150</v>
      </c>
      <c r="AL42" s="15">
        <f t="shared" si="3"/>
        <v>24</v>
      </c>
      <c r="AM42" s="15">
        <f t="shared" si="17"/>
        <v>25</v>
      </c>
      <c r="AN42" s="626">
        <f t="shared" si="25"/>
        <v>26</v>
      </c>
      <c r="AO42" s="15">
        <f t="shared" si="9"/>
        <v>27</v>
      </c>
      <c r="AP42" s="36">
        <f t="shared" si="21"/>
        <v>28</v>
      </c>
      <c r="AQ42" s="36">
        <f t="shared" si="27"/>
        <v>29</v>
      </c>
      <c r="AR42" s="36">
        <f t="shared" si="23"/>
        <v>30</v>
      </c>
    </row>
    <row r="43" spans="3:44" ht="18" customHeight="1" x14ac:dyDescent="0.3">
      <c r="C43" s="20" t="s">
        <v>151</v>
      </c>
      <c r="D43" s="15">
        <v>1</v>
      </c>
      <c r="E43" s="628">
        <v>1</v>
      </c>
      <c r="F43" s="15">
        <v>2</v>
      </c>
      <c r="G43" s="678">
        <v>2</v>
      </c>
      <c r="H43" s="15">
        <v>3</v>
      </c>
      <c r="I43" s="524">
        <v>3</v>
      </c>
      <c r="J43" s="15">
        <v>4</v>
      </c>
      <c r="K43" s="676">
        <v>4</v>
      </c>
      <c r="L43" s="12">
        <v>5</v>
      </c>
      <c r="M43" s="12">
        <v>5</v>
      </c>
      <c r="N43" s="12">
        <v>6</v>
      </c>
      <c r="O43" s="12">
        <v>6</v>
      </c>
      <c r="P43" s="12">
        <v>7</v>
      </c>
      <c r="Q43" s="12">
        <v>7</v>
      </c>
      <c r="R43" s="35"/>
      <c r="AA43" s="20" t="s">
        <v>151</v>
      </c>
      <c r="AB43" s="15">
        <v>1</v>
      </c>
      <c r="AC43" s="15">
        <f t="shared" si="16"/>
        <v>2</v>
      </c>
      <c r="AD43" s="15">
        <f t="shared" si="24"/>
        <v>3</v>
      </c>
      <c r="AE43" s="15">
        <f t="shared" si="8"/>
        <v>4</v>
      </c>
      <c r="AF43" s="12">
        <f t="shared" si="20"/>
        <v>5</v>
      </c>
      <c r="AG43" s="12">
        <f t="shared" si="26"/>
        <v>6</v>
      </c>
      <c r="AH43" s="12">
        <f t="shared" si="22"/>
        <v>7</v>
      </c>
      <c r="AJ43" s="35"/>
      <c r="AK43" s="20" t="s">
        <v>151</v>
      </c>
      <c r="AL43" s="15">
        <v>1</v>
      </c>
      <c r="AM43" s="15">
        <f t="shared" si="17"/>
        <v>2</v>
      </c>
      <c r="AN43" s="15">
        <f t="shared" si="25"/>
        <v>3</v>
      </c>
      <c r="AO43" s="15">
        <f t="shared" si="9"/>
        <v>4</v>
      </c>
      <c r="AP43" s="12">
        <f t="shared" si="21"/>
        <v>5</v>
      </c>
      <c r="AQ43" s="12">
        <f t="shared" si="27"/>
        <v>6</v>
      </c>
      <c r="AR43" s="12">
        <f t="shared" si="23"/>
        <v>7</v>
      </c>
    </row>
    <row r="44" spans="3:44" ht="18" customHeight="1" x14ac:dyDescent="0.3">
      <c r="C44" s="19" t="s">
        <v>151</v>
      </c>
      <c r="D44" s="15">
        <v>8</v>
      </c>
      <c r="E44" s="675">
        <v>8</v>
      </c>
      <c r="F44" s="626">
        <v>9</v>
      </c>
      <c r="G44" s="677">
        <v>9</v>
      </c>
      <c r="H44" s="15">
        <v>10</v>
      </c>
      <c r="I44" s="628">
        <v>10</v>
      </c>
      <c r="J44" s="15">
        <v>11</v>
      </c>
      <c r="K44" s="677">
        <v>11</v>
      </c>
      <c r="L44" s="36">
        <v>12</v>
      </c>
      <c r="M44" s="36">
        <v>12</v>
      </c>
      <c r="N44" s="36">
        <v>13</v>
      </c>
      <c r="O44" s="36">
        <v>13</v>
      </c>
      <c r="P44" s="36">
        <v>14</v>
      </c>
      <c r="Q44" s="36">
        <v>14</v>
      </c>
      <c r="R44" s="10" t="s">
        <v>490</v>
      </c>
      <c r="AA44" s="19" t="s">
        <v>151</v>
      </c>
      <c r="AB44" s="15">
        <f t="shared" ref="AB44:AB56" si="28">AH43+1</f>
        <v>8</v>
      </c>
      <c r="AC44" s="15">
        <f t="shared" si="16"/>
        <v>9</v>
      </c>
      <c r="AD44" s="15">
        <f t="shared" si="24"/>
        <v>10</v>
      </c>
      <c r="AE44" s="15">
        <f t="shared" si="8"/>
        <v>11</v>
      </c>
      <c r="AF44" s="36">
        <f t="shared" si="20"/>
        <v>12</v>
      </c>
      <c r="AG44" s="36">
        <f t="shared" si="26"/>
        <v>13</v>
      </c>
      <c r="AH44" s="36">
        <f t="shared" si="22"/>
        <v>14</v>
      </c>
      <c r="AJ44" s="10" t="s">
        <v>490</v>
      </c>
      <c r="AK44" s="19" t="s">
        <v>151</v>
      </c>
      <c r="AL44" s="15">
        <f t="shared" ref="AL44:AL56" si="29">AR43+1</f>
        <v>8</v>
      </c>
      <c r="AM44" s="626">
        <f t="shared" si="17"/>
        <v>9</v>
      </c>
      <c r="AN44" s="15">
        <f t="shared" si="25"/>
        <v>10</v>
      </c>
      <c r="AO44" s="15">
        <f t="shared" si="9"/>
        <v>11</v>
      </c>
      <c r="AP44" s="36">
        <f t="shared" si="21"/>
        <v>12</v>
      </c>
      <c r="AQ44" s="36">
        <f t="shared" si="27"/>
        <v>13</v>
      </c>
      <c r="AR44" s="36">
        <f t="shared" si="23"/>
        <v>14</v>
      </c>
    </row>
    <row r="45" spans="3:44" ht="18" customHeight="1" x14ac:dyDescent="0.3">
      <c r="C45" s="19" t="s">
        <v>151</v>
      </c>
      <c r="D45" s="15">
        <v>15</v>
      </c>
      <c r="E45" s="675">
        <v>15</v>
      </c>
      <c r="F45" s="15">
        <v>16</v>
      </c>
      <c r="G45" s="677">
        <v>16</v>
      </c>
      <c r="H45" s="12">
        <v>17</v>
      </c>
      <c r="I45" s="12">
        <v>17</v>
      </c>
      <c r="J45" s="12">
        <v>18</v>
      </c>
      <c r="K45" s="15">
        <v>18</v>
      </c>
      <c r="L45" s="12">
        <v>19</v>
      </c>
      <c r="M45" s="12">
        <v>19</v>
      </c>
      <c r="N45" s="12">
        <v>20</v>
      </c>
      <c r="O45" s="12">
        <v>20</v>
      </c>
      <c r="P45" s="12">
        <v>21</v>
      </c>
      <c r="Q45" s="12">
        <v>21</v>
      </c>
      <c r="R45" s="10" t="s">
        <v>423</v>
      </c>
      <c r="AA45" s="19" t="s">
        <v>151</v>
      </c>
      <c r="AB45" s="15">
        <f t="shared" si="28"/>
        <v>15</v>
      </c>
      <c r="AC45" s="15">
        <f t="shared" si="16"/>
        <v>16</v>
      </c>
      <c r="AD45" s="12">
        <f t="shared" si="24"/>
        <v>17</v>
      </c>
      <c r="AE45" s="12">
        <f t="shared" si="8"/>
        <v>18</v>
      </c>
      <c r="AF45" s="12">
        <f t="shared" si="20"/>
        <v>19</v>
      </c>
      <c r="AG45" s="12">
        <f t="shared" si="26"/>
        <v>20</v>
      </c>
      <c r="AH45" s="12">
        <f t="shared" si="22"/>
        <v>21</v>
      </c>
      <c r="AJ45" s="10" t="s">
        <v>423</v>
      </c>
      <c r="AK45" s="19" t="s">
        <v>151</v>
      </c>
      <c r="AL45" s="15">
        <f t="shared" si="29"/>
        <v>15</v>
      </c>
      <c r="AM45" s="15">
        <f t="shared" si="17"/>
        <v>16</v>
      </c>
      <c r="AN45" s="12">
        <f t="shared" si="25"/>
        <v>17</v>
      </c>
      <c r="AO45" s="12">
        <f t="shared" si="9"/>
        <v>18</v>
      </c>
      <c r="AP45" s="12">
        <f t="shared" si="21"/>
        <v>19</v>
      </c>
      <c r="AQ45" s="12">
        <f t="shared" si="27"/>
        <v>20</v>
      </c>
      <c r="AR45" s="12">
        <f t="shared" si="23"/>
        <v>21</v>
      </c>
    </row>
    <row r="46" spans="3:44" ht="18" customHeight="1" x14ac:dyDescent="0.3">
      <c r="C46" s="19" t="s">
        <v>151</v>
      </c>
      <c r="D46" s="15">
        <v>22</v>
      </c>
      <c r="E46" s="675">
        <v>22</v>
      </c>
      <c r="F46" s="626">
        <v>23</v>
      </c>
      <c r="G46" s="676">
        <v>23</v>
      </c>
      <c r="H46" s="626">
        <v>24</v>
      </c>
      <c r="I46" s="524">
        <v>24</v>
      </c>
      <c r="J46" s="626">
        <v>25</v>
      </c>
      <c r="K46" s="678">
        <v>25</v>
      </c>
      <c r="L46" s="626">
        <v>26</v>
      </c>
      <c r="M46" s="15">
        <v>26</v>
      </c>
      <c r="N46" s="626">
        <v>27</v>
      </c>
      <c r="O46" s="15">
        <v>27</v>
      </c>
      <c r="P46" s="626">
        <v>28</v>
      </c>
      <c r="Q46" s="626">
        <v>28</v>
      </c>
      <c r="R46" s="10" t="s">
        <v>177</v>
      </c>
      <c r="AA46" s="19" t="s">
        <v>151</v>
      </c>
      <c r="AB46" s="15">
        <f t="shared" si="28"/>
        <v>22</v>
      </c>
      <c r="AC46" s="15">
        <f t="shared" si="16"/>
        <v>23</v>
      </c>
      <c r="AD46" s="38">
        <f t="shared" si="24"/>
        <v>24</v>
      </c>
      <c r="AE46" s="38">
        <f t="shared" si="8"/>
        <v>25</v>
      </c>
      <c r="AF46" s="38">
        <f t="shared" si="20"/>
        <v>26</v>
      </c>
      <c r="AG46" s="38">
        <f t="shared" si="26"/>
        <v>27</v>
      </c>
      <c r="AH46" s="38">
        <f t="shared" si="22"/>
        <v>28</v>
      </c>
      <c r="AJ46" s="10" t="s">
        <v>177</v>
      </c>
      <c r="AK46" s="19" t="s">
        <v>151</v>
      </c>
      <c r="AL46" s="15">
        <f t="shared" si="29"/>
        <v>22</v>
      </c>
      <c r="AM46" s="15">
        <f t="shared" si="17"/>
        <v>23</v>
      </c>
      <c r="AN46" s="626">
        <f t="shared" si="25"/>
        <v>24</v>
      </c>
      <c r="AO46" s="626">
        <f t="shared" si="9"/>
        <v>25</v>
      </c>
      <c r="AP46" s="626">
        <f t="shared" si="21"/>
        <v>26</v>
      </c>
      <c r="AQ46" s="626">
        <f t="shared" si="27"/>
        <v>27</v>
      </c>
      <c r="AR46" s="626">
        <f t="shared" si="23"/>
        <v>28</v>
      </c>
    </row>
    <row r="47" spans="3:44" ht="18" customHeight="1" x14ac:dyDescent="0.3">
      <c r="C47" s="20" t="s">
        <v>442</v>
      </c>
      <c r="D47" s="626">
        <v>29</v>
      </c>
      <c r="E47" s="675">
        <v>29</v>
      </c>
      <c r="F47" s="626">
        <v>30</v>
      </c>
      <c r="G47" s="676">
        <v>30</v>
      </c>
      <c r="H47" s="626">
        <v>31</v>
      </c>
      <c r="I47" s="15">
        <v>31</v>
      </c>
      <c r="J47" s="626">
        <v>1</v>
      </c>
      <c r="K47" s="677">
        <v>1</v>
      </c>
      <c r="L47" s="12">
        <v>2</v>
      </c>
      <c r="M47" s="12">
        <v>2</v>
      </c>
      <c r="N47" s="12">
        <v>3</v>
      </c>
      <c r="O47" s="12">
        <v>3</v>
      </c>
      <c r="P47" s="12">
        <v>4</v>
      </c>
      <c r="Q47" s="12">
        <v>4</v>
      </c>
      <c r="R47" s="10"/>
      <c r="AA47" s="20" t="s">
        <v>442</v>
      </c>
      <c r="AB47" s="38">
        <f t="shared" si="28"/>
        <v>29</v>
      </c>
      <c r="AC47" s="38">
        <f t="shared" si="16"/>
        <v>30</v>
      </c>
      <c r="AD47" s="38">
        <f t="shared" si="24"/>
        <v>31</v>
      </c>
      <c r="AE47" s="38">
        <v>1</v>
      </c>
      <c r="AF47" s="12">
        <f t="shared" si="20"/>
        <v>2</v>
      </c>
      <c r="AG47" s="12">
        <f t="shared" si="26"/>
        <v>3</v>
      </c>
      <c r="AH47" s="12">
        <f t="shared" si="22"/>
        <v>4</v>
      </c>
      <c r="AJ47" s="10"/>
      <c r="AK47" s="20" t="s">
        <v>442</v>
      </c>
      <c r="AL47" s="626">
        <f t="shared" si="29"/>
        <v>29</v>
      </c>
      <c r="AM47" s="626">
        <f t="shared" si="17"/>
        <v>30</v>
      </c>
      <c r="AN47" s="626">
        <f t="shared" si="25"/>
        <v>31</v>
      </c>
      <c r="AO47" s="626">
        <v>1</v>
      </c>
      <c r="AP47" s="12">
        <f t="shared" si="21"/>
        <v>2</v>
      </c>
      <c r="AQ47" s="12">
        <f t="shared" si="27"/>
        <v>3</v>
      </c>
      <c r="AR47" s="12">
        <f t="shared" si="23"/>
        <v>4</v>
      </c>
    </row>
    <row r="48" spans="3:44" ht="18" customHeight="1" x14ac:dyDescent="0.3">
      <c r="C48" s="19" t="s">
        <v>152</v>
      </c>
      <c r="D48" s="15">
        <v>5</v>
      </c>
      <c r="E48" s="298">
        <v>5</v>
      </c>
      <c r="F48" s="15">
        <v>6</v>
      </c>
      <c r="G48" s="676">
        <v>6</v>
      </c>
      <c r="H48" s="15">
        <v>7</v>
      </c>
      <c r="I48" s="628">
        <v>7</v>
      </c>
      <c r="J48" s="15">
        <v>8</v>
      </c>
      <c r="K48" s="677">
        <v>8</v>
      </c>
      <c r="L48" s="36">
        <v>9</v>
      </c>
      <c r="M48" s="36">
        <v>9</v>
      </c>
      <c r="N48" s="36">
        <v>10</v>
      </c>
      <c r="O48" s="36">
        <v>10</v>
      </c>
      <c r="P48" s="36">
        <v>11</v>
      </c>
      <c r="Q48" s="36">
        <v>11</v>
      </c>
      <c r="R48" s="10" t="s">
        <v>491</v>
      </c>
      <c r="AA48" s="19" t="s">
        <v>152</v>
      </c>
      <c r="AB48" s="15">
        <f t="shared" si="28"/>
        <v>5</v>
      </c>
      <c r="AC48" s="15">
        <f t="shared" si="16"/>
        <v>6</v>
      </c>
      <c r="AD48" s="15">
        <f t="shared" si="24"/>
        <v>7</v>
      </c>
      <c r="AE48" s="15">
        <f t="shared" ref="AE48:AE56" si="30">AD48+1</f>
        <v>8</v>
      </c>
      <c r="AF48" s="36">
        <f t="shared" si="20"/>
        <v>9</v>
      </c>
      <c r="AG48" s="36">
        <f t="shared" si="26"/>
        <v>10</v>
      </c>
      <c r="AH48" s="36">
        <f t="shared" si="22"/>
        <v>11</v>
      </c>
      <c r="AJ48" s="10" t="s">
        <v>492</v>
      </c>
      <c r="AK48" s="19" t="s">
        <v>152</v>
      </c>
      <c r="AL48" s="15">
        <f t="shared" si="29"/>
        <v>5</v>
      </c>
      <c r="AM48" s="626">
        <f t="shared" si="17"/>
        <v>6</v>
      </c>
      <c r="AN48" s="15">
        <f t="shared" si="25"/>
        <v>7</v>
      </c>
      <c r="AO48" s="15">
        <f t="shared" ref="AO48:AO56" si="31">AN48+1</f>
        <v>8</v>
      </c>
      <c r="AP48" s="38">
        <f t="shared" si="21"/>
        <v>9</v>
      </c>
      <c r="AQ48" s="38">
        <f t="shared" si="27"/>
        <v>10</v>
      </c>
      <c r="AR48" s="38">
        <f t="shared" si="23"/>
        <v>11</v>
      </c>
    </row>
    <row r="49" spans="3:44" ht="18" customHeight="1" x14ac:dyDescent="0.3">
      <c r="C49" s="19" t="s">
        <v>152</v>
      </c>
      <c r="D49" s="15">
        <v>12</v>
      </c>
      <c r="E49" s="298">
        <v>12</v>
      </c>
      <c r="F49" s="15">
        <v>13</v>
      </c>
      <c r="G49" s="676">
        <v>13</v>
      </c>
      <c r="H49" s="15">
        <v>14</v>
      </c>
      <c r="I49" s="15">
        <v>14</v>
      </c>
      <c r="J49" s="15">
        <v>15</v>
      </c>
      <c r="K49" s="676">
        <v>15</v>
      </c>
      <c r="L49" s="12">
        <v>16</v>
      </c>
      <c r="M49" s="12">
        <v>16</v>
      </c>
      <c r="N49" s="12">
        <v>17</v>
      </c>
      <c r="O49" s="12">
        <v>17</v>
      </c>
      <c r="P49" s="12">
        <v>18</v>
      </c>
      <c r="Q49" s="12">
        <v>18</v>
      </c>
      <c r="R49" s="10"/>
      <c r="AA49" s="19" t="s">
        <v>152</v>
      </c>
      <c r="AB49" s="15">
        <f t="shared" si="28"/>
        <v>12</v>
      </c>
      <c r="AC49" s="15">
        <f t="shared" si="16"/>
        <v>13</v>
      </c>
      <c r="AD49" s="15">
        <f t="shared" si="24"/>
        <v>14</v>
      </c>
      <c r="AE49" s="15">
        <f t="shared" si="30"/>
        <v>15</v>
      </c>
      <c r="AF49" s="12">
        <f t="shared" si="20"/>
        <v>16</v>
      </c>
      <c r="AG49" s="12">
        <f t="shared" si="26"/>
        <v>17</v>
      </c>
      <c r="AH49" s="12">
        <f t="shared" si="22"/>
        <v>18</v>
      </c>
      <c r="AJ49" s="10"/>
      <c r="AK49" s="19" t="s">
        <v>152</v>
      </c>
      <c r="AL49" s="15">
        <f t="shared" si="29"/>
        <v>12</v>
      </c>
      <c r="AM49" s="15">
        <f t="shared" si="17"/>
        <v>13</v>
      </c>
      <c r="AN49" s="15">
        <f t="shared" si="25"/>
        <v>14</v>
      </c>
      <c r="AO49" s="15">
        <f t="shared" si="31"/>
        <v>15</v>
      </c>
      <c r="AP49" s="12">
        <f t="shared" si="21"/>
        <v>16</v>
      </c>
      <c r="AQ49" s="12">
        <f t="shared" si="27"/>
        <v>17</v>
      </c>
      <c r="AR49" s="12">
        <f t="shared" si="23"/>
        <v>18</v>
      </c>
    </row>
    <row r="50" spans="3:44" ht="18" customHeight="1" x14ac:dyDescent="0.3">
      <c r="C50" s="19" t="s">
        <v>152</v>
      </c>
      <c r="D50" s="15">
        <v>19</v>
      </c>
      <c r="E50" s="298">
        <v>19</v>
      </c>
      <c r="F50" s="15">
        <v>20</v>
      </c>
      <c r="G50" s="677">
        <v>20</v>
      </c>
      <c r="H50" s="15">
        <v>21</v>
      </c>
      <c r="I50" s="524">
        <v>21</v>
      </c>
      <c r="J50" s="15">
        <v>22</v>
      </c>
      <c r="K50" s="676">
        <v>22</v>
      </c>
      <c r="L50" s="36">
        <v>23</v>
      </c>
      <c r="M50" s="36">
        <v>23</v>
      </c>
      <c r="N50" s="36">
        <v>24</v>
      </c>
      <c r="O50" s="36">
        <v>24</v>
      </c>
      <c r="P50" s="36">
        <v>25</v>
      </c>
      <c r="Q50" s="15">
        <v>25</v>
      </c>
      <c r="R50" s="10" t="s">
        <v>463</v>
      </c>
      <c r="AA50" s="19" t="s">
        <v>152</v>
      </c>
      <c r="AB50" s="15">
        <f t="shared" si="28"/>
        <v>19</v>
      </c>
      <c r="AC50" s="15">
        <f t="shared" si="16"/>
        <v>20</v>
      </c>
      <c r="AD50" s="15">
        <f t="shared" si="24"/>
        <v>21</v>
      </c>
      <c r="AE50" s="15">
        <f t="shared" si="30"/>
        <v>22</v>
      </c>
      <c r="AF50" s="36">
        <f t="shared" si="20"/>
        <v>23</v>
      </c>
      <c r="AG50" s="36">
        <f t="shared" si="26"/>
        <v>24</v>
      </c>
      <c r="AH50" s="36">
        <f t="shared" si="22"/>
        <v>25</v>
      </c>
      <c r="AJ50" s="10" t="s">
        <v>463</v>
      </c>
      <c r="AK50" s="19" t="s">
        <v>152</v>
      </c>
      <c r="AL50" s="15">
        <f t="shared" si="29"/>
        <v>19</v>
      </c>
      <c r="AM50" s="15">
        <f t="shared" si="17"/>
        <v>20</v>
      </c>
      <c r="AN50" s="15">
        <f t="shared" si="25"/>
        <v>21</v>
      </c>
      <c r="AO50" s="15">
        <f t="shared" si="31"/>
        <v>22</v>
      </c>
      <c r="AP50" s="36">
        <f t="shared" si="21"/>
        <v>23</v>
      </c>
      <c r="AQ50" s="36">
        <f t="shared" si="27"/>
        <v>24</v>
      </c>
      <c r="AR50" s="36">
        <f t="shared" si="23"/>
        <v>25</v>
      </c>
    </row>
    <row r="51" spans="3:44" ht="18" customHeight="1" x14ac:dyDescent="0.3">
      <c r="C51" s="20" t="s">
        <v>443</v>
      </c>
      <c r="D51" s="15">
        <v>26</v>
      </c>
      <c r="E51" s="298">
        <v>26</v>
      </c>
      <c r="F51" s="15">
        <v>27</v>
      </c>
      <c r="G51" s="675">
        <v>27</v>
      </c>
      <c r="H51" s="15">
        <v>28</v>
      </c>
      <c r="I51" s="628">
        <v>28</v>
      </c>
      <c r="J51" s="15">
        <v>29</v>
      </c>
      <c r="K51" s="676">
        <v>29</v>
      </c>
      <c r="L51" s="12">
        <v>30</v>
      </c>
      <c r="M51" s="12">
        <v>30</v>
      </c>
      <c r="N51" s="12">
        <v>1</v>
      </c>
      <c r="O51" s="12">
        <v>1</v>
      </c>
      <c r="P51" s="12">
        <v>2</v>
      </c>
      <c r="Q51" s="12">
        <v>2</v>
      </c>
      <c r="R51" s="10"/>
      <c r="AA51" s="20" t="s">
        <v>443</v>
      </c>
      <c r="AB51" s="15">
        <f t="shared" si="28"/>
        <v>26</v>
      </c>
      <c r="AC51" s="15">
        <f t="shared" si="16"/>
        <v>27</v>
      </c>
      <c r="AD51" s="15">
        <f t="shared" si="24"/>
        <v>28</v>
      </c>
      <c r="AE51" s="15">
        <f t="shared" si="30"/>
        <v>29</v>
      </c>
      <c r="AF51" s="12">
        <f t="shared" si="20"/>
        <v>30</v>
      </c>
      <c r="AG51" s="12">
        <v>1</v>
      </c>
      <c r="AH51" s="12">
        <f t="shared" si="22"/>
        <v>2</v>
      </c>
      <c r="AJ51" s="10"/>
      <c r="AK51" s="20" t="s">
        <v>443</v>
      </c>
      <c r="AL51" s="15">
        <f t="shared" si="29"/>
        <v>26</v>
      </c>
      <c r="AM51" s="15">
        <f t="shared" si="17"/>
        <v>27</v>
      </c>
      <c r="AN51" s="15">
        <f t="shared" si="25"/>
        <v>28</v>
      </c>
      <c r="AO51" s="15">
        <f t="shared" si="31"/>
        <v>29</v>
      </c>
      <c r="AP51" s="12">
        <f t="shared" si="21"/>
        <v>30</v>
      </c>
      <c r="AQ51" s="12">
        <v>1</v>
      </c>
      <c r="AR51" s="12">
        <f t="shared" si="23"/>
        <v>2</v>
      </c>
    </row>
    <row r="52" spans="3:44" ht="18" customHeight="1" x14ac:dyDescent="0.3">
      <c r="C52" s="19" t="s">
        <v>153</v>
      </c>
      <c r="D52" s="15">
        <v>3</v>
      </c>
      <c r="E52" s="15">
        <v>3</v>
      </c>
      <c r="F52" s="15">
        <v>4</v>
      </c>
      <c r="G52" s="675">
        <v>4</v>
      </c>
      <c r="H52" s="15">
        <v>5</v>
      </c>
      <c r="I52" s="15">
        <v>5</v>
      </c>
      <c r="J52" s="15">
        <v>6</v>
      </c>
      <c r="K52" s="676">
        <v>6</v>
      </c>
      <c r="L52" s="15">
        <v>7</v>
      </c>
      <c r="M52" s="15">
        <v>7</v>
      </c>
      <c r="N52" s="36">
        <v>8</v>
      </c>
      <c r="O52" s="15">
        <v>8</v>
      </c>
      <c r="P52" s="36">
        <v>9</v>
      </c>
      <c r="Q52" s="15">
        <v>9</v>
      </c>
      <c r="R52" s="10" t="s">
        <v>493</v>
      </c>
      <c r="AA52" s="19" t="s">
        <v>153</v>
      </c>
      <c r="AB52" s="15">
        <f t="shared" si="28"/>
        <v>3</v>
      </c>
      <c r="AC52" s="15">
        <f t="shared" si="16"/>
        <v>4</v>
      </c>
      <c r="AD52" s="15">
        <f t="shared" si="24"/>
        <v>5</v>
      </c>
      <c r="AE52" s="15">
        <f t="shared" si="30"/>
        <v>6</v>
      </c>
      <c r="AF52" s="15">
        <f t="shared" si="20"/>
        <v>7</v>
      </c>
      <c r="AG52" s="15">
        <f>AF52+1</f>
        <v>8</v>
      </c>
      <c r="AH52" s="15">
        <f t="shared" si="22"/>
        <v>9</v>
      </c>
      <c r="AJ52" s="10"/>
      <c r="AK52" s="19" t="s">
        <v>153</v>
      </c>
      <c r="AL52" s="15">
        <f t="shared" si="29"/>
        <v>3</v>
      </c>
      <c r="AM52" s="15">
        <f t="shared" si="17"/>
        <v>4</v>
      </c>
      <c r="AN52" s="15">
        <f t="shared" si="25"/>
        <v>5</v>
      </c>
      <c r="AO52" s="15">
        <f t="shared" si="31"/>
        <v>6</v>
      </c>
      <c r="AP52" s="15">
        <f t="shared" si="21"/>
        <v>7</v>
      </c>
      <c r="AQ52" s="15">
        <f>AP52+1</f>
        <v>8</v>
      </c>
      <c r="AR52" s="15">
        <f t="shared" si="23"/>
        <v>9</v>
      </c>
    </row>
    <row r="53" spans="3:44" ht="18" customHeight="1" x14ac:dyDescent="0.3">
      <c r="C53" s="19" t="s">
        <v>153</v>
      </c>
      <c r="D53" s="628">
        <v>10</v>
      </c>
      <c r="E53" s="15">
        <v>10</v>
      </c>
      <c r="F53" s="15">
        <v>11</v>
      </c>
      <c r="G53" s="675">
        <v>11</v>
      </c>
      <c r="H53" s="15">
        <v>12</v>
      </c>
      <c r="I53" s="628">
        <v>12</v>
      </c>
      <c r="J53" s="15">
        <v>13</v>
      </c>
      <c r="K53" s="677">
        <v>13</v>
      </c>
      <c r="L53" s="12">
        <v>14</v>
      </c>
      <c r="M53" s="628">
        <v>14</v>
      </c>
      <c r="N53" s="12">
        <v>15</v>
      </c>
      <c r="O53" s="12">
        <v>15</v>
      </c>
      <c r="P53" s="12">
        <v>16</v>
      </c>
      <c r="Q53" s="12">
        <v>16</v>
      </c>
      <c r="R53" s="35"/>
      <c r="AA53" s="19" t="s">
        <v>153</v>
      </c>
      <c r="AB53" s="15">
        <f t="shared" si="28"/>
        <v>10</v>
      </c>
      <c r="AC53" s="15">
        <f t="shared" si="16"/>
        <v>11</v>
      </c>
      <c r="AD53" s="15">
        <f t="shared" si="24"/>
        <v>12</v>
      </c>
      <c r="AE53" s="15">
        <f t="shared" si="30"/>
        <v>13</v>
      </c>
      <c r="AF53" s="12">
        <f t="shared" si="20"/>
        <v>14</v>
      </c>
      <c r="AG53" s="12">
        <f>AF53+1</f>
        <v>15</v>
      </c>
      <c r="AH53" s="12">
        <f t="shared" si="22"/>
        <v>16</v>
      </c>
      <c r="AJ53" s="35"/>
      <c r="AK53" s="19" t="s">
        <v>153</v>
      </c>
      <c r="AL53" s="15">
        <f t="shared" si="29"/>
        <v>10</v>
      </c>
      <c r="AM53" s="15">
        <f t="shared" si="17"/>
        <v>11</v>
      </c>
      <c r="AN53" s="15">
        <f t="shared" si="25"/>
        <v>12</v>
      </c>
      <c r="AO53" s="15">
        <f t="shared" si="31"/>
        <v>13</v>
      </c>
      <c r="AP53" s="12">
        <f t="shared" si="21"/>
        <v>14</v>
      </c>
      <c r="AQ53" s="12">
        <f>AP53+1</f>
        <v>15</v>
      </c>
      <c r="AR53" s="12">
        <f t="shared" si="23"/>
        <v>16</v>
      </c>
    </row>
    <row r="54" spans="3:44" ht="18" customHeight="1" x14ac:dyDescent="0.3">
      <c r="C54" s="19" t="s">
        <v>153</v>
      </c>
      <c r="D54" s="15">
        <v>17</v>
      </c>
      <c r="E54" s="36">
        <v>17</v>
      </c>
      <c r="F54" s="15">
        <v>18</v>
      </c>
      <c r="G54" s="675">
        <v>18</v>
      </c>
      <c r="H54" s="15">
        <v>19</v>
      </c>
      <c r="I54" s="524">
        <v>19</v>
      </c>
      <c r="J54" s="15">
        <v>20</v>
      </c>
      <c r="K54" s="15">
        <v>20</v>
      </c>
      <c r="L54" s="12">
        <v>21</v>
      </c>
      <c r="M54" s="12">
        <v>21</v>
      </c>
      <c r="N54" s="12">
        <v>22</v>
      </c>
      <c r="O54" s="12">
        <v>22</v>
      </c>
      <c r="P54" s="12">
        <v>23</v>
      </c>
      <c r="Q54" s="12">
        <v>23</v>
      </c>
      <c r="R54" s="10" t="s">
        <v>436</v>
      </c>
      <c r="AA54" s="19" t="s">
        <v>153</v>
      </c>
      <c r="AB54" s="15">
        <f t="shared" si="28"/>
        <v>17</v>
      </c>
      <c r="AC54" s="15">
        <f t="shared" si="16"/>
        <v>18</v>
      </c>
      <c r="AD54" s="15">
        <f t="shared" si="24"/>
        <v>19</v>
      </c>
      <c r="AE54" s="15">
        <f t="shared" si="30"/>
        <v>20</v>
      </c>
      <c r="AF54" s="12">
        <f t="shared" si="20"/>
        <v>21</v>
      </c>
      <c r="AG54" s="12">
        <f>AF54+1</f>
        <v>22</v>
      </c>
      <c r="AH54" s="12">
        <f t="shared" si="22"/>
        <v>23</v>
      </c>
      <c r="AJ54" s="10" t="s">
        <v>436</v>
      </c>
      <c r="AK54" s="19" t="s">
        <v>153</v>
      </c>
      <c r="AL54" s="15">
        <f t="shared" si="29"/>
        <v>17</v>
      </c>
      <c r="AM54" s="15">
        <f t="shared" si="17"/>
        <v>18</v>
      </c>
      <c r="AN54" s="15">
        <f t="shared" si="25"/>
        <v>19</v>
      </c>
      <c r="AO54" s="15">
        <f t="shared" si="31"/>
        <v>20</v>
      </c>
      <c r="AP54" s="12">
        <f t="shared" si="21"/>
        <v>21</v>
      </c>
      <c r="AQ54" s="12">
        <f>AP54+1</f>
        <v>22</v>
      </c>
      <c r="AR54" s="12">
        <f t="shared" si="23"/>
        <v>23</v>
      </c>
    </row>
    <row r="55" spans="3:44" ht="18" customHeight="1" x14ac:dyDescent="0.3">
      <c r="C55" s="19" t="s">
        <v>153</v>
      </c>
      <c r="D55" s="12">
        <v>24</v>
      </c>
      <c r="E55" s="12">
        <v>24</v>
      </c>
      <c r="F55" s="12">
        <v>25</v>
      </c>
      <c r="G55" s="12">
        <v>25</v>
      </c>
      <c r="H55" s="15">
        <v>26</v>
      </c>
      <c r="I55" s="15">
        <v>26</v>
      </c>
      <c r="J55" s="15">
        <v>27</v>
      </c>
      <c r="K55" s="15">
        <v>27</v>
      </c>
      <c r="L55" s="15">
        <v>28</v>
      </c>
      <c r="M55" s="15">
        <v>28</v>
      </c>
      <c r="N55" s="36">
        <v>29</v>
      </c>
      <c r="O55" s="15">
        <v>29</v>
      </c>
      <c r="P55" s="15">
        <v>30</v>
      </c>
      <c r="Q55" s="15">
        <v>30</v>
      </c>
      <c r="R55" s="10"/>
      <c r="AA55" s="19" t="s">
        <v>153</v>
      </c>
      <c r="AB55" s="12">
        <f t="shared" si="28"/>
        <v>24</v>
      </c>
      <c r="AC55" s="12">
        <f t="shared" si="16"/>
        <v>25</v>
      </c>
      <c r="AD55" s="15">
        <f t="shared" si="24"/>
        <v>26</v>
      </c>
      <c r="AE55" s="15">
        <f t="shared" si="30"/>
        <v>27</v>
      </c>
      <c r="AF55" s="15">
        <f t="shared" si="20"/>
        <v>28</v>
      </c>
      <c r="AG55" s="15">
        <f>AF55+1</f>
        <v>29</v>
      </c>
      <c r="AH55" s="15">
        <f t="shared" si="22"/>
        <v>30</v>
      </c>
      <c r="AJ55" s="10"/>
      <c r="AK55" s="19" t="s">
        <v>153</v>
      </c>
      <c r="AL55" s="12">
        <f t="shared" si="29"/>
        <v>24</v>
      </c>
      <c r="AM55" s="12">
        <f t="shared" si="17"/>
        <v>25</v>
      </c>
      <c r="AN55" s="15">
        <f t="shared" si="25"/>
        <v>26</v>
      </c>
      <c r="AO55" s="15">
        <f t="shared" si="31"/>
        <v>27</v>
      </c>
      <c r="AP55" s="15">
        <f t="shared" si="21"/>
        <v>28</v>
      </c>
      <c r="AQ55" s="15">
        <f>AP55+1</f>
        <v>29</v>
      </c>
      <c r="AR55" s="15">
        <f t="shared" si="23"/>
        <v>30</v>
      </c>
    </row>
    <row r="56" spans="3:44" ht="18" customHeight="1" thickBot="1" x14ac:dyDescent="0.35">
      <c r="C56" s="14" t="s">
        <v>444</v>
      </c>
      <c r="D56" s="15">
        <v>31</v>
      </c>
      <c r="E56" s="15">
        <v>31</v>
      </c>
      <c r="F56" s="15">
        <v>1</v>
      </c>
      <c r="G56" s="15">
        <v>1</v>
      </c>
      <c r="H56" s="15">
        <v>2</v>
      </c>
      <c r="I56" s="15">
        <v>2</v>
      </c>
      <c r="J56" s="15">
        <v>3</v>
      </c>
      <c r="K56" s="15">
        <v>3</v>
      </c>
      <c r="L56" s="15">
        <v>4</v>
      </c>
      <c r="M56" s="628">
        <v>4</v>
      </c>
      <c r="N56" s="15">
        <v>5</v>
      </c>
      <c r="O56" s="15">
        <v>5</v>
      </c>
      <c r="P56" s="15">
        <v>6</v>
      </c>
      <c r="Q56" s="15">
        <v>6</v>
      </c>
      <c r="R56" s="10"/>
      <c r="AA56" s="14" t="s">
        <v>444</v>
      </c>
      <c r="AB56" s="15">
        <f t="shared" si="28"/>
        <v>31</v>
      </c>
      <c r="AC56" s="15">
        <v>1</v>
      </c>
      <c r="AD56" s="15">
        <f t="shared" si="24"/>
        <v>2</v>
      </c>
      <c r="AE56" s="15">
        <f t="shared" si="30"/>
        <v>3</v>
      </c>
      <c r="AF56" s="12">
        <f t="shared" si="20"/>
        <v>4</v>
      </c>
      <c r="AG56" s="12">
        <f>AF56+1</f>
        <v>5</v>
      </c>
      <c r="AH56" s="12">
        <f t="shared" si="22"/>
        <v>6</v>
      </c>
      <c r="AJ56" s="10"/>
      <c r="AK56" s="14" t="s">
        <v>444</v>
      </c>
      <c r="AL56" s="15">
        <f t="shared" si="29"/>
        <v>31</v>
      </c>
      <c r="AM56" s="15">
        <v>1</v>
      </c>
      <c r="AN56" s="15">
        <f t="shared" si="25"/>
        <v>2</v>
      </c>
      <c r="AO56" s="15">
        <f t="shared" si="31"/>
        <v>3</v>
      </c>
      <c r="AP56" s="12">
        <f t="shared" si="21"/>
        <v>4</v>
      </c>
      <c r="AQ56" s="12">
        <f>AP56+1</f>
        <v>5</v>
      </c>
      <c r="AR56" s="12">
        <f t="shared" si="23"/>
        <v>6</v>
      </c>
    </row>
  </sheetData>
  <mergeCells count="3">
    <mergeCell ref="AA1:AH1"/>
    <mergeCell ref="AK2:AR2"/>
    <mergeCell ref="AA2:AH2"/>
  </mergeCells>
  <pageMargins left="0.23622047244094491" right="0.23622047244094491" top="0.19685039370078741" bottom="0.35433070866141742" header="0.31496062992125978" footer="0.31496062992125978"/>
  <pageSetup paperSize="9" scale="33" orientation="portrait"/>
  <rowBreaks count="1" manualBreakCount="1">
    <brk id="56" max="16383" man="1"/>
  </rowBreaks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indexed="10"/>
    <pageSetUpPr fitToPage="1"/>
  </sheetPr>
  <dimension ref="B2:K55"/>
  <sheetViews>
    <sheetView workbookViewId="0">
      <pane xSplit="11" ySplit="2" topLeftCell="L3" activePane="bottomRight" state="frozen"/>
      <selection activeCell="G50" sqref="G50"/>
      <selection pane="topRight" activeCell="G50" sqref="G50"/>
      <selection pane="bottomLeft" activeCell="G50" sqref="G50"/>
      <selection pane="bottomRight" activeCell="G50" sqref="G50"/>
    </sheetView>
  </sheetViews>
  <sheetFormatPr defaultColWidth="9.1328125" defaultRowHeight="12.4" x14ac:dyDescent="0.3"/>
  <cols>
    <col min="1" max="1" width="3.53125" style="7" customWidth="1"/>
    <col min="2" max="2" width="10.46484375" style="7" customWidth="1"/>
    <col min="3" max="9" width="5.86328125" style="7" customWidth="1"/>
    <col min="10" max="10" width="1.33203125" style="7" customWidth="1"/>
    <col min="11" max="11" width="13.53125" style="7" customWidth="1"/>
    <col min="12" max="12" width="9.1328125" style="7" customWidth="1"/>
    <col min="13" max="16384" width="9.1328125" style="7"/>
  </cols>
  <sheetData>
    <row r="2" spans="2:11" ht="30" customHeight="1" x14ac:dyDescent="0.3">
      <c r="B2" s="33" t="s">
        <v>109</v>
      </c>
      <c r="C2" s="32" t="s">
        <v>415</v>
      </c>
      <c r="D2" s="32" t="s">
        <v>416</v>
      </c>
      <c r="E2" s="32" t="s">
        <v>417</v>
      </c>
      <c r="F2" s="32" t="s">
        <v>418</v>
      </c>
      <c r="G2" s="32" t="s">
        <v>419</v>
      </c>
      <c r="H2" s="31" t="s">
        <v>420</v>
      </c>
      <c r="I2" s="34" t="s">
        <v>421</v>
      </c>
    </row>
    <row r="3" spans="2:11" ht="18" customHeight="1" x14ac:dyDescent="0.3">
      <c r="B3" s="19" t="s">
        <v>142</v>
      </c>
      <c r="C3" s="625"/>
      <c r="D3" s="625">
        <f t="shared" ref="D3:I6" si="0">C3+1</f>
        <v>1</v>
      </c>
      <c r="E3" s="624">
        <f t="shared" si="0"/>
        <v>2</v>
      </c>
      <c r="F3" s="677">
        <f t="shared" si="0"/>
        <v>3</v>
      </c>
      <c r="G3" s="628">
        <f t="shared" si="0"/>
        <v>4</v>
      </c>
      <c r="H3" s="624">
        <f t="shared" si="0"/>
        <v>5</v>
      </c>
      <c r="I3" s="36">
        <f t="shared" si="0"/>
        <v>6</v>
      </c>
      <c r="J3" s="29"/>
      <c r="K3" s="28" t="s">
        <v>494</v>
      </c>
    </row>
    <row r="4" spans="2:11" ht="18" customHeight="1" x14ac:dyDescent="0.3">
      <c r="B4" s="19" t="s">
        <v>142</v>
      </c>
      <c r="C4" s="44">
        <f t="shared" ref="C4:C15" si="1">I3+1</f>
        <v>7</v>
      </c>
      <c r="D4" s="677">
        <f t="shared" si="0"/>
        <v>8</v>
      </c>
      <c r="E4" s="628">
        <f t="shared" si="0"/>
        <v>9</v>
      </c>
      <c r="F4" s="677">
        <f t="shared" si="0"/>
        <v>10</v>
      </c>
      <c r="G4" s="12">
        <f t="shared" si="0"/>
        <v>11</v>
      </c>
      <c r="H4" s="12">
        <f t="shared" si="0"/>
        <v>12</v>
      </c>
      <c r="I4" s="12">
        <f t="shared" si="0"/>
        <v>13</v>
      </c>
      <c r="K4" s="10"/>
    </row>
    <row r="5" spans="2:11" ht="18" customHeight="1" x14ac:dyDescent="0.3">
      <c r="B5" s="19" t="s">
        <v>142</v>
      </c>
      <c r="C5" s="624">
        <f t="shared" si="1"/>
        <v>14</v>
      </c>
      <c r="D5" s="677">
        <f t="shared" si="0"/>
        <v>15</v>
      </c>
      <c r="E5" s="44">
        <f t="shared" si="0"/>
        <v>16</v>
      </c>
      <c r="F5" s="676">
        <f t="shared" si="0"/>
        <v>17</v>
      </c>
      <c r="G5" s="624">
        <f t="shared" si="0"/>
        <v>18</v>
      </c>
      <c r="H5" s="36">
        <f t="shared" si="0"/>
        <v>19</v>
      </c>
      <c r="I5" s="36">
        <f t="shared" si="0"/>
        <v>20</v>
      </c>
      <c r="K5" s="10" t="s">
        <v>495</v>
      </c>
    </row>
    <row r="6" spans="2:11" ht="18" customHeight="1" x14ac:dyDescent="0.3">
      <c r="B6" s="19" t="s">
        <v>142</v>
      </c>
      <c r="C6" s="628">
        <f t="shared" si="1"/>
        <v>21</v>
      </c>
      <c r="D6" s="298">
        <f t="shared" si="0"/>
        <v>22</v>
      </c>
      <c r="E6" s="524">
        <f t="shared" si="0"/>
        <v>23</v>
      </c>
      <c r="F6" s="676">
        <f t="shared" si="0"/>
        <v>24</v>
      </c>
      <c r="G6" s="12">
        <f t="shared" si="0"/>
        <v>25</v>
      </c>
      <c r="H6" s="12">
        <f t="shared" si="0"/>
        <v>26</v>
      </c>
      <c r="I6" s="12">
        <f t="shared" si="0"/>
        <v>27</v>
      </c>
      <c r="K6" s="10"/>
    </row>
    <row r="7" spans="2:11" ht="18" customHeight="1" x14ac:dyDescent="0.3">
      <c r="B7" s="20" t="s">
        <v>422</v>
      </c>
      <c r="C7" s="624">
        <f t="shared" si="1"/>
        <v>28</v>
      </c>
      <c r="D7" s="298">
        <f t="shared" ref="D7:F19" si="2">C7+1</f>
        <v>29</v>
      </c>
      <c r="E7" s="624">
        <f t="shared" si="2"/>
        <v>30</v>
      </c>
      <c r="F7" s="676">
        <f t="shared" si="2"/>
        <v>31</v>
      </c>
      <c r="G7" s="36">
        <v>1</v>
      </c>
      <c r="H7" s="36">
        <f t="shared" ref="H7:I23" si="3">G7+1</f>
        <v>2</v>
      </c>
      <c r="I7" s="36">
        <f t="shared" si="3"/>
        <v>3</v>
      </c>
      <c r="K7" s="10" t="s">
        <v>463</v>
      </c>
    </row>
    <row r="8" spans="2:11" ht="18" customHeight="1" x14ac:dyDescent="0.3">
      <c r="B8" s="19" t="s">
        <v>143</v>
      </c>
      <c r="C8" s="624">
        <f t="shared" si="1"/>
        <v>4</v>
      </c>
      <c r="D8" s="298">
        <f t="shared" si="2"/>
        <v>5</v>
      </c>
      <c r="E8" s="628">
        <f t="shared" si="2"/>
        <v>6</v>
      </c>
      <c r="F8" s="676">
        <f t="shared" si="2"/>
        <v>7</v>
      </c>
      <c r="G8" s="12">
        <f>F8+1</f>
        <v>8</v>
      </c>
      <c r="H8" s="12">
        <f t="shared" si="3"/>
        <v>9</v>
      </c>
      <c r="I8" s="12">
        <f t="shared" si="3"/>
        <v>10</v>
      </c>
      <c r="K8" s="10"/>
    </row>
    <row r="9" spans="2:11" ht="18" customHeight="1" x14ac:dyDescent="0.3">
      <c r="B9" s="19" t="s">
        <v>143</v>
      </c>
      <c r="C9" s="624">
        <f t="shared" si="1"/>
        <v>11</v>
      </c>
      <c r="D9" s="298">
        <f t="shared" si="2"/>
        <v>12</v>
      </c>
      <c r="E9" s="524">
        <f t="shared" si="2"/>
        <v>13</v>
      </c>
      <c r="F9" s="677">
        <f t="shared" si="2"/>
        <v>14</v>
      </c>
      <c r="G9" s="36">
        <f>F9+1</f>
        <v>15</v>
      </c>
      <c r="H9" s="36">
        <f t="shared" si="3"/>
        <v>16</v>
      </c>
      <c r="I9" s="36">
        <f t="shared" si="3"/>
        <v>17</v>
      </c>
      <c r="K9" s="7" t="s">
        <v>496</v>
      </c>
    </row>
    <row r="10" spans="2:11" ht="18" customHeight="1" x14ac:dyDescent="0.3">
      <c r="B10" s="19" t="s">
        <v>143</v>
      </c>
      <c r="C10" s="624">
        <f t="shared" si="1"/>
        <v>18</v>
      </c>
      <c r="D10" s="676">
        <f t="shared" si="2"/>
        <v>19</v>
      </c>
      <c r="E10" s="12">
        <f t="shared" si="2"/>
        <v>20</v>
      </c>
      <c r="F10" s="12">
        <f t="shared" si="2"/>
        <v>21</v>
      </c>
      <c r="G10" s="12">
        <f>F10+1</f>
        <v>22</v>
      </c>
      <c r="H10" s="12">
        <f t="shared" si="3"/>
        <v>23</v>
      </c>
      <c r="I10" s="12">
        <f t="shared" si="3"/>
        <v>24</v>
      </c>
      <c r="K10" s="10" t="s">
        <v>423</v>
      </c>
    </row>
    <row r="11" spans="2:11" ht="18" customHeight="1" x14ac:dyDescent="0.3">
      <c r="B11" s="20" t="s">
        <v>424</v>
      </c>
      <c r="C11" s="624">
        <f t="shared" si="1"/>
        <v>25</v>
      </c>
      <c r="D11" s="676">
        <f t="shared" si="2"/>
        <v>26</v>
      </c>
      <c r="E11" s="524">
        <f t="shared" si="2"/>
        <v>27</v>
      </c>
      <c r="F11" s="677">
        <f t="shared" si="2"/>
        <v>28</v>
      </c>
      <c r="G11" s="36">
        <v>1</v>
      </c>
      <c r="H11" s="36">
        <f t="shared" si="3"/>
        <v>2</v>
      </c>
      <c r="I11" s="36">
        <f t="shared" si="3"/>
        <v>3</v>
      </c>
      <c r="K11" s="10" t="s">
        <v>467</v>
      </c>
    </row>
    <row r="12" spans="2:11" ht="18" customHeight="1" x14ac:dyDescent="0.3">
      <c r="B12" s="19" t="s">
        <v>144</v>
      </c>
      <c r="C12" s="628">
        <f t="shared" si="1"/>
        <v>4</v>
      </c>
      <c r="D12" s="676">
        <f t="shared" si="2"/>
        <v>5</v>
      </c>
      <c r="E12" s="625">
        <f t="shared" si="2"/>
        <v>6</v>
      </c>
      <c r="F12" s="677">
        <f t="shared" si="2"/>
        <v>7</v>
      </c>
      <c r="G12" s="12">
        <f t="shared" ref="G12:G45" si="4">F12+1</f>
        <v>8</v>
      </c>
      <c r="H12" s="12">
        <f t="shared" si="3"/>
        <v>9</v>
      </c>
      <c r="I12" s="12">
        <f t="shared" si="3"/>
        <v>10</v>
      </c>
    </row>
    <row r="13" spans="2:11" ht="18" customHeight="1" x14ac:dyDescent="0.3">
      <c r="B13" s="19" t="s">
        <v>144</v>
      </c>
      <c r="C13" s="624">
        <f t="shared" si="1"/>
        <v>11</v>
      </c>
      <c r="D13" s="676">
        <f t="shared" si="2"/>
        <v>12</v>
      </c>
      <c r="E13" s="524">
        <f t="shared" si="2"/>
        <v>13</v>
      </c>
      <c r="F13" s="677">
        <f t="shared" si="2"/>
        <v>14</v>
      </c>
      <c r="G13" s="36">
        <f t="shared" si="4"/>
        <v>15</v>
      </c>
      <c r="H13" s="36">
        <f t="shared" si="3"/>
        <v>16</v>
      </c>
      <c r="I13" s="36">
        <f t="shared" si="3"/>
        <v>17</v>
      </c>
      <c r="K13" s="10" t="s">
        <v>463</v>
      </c>
    </row>
    <row r="14" spans="2:11" ht="18" customHeight="1" x14ac:dyDescent="0.3">
      <c r="B14" s="19" t="s">
        <v>144</v>
      </c>
      <c r="C14" s="624">
        <f t="shared" si="1"/>
        <v>18</v>
      </c>
      <c r="D14" s="677">
        <f t="shared" si="2"/>
        <v>19</v>
      </c>
      <c r="E14" s="628">
        <f t="shared" si="2"/>
        <v>20</v>
      </c>
      <c r="F14" s="675">
        <f t="shared" si="2"/>
        <v>21</v>
      </c>
      <c r="G14" s="12">
        <f t="shared" si="4"/>
        <v>22</v>
      </c>
      <c r="H14" s="12">
        <f t="shared" si="3"/>
        <v>23</v>
      </c>
      <c r="I14" s="12">
        <f t="shared" si="3"/>
        <v>24</v>
      </c>
    </row>
    <row r="15" spans="2:11" ht="18" customHeight="1" x14ac:dyDescent="0.3">
      <c r="B15" s="19" t="s">
        <v>144</v>
      </c>
      <c r="C15" s="624">
        <f t="shared" si="1"/>
        <v>25</v>
      </c>
      <c r="D15" s="678">
        <f t="shared" si="2"/>
        <v>26</v>
      </c>
      <c r="E15" s="624">
        <f t="shared" si="2"/>
        <v>27</v>
      </c>
      <c r="F15" s="675">
        <f t="shared" si="2"/>
        <v>28</v>
      </c>
      <c r="G15" s="36">
        <f t="shared" si="4"/>
        <v>29</v>
      </c>
      <c r="H15" s="36">
        <f t="shared" si="3"/>
        <v>30</v>
      </c>
      <c r="I15" s="36">
        <f t="shared" si="3"/>
        <v>31</v>
      </c>
      <c r="K15" s="10" t="s">
        <v>425</v>
      </c>
    </row>
    <row r="16" spans="2:11" ht="18" customHeight="1" x14ac:dyDescent="0.3">
      <c r="B16" s="25" t="s">
        <v>145</v>
      </c>
      <c r="C16" s="628">
        <v>1</v>
      </c>
      <c r="D16" s="678">
        <f t="shared" si="2"/>
        <v>2</v>
      </c>
      <c r="E16" s="624">
        <f t="shared" si="2"/>
        <v>3</v>
      </c>
      <c r="F16" s="675">
        <f t="shared" si="2"/>
        <v>4</v>
      </c>
      <c r="G16" s="12">
        <f t="shared" si="4"/>
        <v>5</v>
      </c>
      <c r="H16" s="12">
        <f t="shared" si="3"/>
        <v>6</v>
      </c>
      <c r="I16" s="12">
        <f t="shared" si="3"/>
        <v>7</v>
      </c>
      <c r="K16" s="10"/>
    </row>
    <row r="17" spans="2:11" ht="18" customHeight="1" x14ac:dyDescent="0.3">
      <c r="B17" s="19" t="s">
        <v>145</v>
      </c>
      <c r="C17" s="624">
        <f t="shared" ref="C17:C28" si="5">I16+1</f>
        <v>8</v>
      </c>
      <c r="D17" s="678">
        <f t="shared" si="2"/>
        <v>9</v>
      </c>
      <c r="E17" s="624">
        <f t="shared" si="2"/>
        <v>10</v>
      </c>
      <c r="F17" s="675">
        <f t="shared" si="2"/>
        <v>11</v>
      </c>
      <c r="G17" s="36">
        <f t="shared" si="4"/>
        <v>12</v>
      </c>
      <c r="H17" s="36">
        <f t="shared" si="3"/>
        <v>13</v>
      </c>
      <c r="I17" s="36">
        <f t="shared" si="3"/>
        <v>14</v>
      </c>
      <c r="K17" s="10" t="s">
        <v>497</v>
      </c>
    </row>
    <row r="18" spans="2:11" ht="18" customHeight="1" x14ac:dyDescent="0.3">
      <c r="B18" s="19" t="s">
        <v>145</v>
      </c>
      <c r="C18" s="36">
        <f t="shared" si="5"/>
        <v>15</v>
      </c>
      <c r="D18" s="678">
        <f t="shared" si="2"/>
        <v>16</v>
      </c>
      <c r="E18" s="624">
        <f t="shared" si="2"/>
        <v>17</v>
      </c>
      <c r="F18" s="677">
        <f t="shared" si="2"/>
        <v>18</v>
      </c>
      <c r="G18" s="12">
        <f t="shared" si="4"/>
        <v>19</v>
      </c>
      <c r="H18" s="12">
        <f t="shared" si="3"/>
        <v>20</v>
      </c>
      <c r="I18" s="12">
        <f t="shared" si="3"/>
        <v>21</v>
      </c>
    </row>
    <row r="19" spans="2:11" ht="18" customHeight="1" x14ac:dyDescent="0.3">
      <c r="B19" s="19" t="s">
        <v>145</v>
      </c>
      <c r="C19" s="12">
        <f t="shared" si="5"/>
        <v>22</v>
      </c>
      <c r="D19" s="677">
        <f t="shared" si="2"/>
        <v>23</v>
      </c>
      <c r="E19" s="12">
        <f t="shared" si="2"/>
        <v>24</v>
      </c>
      <c r="F19" s="677">
        <f t="shared" si="2"/>
        <v>25</v>
      </c>
      <c r="G19" s="12">
        <f t="shared" si="4"/>
        <v>26</v>
      </c>
      <c r="H19" s="36">
        <f t="shared" si="3"/>
        <v>27</v>
      </c>
      <c r="I19" s="43">
        <f t="shared" si="3"/>
        <v>28</v>
      </c>
      <c r="K19" s="10" t="s">
        <v>498</v>
      </c>
    </row>
    <row r="20" spans="2:11" ht="18" customHeight="1" x14ac:dyDescent="0.3">
      <c r="B20" s="20" t="s">
        <v>431</v>
      </c>
      <c r="C20" s="628">
        <f t="shared" si="5"/>
        <v>29</v>
      </c>
      <c r="D20" s="677">
        <v>30</v>
      </c>
      <c r="E20" s="624">
        <v>1</v>
      </c>
      <c r="F20" s="676">
        <f t="shared" ref="F20:F32" si="6">E20+1</f>
        <v>2</v>
      </c>
      <c r="G20" s="12">
        <f t="shared" si="4"/>
        <v>3</v>
      </c>
      <c r="H20" s="12">
        <f t="shared" si="3"/>
        <v>4</v>
      </c>
      <c r="I20" s="12">
        <f t="shared" si="3"/>
        <v>5</v>
      </c>
      <c r="K20" s="23"/>
    </row>
    <row r="21" spans="2:11" ht="18" customHeight="1" x14ac:dyDescent="0.3">
      <c r="B21" s="19" t="s">
        <v>146</v>
      </c>
      <c r="C21" s="12">
        <f t="shared" si="5"/>
        <v>6</v>
      </c>
      <c r="D21" s="675">
        <f t="shared" ref="D21:E32" si="7">C21+1</f>
        <v>7</v>
      </c>
      <c r="E21" s="624">
        <f t="shared" si="7"/>
        <v>8</v>
      </c>
      <c r="F21" s="676">
        <f t="shared" si="6"/>
        <v>9</v>
      </c>
      <c r="G21" s="36">
        <f t="shared" si="4"/>
        <v>10</v>
      </c>
      <c r="H21" s="36">
        <f t="shared" si="3"/>
        <v>11</v>
      </c>
      <c r="I21" s="36">
        <f t="shared" si="3"/>
        <v>12</v>
      </c>
      <c r="K21" s="10" t="s">
        <v>499</v>
      </c>
    </row>
    <row r="22" spans="2:11" ht="18" customHeight="1" x14ac:dyDescent="0.3">
      <c r="B22" s="19" t="s">
        <v>146</v>
      </c>
      <c r="C22" s="624">
        <f t="shared" si="5"/>
        <v>13</v>
      </c>
      <c r="D22" s="675">
        <f t="shared" si="7"/>
        <v>14</v>
      </c>
      <c r="E22" s="628">
        <f t="shared" si="7"/>
        <v>15</v>
      </c>
      <c r="F22" s="676">
        <f t="shared" si="6"/>
        <v>16</v>
      </c>
      <c r="G22" s="12">
        <f t="shared" si="4"/>
        <v>17</v>
      </c>
      <c r="H22" s="12">
        <f t="shared" si="3"/>
        <v>18</v>
      </c>
      <c r="I22" s="12">
        <f t="shared" si="3"/>
        <v>19</v>
      </c>
      <c r="K22" s="10"/>
    </row>
    <row r="23" spans="2:11" ht="18" customHeight="1" x14ac:dyDescent="0.3">
      <c r="B23" s="19" t="s">
        <v>146</v>
      </c>
      <c r="C23" s="624">
        <f t="shared" si="5"/>
        <v>20</v>
      </c>
      <c r="D23" s="675">
        <f t="shared" si="7"/>
        <v>21</v>
      </c>
      <c r="E23" s="624">
        <f t="shared" si="7"/>
        <v>22</v>
      </c>
      <c r="F23" s="676">
        <f t="shared" si="6"/>
        <v>23</v>
      </c>
      <c r="G23" s="36">
        <f t="shared" si="4"/>
        <v>24</v>
      </c>
      <c r="H23" s="36">
        <f t="shared" si="3"/>
        <v>25</v>
      </c>
      <c r="I23" s="36">
        <f t="shared" si="3"/>
        <v>26</v>
      </c>
      <c r="K23" s="10" t="s">
        <v>357</v>
      </c>
    </row>
    <row r="24" spans="2:11" ht="18" customHeight="1" x14ac:dyDescent="0.3">
      <c r="B24" s="20" t="s">
        <v>433</v>
      </c>
      <c r="C24" s="669">
        <f t="shared" si="5"/>
        <v>27</v>
      </c>
      <c r="D24" s="675">
        <f t="shared" si="7"/>
        <v>28</v>
      </c>
      <c r="E24" s="12">
        <f t="shared" si="7"/>
        <v>29</v>
      </c>
      <c r="F24" s="677">
        <f t="shared" si="6"/>
        <v>30</v>
      </c>
      <c r="G24" s="12">
        <f t="shared" si="4"/>
        <v>31</v>
      </c>
      <c r="H24" s="12">
        <v>1</v>
      </c>
      <c r="I24" s="12">
        <f t="shared" ref="I24:I36" si="8">H24+1</f>
        <v>2</v>
      </c>
      <c r="K24" s="10" t="s">
        <v>423</v>
      </c>
    </row>
    <row r="25" spans="2:11" ht="18" customHeight="1" x14ac:dyDescent="0.3">
      <c r="B25" s="19" t="s">
        <v>147</v>
      </c>
      <c r="C25" s="628">
        <f t="shared" si="5"/>
        <v>3</v>
      </c>
      <c r="D25" s="676">
        <f t="shared" si="7"/>
        <v>4</v>
      </c>
      <c r="E25" s="298">
        <f t="shared" si="7"/>
        <v>5</v>
      </c>
      <c r="F25" s="678">
        <f t="shared" si="6"/>
        <v>6</v>
      </c>
      <c r="G25" s="624">
        <f t="shared" si="4"/>
        <v>7</v>
      </c>
      <c r="H25" s="36">
        <f t="shared" ref="H25:H36" si="9">G25+1</f>
        <v>8</v>
      </c>
      <c r="I25" s="36">
        <f t="shared" si="8"/>
        <v>9</v>
      </c>
      <c r="K25" s="10" t="s">
        <v>500</v>
      </c>
    </row>
    <row r="26" spans="2:11" ht="18" customHeight="1" x14ac:dyDescent="0.3">
      <c r="B26" s="19" t="s">
        <v>147</v>
      </c>
      <c r="C26" s="624">
        <f t="shared" si="5"/>
        <v>10</v>
      </c>
      <c r="D26" s="676">
        <f t="shared" si="7"/>
        <v>11</v>
      </c>
      <c r="E26" s="298">
        <f t="shared" si="7"/>
        <v>12</v>
      </c>
      <c r="F26" s="678">
        <f t="shared" si="6"/>
        <v>13</v>
      </c>
      <c r="G26" s="12">
        <f t="shared" si="4"/>
        <v>14</v>
      </c>
      <c r="H26" s="12">
        <f t="shared" si="9"/>
        <v>15</v>
      </c>
      <c r="I26" s="12">
        <f t="shared" si="8"/>
        <v>16</v>
      </c>
      <c r="K26" s="10" t="s">
        <v>434</v>
      </c>
    </row>
    <row r="27" spans="2:11" ht="18" customHeight="1" x14ac:dyDescent="0.3">
      <c r="B27" s="19" t="s">
        <v>147</v>
      </c>
      <c r="C27" s="624">
        <f t="shared" si="5"/>
        <v>17</v>
      </c>
      <c r="D27" s="676">
        <f t="shared" si="7"/>
        <v>18</v>
      </c>
      <c r="E27" s="298">
        <f t="shared" si="7"/>
        <v>19</v>
      </c>
      <c r="F27" s="678">
        <f t="shared" si="6"/>
        <v>20</v>
      </c>
      <c r="G27" s="36">
        <f t="shared" si="4"/>
        <v>21</v>
      </c>
      <c r="H27" s="36">
        <f t="shared" si="9"/>
        <v>22</v>
      </c>
      <c r="I27" s="624">
        <f t="shared" si="8"/>
        <v>23</v>
      </c>
      <c r="K27" s="10" t="s">
        <v>501</v>
      </c>
    </row>
    <row r="28" spans="2:11" ht="18" customHeight="1" x14ac:dyDescent="0.3">
      <c r="B28" s="19" t="s">
        <v>147</v>
      </c>
      <c r="C28" s="628">
        <f t="shared" si="5"/>
        <v>24</v>
      </c>
      <c r="D28" s="676">
        <f t="shared" si="7"/>
        <v>25</v>
      </c>
      <c r="E28" s="298">
        <f t="shared" si="7"/>
        <v>26</v>
      </c>
      <c r="F28" s="678">
        <f t="shared" si="6"/>
        <v>27</v>
      </c>
      <c r="G28" s="12">
        <f t="shared" si="4"/>
        <v>28</v>
      </c>
      <c r="H28" s="12">
        <f t="shared" si="9"/>
        <v>29</v>
      </c>
      <c r="I28" s="12">
        <f t="shared" si="8"/>
        <v>30</v>
      </c>
    </row>
    <row r="29" spans="2:11" ht="18" customHeight="1" x14ac:dyDescent="0.3">
      <c r="B29" s="20" t="s">
        <v>435</v>
      </c>
      <c r="C29" s="624">
        <v>1</v>
      </c>
      <c r="D29" s="677">
        <f t="shared" si="7"/>
        <v>2</v>
      </c>
      <c r="E29" s="624">
        <f t="shared" si="7"/>
        <v>3</v>
      </c>
      <c r="F29" s="677">
        <f t="shared" si="6"/>
        <v>4</v>
      </c>
      <c r="G29" s="624">
        <f t="shared" si="4"/>
        <v>5</v>
      </c>
      <c r="H29" s="624">
        <f t="shared" si="9"/>
        <v>6</v>
      </c>
      <c r="I29" s="624">
        <f t="shared" si="8"/>
        <v>7</v>
      </c>
      <c r="K29" s="10"/>
    </row>
    <row r="30" spans="2:11" ht="18" customHeight="1" x14ac:dyDescent="0.3">
      <c r="B30" s="19" t="s">
        <v>148</v>
      </c>
      <c r="C30" s="624">
        <f t="shared" ref="C30:C41" si="10">I29+1</f>
        <v>8</v>
      </c>
      <c r="D30" s="677">
        <f t="shared" si="7"/>
        <v>9</v>
      </c>
      <c r="E30" s="628">
        <f t="shared" si="7"/>
        <v>10</v>
      </c>
      <c r="F30" s="677">
        <f t="shared" si="6"/>
        <v>11</v>
      </c>
      <c r="G30" s="12">
        <f t="shared" si="4"/>
        <v>12</v>
      </c>
      <c r="H30" s="12">
        <f t="shared" si="9"/>
        <v>13</v>
      </c>
      <c r="I30" s="12">
        <f t="shared" si="8"/>
        <v>14</v>
      </c>
      <c r="K30" s="10" t="s">
        <v>426</v>
      </c>
    </row>
    <row r="31" spans="2:11" ht="18" customHeight="1" x14ac:dyDescent="0.3">
      <c r="B31" s="19" t="s">
        <v>148</v>
      </c>
      <c r="C31" s="12">
        <f t="shared" si="10"/>
        <v>15</v>
      </c>
      <c r="D31" s="12">
        <f t="shared" si="7"/>
        <v>16</v>
      </c>
      <c r="E31" s="12">
        <f t="shared" si="7"/>
        <v>17</v>
      </c>
      <c r="F31" s="12">
        <f t="shared" si="6"/>
        <v>18</v>
      </c>
      <c r="G31" s="18">
        <f t="shared" si="4"/>
        <v>19</v>
      </c>
      <c r="H31" s="36">
        <f t="shared" si="9"/>
        <v>20</v>
      </c>
      <c r="I31" s="36">
        <f t="shared" si="8"/>
        <v>21</v>
      </c>
      <c r="K31" s="10" t="s">
        <v>281</v>
      </c>
    </row>
    <row r="32" spans="2:11" ht="18" customHeight="1" x14ac:dyDescent="0.3">
      <c r="B32" s="19" t="s">
        <v>148</v>
      </c>
      <c r="C32" s="628">
        <f t="shared" si="10"/>
        <v>22</v>
      </c>
      <c r="D32" s="677">
        <f t="shared" si="7"/>
        <v>23</v>
      </c>
      <c r="E32" s="625">
        <f t="shared" si="7"/>
        <v>24</v>
      </c>
      <c r="F32" s="677">
        <f t="shared" si="6"/>
        <v>25</v>
      </c>
      <c r="G32" s="12">
        <f t="shared" si="4"/>
        <v>26</v>
      </c>
      <c r="H32" s="12">
        <f t="shared" si="9"/>
        <v>27</v>
      </c>
      <c r="I32" s="12">
        <f t="shared" si="8"/>
        <v>28</v>
      </c>
      <c r="K32" s="10"/>
    </row>
    <row r="33" spans="2:11" ht="18" customHeight="1" x14ac:dyDescent="0.3">
      <c r="B33" s="20" t="s">
        <v>437</v>
      </c>
      <c r="C33" s="12">
        <f t="shared" si="10"/>
        <v>29</v>
      </c>
      <c r="D33" s="12">
        <f t="shared" ref="D33:D41" si="11">C33+1</f>
        <v>30</v>
      </c>
      <c r="E33" s="12">
        <v>31</v>
      </c>
      <c r="F33" s="12">
        <v>1</v>
      </c>
      <c r="G33" s="12">
        <f t="shared" si="4"/>
        <v>2</v>
      </c>
      <c r="H33" s="12">
        <f t="shared" si="9"/>
        <v>3</v>
      </c>
      <c r="I33" s="12">
        <f t="shared" si="8"/>
        <v>4</v>
      </c>
      <c r="K33" s="10"/>
    </row>
    <row r="34" spans="2:11" ht="18" customHeight="1" x14ac:dyDescent="0.3">
      <c r="B34" s="19" t="s">
        <v>149</v>
      </c>
      <c r="C34" s="12">
        <f t="shared" si="10"/>
        <v>5</v>
      </c>
      <c r="D34" s="12">
        <f t="shared" si="11"/>
        <v>6</v>
      </c>
      <c r="E34" s="12">
        <f t="shared" ref="E34:F45" si="12">D34+1</f>
        <v>7</v>
      </c>
      <c r="F34" s="12">
        <f t="shared" si="12"/>
        <v>8</v>
      </c>
      <c r="G34" s="18">
        <f t="shared" si="4"/>
        <v>9</v>
      </c>
      <c r="H34" s="36">
        <f t="shared" si="9"/>
        <v>10</v>
      </c>
      <c r="I34" s="36">
        <f t="shared" si="8"/>
        <v>11</v>
      </c>
      <c r="K34" s="10" t="s">
        <v>467</v>
      </c>
    </row>
    <row r="35" spans="2:11" ht="18" customHeight="1" x14ac:dyDescent="0.3">
      <c r="B35" s="19" t="s">
        <v>149</v>
      </c>
      <c r="C35" s="625">
        <f t="shared" si="10"/>
        <v>12</v>
      </c>
      <c r="D35" s="678">
        <f t="shared" si="11"/>
        <v>13</v>
      </c>
      <c r="E35" s="625">
        <f t="shared" si="12"/>
        <v>14</v>
      </c>
      <c r="F35" s="625">
        <f t="shared" si="12"/>
        <v>15</v>
      </c>
      <c r="G35" s="625">
        <f t="shared" si="4"/>
        <v>16</v>
      </c>
      <c r="H35" s="625">
        <f t="shared" si="9"/>
        <v>17</v>
      </c>
      <c r="I35" s="625">
        <f t="shared" si="8"/>
        <v>18</v>
      </c>
      <c r="K35" s="10"/>
    </row>
    <row r="36" spans="2:11" ht="18" customHeight="1" x14ac:dyDescent="0.3">
      <c r="B36" s="19" t="s">
        <v>149</v>
      </c>
      <c r="C36" s="625">
        <f t="shared" si="10"/>
        <v>19</v>
      </c>
      <c r="D36" s="678">
        <f t="shared" si="11"/>
        <v>20</v>
      </c>
      <c r="E36" s="625">
        <f t="shared" si="12"/>
        <v>21</v>
      </c>
      <c r="F36" s="677">
        <f t="shared" si="12"/>
        <v>22</v>
      </c>
      <c r="G36" s="12">
        <f t="shared" si="4"/>
        <v>23</v>
      </c>
      <c r="H36" s="12">
        <f t="shared" si="9"/>
        <v>24</v>
      </c>
      <c r="I36" s="12">
        <f t="shared" si="8"/>
        <v>25</v>
      </c>
      <c r="K36" s="22"/>
    </row>
    <row r="37" spans="2:11" ht="18" customHeight="1" x14ac:dyDescent="0.3">
      <c r="B37" s="21" t="s">
        <v>438</v>
      </c>
      <c r="C37" s="670">
        <f t="shared" si="10"/>
        <v>26</v>
      </c>
      <c r="D37" s="678">
        <f t="shared" si="11"/>
        <v>27</v>
      </c>
      <c r="E37" s="36">
        <f t="shared" si="12"/>
        <v>28</v>
      </c>
      <c r="F37" s="670">
        <f t="shared" si="12"/>
        <v>29</v>
      </c>
      <c r="G37" s="625">
        <f t="shared" si="4"/>
        <v>30</v>
      </c>
      <c r="H37" s="36">
        <v>31</v>
      </c>
      <c r="I37" s="36">
        <v>1</v>
      </c>
      <c r="K37" s="10" t="s">
        <v>502</v>
      </c>
    </row>
    <row r="38" spans="2:11" ht="18" customHeight="1" x14ac:dyDescent="0.3">
      <c r="B38" s="19" t="s">
        <v>150</v>
      </c>
      <c r="C38" s="624">
        <f t="shared" si="10"/>
        <v>2</v>
      </c>
      <c r="D38" s="678">
        <f t="shared" si="11"/>
        <v>3</v>
      </c>
      <c r="E38" s="624">
        <f t="shared" si="12"/>
        <v>4</v>
      </c>
      <c r="F38" s="677">
        <f t="shared" si="12"/>
        <v>5</v>
      </c>
      <c r="G38" s="12">
        <f t="shared" si="4"/>
        <v>6</v>
      </c>
      <c r="H38" s="12">
        <f t="shared" ref="H38:I49" si="13">G38+1</f>
        <v>7</v>
      </c>
      <c r="I38" s="12">
        <f t="shared" si="13"/>
        <v>8</v>
      </c>
    </row>
    <row r="39" spans="2:11" ht="18" customHeight="1" x14ac:dyDescent="0.3">
      <c r="B39" s="19" t="s">
        <v>150</v>
      </c>
      <c r="C39" s="624">
        <f t="shared" si="10"/>
        <v>9</v>
      </c>
      <c r="D39" s="624">
        <f t="shared" si="11"/>
        <v>10</v>
      </c>
      <c r="E39" s="624">
        <f t="shared" si="12"/>
        <v>11</v>
      </c>
      <c r="F39" s="676">
        <f t="shared" si="12"/>
        <v>12</v>
      </c>
      <c r="G39" s="624">
        <f t="shared" si="4"/>
        <v>13</v>
      </c>
      <c r="H39" s="624">
        <f t="shared" si="13"/>
        <v>14</v>
      </c>
      <c r="I39" s="624">
        <f t="shared" si="13"/>
        <v>15</v>
      </c>
      <c r="K39" s="10" t="s">
        <v>503</v>
      </c>
    </row>
    <row r="40" spans="2:11" ht="18" customHeight="1" x14ac:dyDescent="0.3">
      <c r="B40" s="19" t="s">
        <v>150</v>
      </c>
      <c r="C40" s="624">
        <f t="shared" si="10"/>
        <v>16</v>
      </c>
      <c r="D40" s="624">
        <f t="shared" si="11"/>
        <v>17</v>
      </c>
      <c r="E40" s="624">
        <f t="shared" si="12"/>
        <v>18</v>
      </c>
      <c r="F40" s="676">
        <f t="shared" si="12"/>
        <v>19</v>
      </c>
      <c r="G40" s="12">
        <f t="shared" si="4"/>
        <v>20</v>
      </c>
      <c r="H40" s="12">
        <f t="shared" si="13"/>
        <v>21</v>
      </c>
      <c r="I40" s="12">
        <f t="shared" si="13"/>
        <v>22</v>
      </c>
      <c r="K40" s="10"/>
    </row>
    <row r="41" spans="2:11" ht="18" customHeight="1" x14ac:dyDescent="0.3">
      <c r="B41" s="19" t="s">
        <v>150</v>
      </c>
      <c r="C41" s="624">
        <f t="shared" si="10"/>
        <v>23</v>
      </c>
      <c r="D41" s="624">
        <f t="shared" si="11"/>
        <v>24</v>
      </c>
      <c r="E41" s="624">
        <f t="shared" si="12"/>
        <v>25</v>
      </c>
      <c r="F41" s="676">
        <f t="shared" si="12"/>
        <v>26</v>
      </c>
      <c r="G41" s="624">
        <f t="shared" si="4"/>
        <v>27</v>
      </c>
      <c r="H41" s="624">
        <f t="shared" si="13"/>
        <v>28</v>
      </c>
      <c r="I41" s="624">
        <f t="shared" si="13"/>
        <v>29</v>
      </c>
      <c r="K41" s="10" t="s">
        <v>504</v>
      </c>
    </row>
    <row r="42" spans="2:11" ht="18" customHeight="1" x14ac:dyDescent="0.3">
      <c r="B42" s="20" t="s">
        <v>151</v>
      </c>
      <c r="C42" s="624">
        <v>30</v>
      </c>
      <c r="D42" s="624">
        <v>1</v>
      </c>
      <c r="E42" s="624">
        <f t="shared" si="12"/>
        <v>2</v>
      </c>
      <c r="F42" s="676">
        <f t="shared" si="12"/>
        <v>3</v>
      </c>
      <c r="G42" s="12">
        <f t="shared" si="4"/>
        <v>4</v>
      </c>
      <c r="H42" s="12">
        <f t="shared" si="13"/>
        <v>5</v>
      </c>
      <c r="I42" s="12">
        <f t="shared" si="13"/>
        <v>6</v>
      </c>
      <c r="K42" s="10"/>
    </row>
    <row r="43" spans="2:11" ht="18" customHeight="1" x14ac:dyDescent="0.3">
      <c r="B43" s="19" t="s">
        <v>151</v>
      </c>
      <c r="C43" s="624">
        <f t="shared" ref="C43:C55" si="14">I42+1</f>
        <v>7</v>
      </c>
      <c r="D43" s="624">
        <f t="shared" ref="D43:D54" si="15">C43+1</f>
        <v>8</v>
      </c>
      <c r="E43" s="624">
        <f t="shared" si="12"/>
        <v>9</v>
      </c>
      <c r="F43" s="624">
        <f t="shared" si="12"/>
        <v>10</v>
      </c>
      <c r="G43" s="624">
        <f t="shared" si="4"/>
        <v>11</v>
      </c>
      <c r="H43" s="624">
        <f t="shared" si="13"/>
        <v>12</v>
      </c>
      <c r="I43" s="624">
        <f t="shared" si="13"/>
        <v>13</v>
      </c>
      <c r="K43" s="10"/>
    </row>
    <row r="44" spans="2:11" ht="18" customHeight="1" x14ac:dyDescent="0.3">
      <c r="B44" s="19" t="s">
        <v>151</v>
      </c>
      <c r="C44" s="624">
        <f t="shared" si="14"/>
        <v>14</v>
      </c>
      <c r="D44" s="624">
        <f t="shared" si="15"/>
        <v>15</v>
      </c>
      <c r="E44" s="12">
        <f t="shared" si="12"/>
        <v>16</v>
      </c>
      <c r="F44" s="12">
        <f t="shared" si="12"/>
        <v>17</v>
      </c>
      <c r="G44" s="12">
        <f t="shared" si="4"/>
        <v>18</v>
      </c>
      <c r="H44" s="12">
        <f t="shared" si="13"/>
        <v>19</v>
      </c>
      <c r="I44" s="12">
        <f t="shared" si="13"/>
        <v>20</v>
      </c>
      <c r="K44" s="10" t="s">
        <v>423</v>
      </c>
    </row>
    <row r="45" spans="2:11" ht="18" customHeight="1" x14ac:dyDescent="0.3">
      <c r="B45" s="19" t="s">
        <v>151</v>
      </c>
      <c r="C45" s="624">
        <f t="shared" si="14"/>
        <v>21</v>
      </c>
      <c r="D45" s="624">
        <f t="shared" si="15"/>
        <v>22</v>
      </c>
      <c r="E45" s="624">
        <f t="shared" si="12"/>
        <v>23</v>
      </c>
      <c r="F45" s="624">
        <f t="shared" si="12"/>
        <v>24</v>
      </c>
      <c r="G45" s="624">
        <f t="shared" si="4"/>
        <v>25</v>
      </c>
      <c r="H45" s="624">
        <f t="shared" si="13"/>
        <v>26</v>
      </c>
      <c r="I45" s="624">
        <f t="shared" si="13"/>
        <v>27</v>
      </c>
      <c r="K45" s="10"/>
    </row>
    <row r="46" spans="2:11" ht="18" customHeight="1" x14ac:dyDescent="0.3">
      <c r="B46" s="20" t="s">
        <v>442</v>
      </c>
      <c r="C46" s="624">
        <f t="shared" si="14"/>
        <v>28</v>
      </c>
      <c r="D46" s="624">
        <f t="shared" si="15"/>
        <v>29</v>
      </c>
      <c r="E46" s="624">
        <f t="shared" ref="E46:E54" si="16">D46+1</f>
        <v>30</v>
      </c>
      <c r="F46" s="624">
        <v>31</v>
      </c>
      <c r="G46" s="12">
        <v>1</v>
      </c>
      <c r="H46" s="12">
        <f t="shared" si="13"/>
        <v>2</v>
      </c>
      <c r="I46" s="12">
        <f t="shared" si="13"/>
        <v>3</v>
      </c>
      <c r="K46" s="10"/>
    </row>
    <row r="47" spans="2:11" ht="18" customHeight="1" x14ac:dyDescent="0.3">
      <c r="B47" s="19" t="s">
        <v>152</v>
      </c>
      <c r="C47" s="624">
        <f t="shared" si="14"/>
        <v>4</v>
      </c>
      <c r="D47" s="624">
        <f t="shared" si="15"/>
        <v>5</v>
      </c>
      <c r="E47" s="624">
        <f t="shared" si="16"/>
        <v>6</v>
      </c>
      <c r="F47" s="624">
        <f t="shared" ref="F47:G55" si="17">E47+1</f>
        <v>7</v>
      </c>
      <c r="G47" s="624">
        <f t="shared" si="17"/>
        <v>8</v>
      </c>
      <c r="H47" s="624">
        <f t="shared" si="13"/>
        <v>9</v>
      </c>
      <c r="I47" s="624">
        <f t="shared" si="13"/>
        <v>10</v>
      </c>
      <c r="K47" s="10"/>
    </row>
    <row r="48" spans="2:11" ht="18" customHeight="1" x14ac:dyDescent="0.3">
      <c r="B48" s="19" t="s">
        <v>152</v>
      </c>
      <c r="C48" s="624">
        <f t="shared" si="14"/>
        <v>11</v>
      </c>
      <c r="D48" s="624">
        <f t="shared" si="15"/>
        <v>12</v>
      </c>
      <c r="E48" s="624">
        <f t="shared" si="16"/>
        <v>13</v>
      </c>
      <c r="F48" s="624">
        <f t="shared" si="17"/>
        <v>14</v>
      </c>
      <c r="G48" s="12">
        <f t="shared" si="17"/>
        <v>15</v>
      </c>
      <c r="H48" s="12">
        <f t="shared" si="13"/>
        <v>16</v>
      </c>
      <c r="I48" s="12">
        <f t="shared" si="13"/>
        <v>17</v>
      </c>
      <c r="K48" s="10"/>
    </row>
    <row r="49" spans="2:11" ht="18" customHeight="1" x14ac:dyDescent="0.3">
      <c r="B49" s="19" t="s">
        <v>152</v>
      </c>
      <c r="C49" s="624">
        <f t="shared" si="14"/>
        <v>18</v>
      </c>
      <c r="D49" s="624">
        <f t="shared" si="15"/>
        <v>19</v>
      </c>
      <c r="E49" s="624">
        <f t="shared" si="16"/>
        <v>20</v>
      </c>
      <c r="F49" s="624">
        <f t="shared" si="17"/>
        <v>21</v>
      </c>
      <c r="G49" s="624">
        <f t="shared" si="17"/>
        <v>22</v>
      </c>
      <c r="H49" s="624">
        <f t="shared" si="13"/>
        <v>23</v>
      </c>
      <c r="I49" s="624">
        <f t="shared" si="13"/>
        <v>24</v>
      </c>
      <c r="K49" s="10" t="s">
        <v>505</v>
      </c>
    </row>
    <row r="50" spans="2:11" ht="18" customHeight="1" x14ac:dyDescent="0.3">
      <c r="B50" s="20" t="s">
        <v>443</v>
      </c>
      <c r="C50" s="624">
        <f t="shared" si="14"/>
        <v>25</v>
      </c>
      <c r="D50" s="624">
        <f t="shared" si="15"/>
        <v>26</v>
      </c>
      <c r="E50" s="624">
        <f t="shared" si="16"/>
        <v>27</v>
      </c>
      <c r="F50" s="624">
        <f t="shared" si="17"/>
        <v>28</v>
      </c>
      <c r="G50" s="12">
        <f t="shared" si="17"/>
        <v>29</v>
      </c>
      <c r="H50" s="12">
        <v>30</v>
      </c>
      <c r="I50" s="12">
        <v>1</v>
      </c>
      <c r="K50" s="10"/>
    </row>
    <row r="51" spans="2:11" ht="18" customHeight="1" x14ac:dyDescent="0.3">
      <c r="B51" s="19" t="s">
        <v>153</v>
      </c>
      <c r="C51" s="624">
        <f t="shared" si="14"/>
        <v>2</v>
      </c>
      <c r="D51" s="624">
        <f t="shared" si="15"/>
        <v>3</v>
      </c>
      <c r="E51" s="624">
        <f t="shared" si="16"/>
        <v>4</v>
      </c>
      <c r="F51" s="624">
        <f t="shared" si="17"/>
        <v>5</v>
      </c>
      <c r="G51" s="624">
        <f t="shared" si="17"/>
        <v>6</v>
      </c>
      <c r="H51" s="624">
        <f t="shared" ref="H51:I55" si="18">G51+1</f>
        <v>7</v>
      </c>
      <c r="I51" s="624">
        <f t="shared" si="18"/>
        <v>8</v>
      </c>
      <c r="K51" s="10"/>
    </row>
    <row r="52" spans="2:11" ht="18" customHeight="1" x14ac:dyDescent="0.3">
      <c r="B52" s="19" t="s">
        <v>153</v>
      </c>
      <c r="C52" s="624">
        <f t="shared" si="14"/>
        <v>9</v>
      </c>
      <c r="D52" s="624">
        <f t="shared" si="15"/>
        <v>10</v>
      </c>
      <c r="E52" s="624">
        <f t="shared" si="16"/>
        <v>11</v>
      </c>
      <c r="F52" s="624">
        <f t="shared" si="17"/>
        <v>12</v>
      </c>
      <c r="G52" s="12">
        <f t="shared" si="17"/>
        <v>13</v>
      </c>
      <c r="H52" s="12">
        <f t="shared" si="18"/>
        <v>14</v>
      </c>
      <c r="I52" s="12">
        <f t="shared" si="18"/>
        <v>15</v>
      </c>
      <c r="K52" s="10"/>
    </row>
    <row r="53" spans="2:11" ht="18" customHeight="1" x14ac:dyDescent="0.3">
      <c r="B53" s="19" t="s">
        <v>153</v>
      </c>
      <c r="C53" s="624">
        <f t="shared" si="14"/>
        <v>16</v>
      </c>
      <c r="D53" s="624">
        <f t="shared" si="15"/>
        <v>17</v>
      </c>
      <c r="E53" s="624">
        <f t="shared" si="16"/>
        <v>18</v>
      </c>
      <c r="F53" s="624">
        <f t="shared" si="17"/>
        <v>19</v>
      </c>
      <c r="G53" s="625">
        <f t="shared" si="17"/>
        <v>20</v>
      </c>
      <c r="H53" s="625">
        <f t="shared" si="18"/>
        <v>21</v>
      </c>
      <c r="I53" s="625">
        <f t="shared" si="18"/>
        <v>22</v>
      </c>
      <c r="K53" s="10" t="s">
        <v>436</v>
      </c>
    </row>
    <row r="54" spans="2:11" ht="18" customHeight="1" x14ac:dyDescent="0.3">
      <c r="B54" s="19" t="s">
        <v>153</v>
      </c>
      <c r="C54" s="625">
        <f t="shared" si="14"/>
        <v>23</v>
      </c>
      <c r="D54" s="625">
        <f t="shared" si="15"/>
        <v>24</v>
      </c>
      <c r="E54" s="625">
        <f t="shared" si="16"/>
        <v>25</v>
      </c>
      <c r="F54" s="12">
        <f t="shared" si="17"/>
        <v>26</v>
      </c>
      <c r="G54" s="12">
        <f t="shared" si="17"/>
        <v>27</v>
      </c>
      <c r="H54" s="12">
        <f t="shared" si="18"/>
        <v>28</v>
      </c>
      <c r="I54" s="12">
        <f t="shared" si="18"/>
        <v>29</v>
      </c>
      <c r="K54" s="10"/>
    </row>
    <row r="55" spans="2:11" ht="18" customHeight="1" thickBot="1" x14ac:dyDescent="0.35">
      <c r="B55" s="14" t="s">
        <v>444</v>
      </c>
      <c r="C55" s="12">
        <f t="shared" si="14"/>
        <v>30</v>
      </c>
      <c r="D55" s="12">
        <v>31</v>
      </c>
      <c r="E55" s="12">
        <v>1</v>
      </c>
      <c r="F55" s="18">
        <f t="shared" si="17"/>
        <v>2</v>
      </c>
      <c r="G55" s="625">
        <f t="shared" si="17"/>
        <v>3</v>
      </c>
      <c r="H55" s="624">
        <f t="shared" si="18"/>
        <v>4</v>
      </c>
      <c r="I55" s="624">
        <f t="shared" si="18"/>
        <v>5</v>
      </c>
      <c r="K55" s="10"/>
    </row>
  </sheetData>
  <pageMargins left="0.23622047244094491" right="0.23622047244094491" top="0.39370078740157483" bottom="0.35433070866141742" header="0.31496062992125978" footer="0.31496062992125978"/>
  <pageSetup paperSize="9" scale="65" orientation="portrait"/>
  <rowBreaks count="1" manualBreakCount="1">
    <brk id="55" max="16383" man="1"/>
  </rowBreak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3:K49"/>
  <sheetViews>
    <sheetView workbookViewId="0">
      <selection activeCell="E19" sqref="E19"/>
    </sheetView>
  </sheetViews>
  <sheetFormatPr defaultRowHeight="12.75" x14ac:dyDescent="0.35"/>
  <cols>
    <col min="2" max="2" width="16.1328125" style="1205" bestFit="1" customWidth="1"/>
    <col min="3" max="3" width="12.1328125" style="1205" bestFit="1" customWidth="1"/>
    <col min="4" max="4" width="10" style="1205" bestFit="1" customWidth="1"/>
    <col min="6" max="6" width="10" style="1205" bestFit="1" customWidth="1"/>
    <col min="8" max="8" width="10" style="1205" bestFit="1" customWidth="1"/>
    <col min="10" max="10" width="10" style="1205" bestFit="1" customWidth="1"/>
  </cols>
  <sheetData>
    <row r="3" spans="1:11" x14ac:dyDescent="0.35">
      <c r="D3" s="295" t="s">
        <v>506</v>
      </c>
      <c r="E3" s="295" t="s">
        <v>507</v>
      </c>
      <c r="F3" s="295" t="s">
        <v>5</v>
      </c>
      <c r="G3" s="295" t="s">
        <v>508</v>
      </c>
      <c r="H3" s="295" t="s">
        <v>509</v>
      </c>
      <c r="J3" s="295" t="s">
        <v>510</v>
      </c>
      <c r="K3" s="295" t="s">
        <v>511</v>
      </c>
    </row>
    <row r="5" spans="1:11" x14ac:dyDescent="0.35">
      <c r="A5" s="568">
        <v>1</v>
      </c>
      <c r="B5" t="s">
        <v>512</v>
      </c>
      <c r="C5" t="s">
        <v>513</v>
      </c>
      <c r="D5">
        <v>960</v>
      </c>
      <c r="E5">
        <f>$D$35</f>
        <v>186.2</v>
      </c>
      <c r="F5">
        <f t="shared" ref="F5:F10" si="0">E5+D5</f>
        <v>1146.2</v>
      </c>
      <c r="G5">
        <f t="shared" ref="G5:G10" si="1">F5/5</f>
        <v>229.24</v>
      </c>
      <c r="H5">
        <f>$D$49</f>
        <v>632</v>
      </c>
      <c r="J5">
        <f t="shared" ref="J5:J10" si="2">F5-H5</f>
        <v>514.20000000000005</v>
      </c>
      <c r="K5">
        <f t="shared" ref="K5:K10" si="3">J5/5</f>
        <v>102.84</v>
      </c>
    </row>
    <row r="6" spans="1:11" x14ac:dyDescent="0.35">
      <c r="A6" s="568">
        <v>2</v>
      </c>
      <c r="B6" t="s">
        <v>514</v>
      </c>
      <c r="C6" t="s">
        <v>515</v>
      </c>
      <c r="D6">
        <v>500</v>
      </c>
      <c r="E6">
        <f>$D$35</f>
        <v>186.2</v>
      </c>
      <c r="F6">
        <f t="shared" si="0"/>
        <v>686.2</v>
      </c>
      <c r="G6">
        <f t="shared" si="1"/>
        <v>137.24</v>
      </c>
      <c r="H6">
        <f>$D$49</f>
        <v>632</v>
      </c>
      <c r="J6">
        <f t="shared" si="2"/>
        <v>54.200000000000045</v>
      </c>
      <c r="K6">
        <f t="shared" si="3"/>
        <v>10.840000000000009</v>
      </c>
    </row>
    <row r="7" spans="1:11" x14ac:dyDescent="0.35">
      <c r="A7" s="568">
        <v>3</v>
      </c>
      <c r="B7" t="s">
        <v>516</v>
      </c>
      <c r="C7" t="s">
        <v>517</v>
      </c>
      <c r="D7">
        <v>995</v>
      </c>
      <c r="E7">
        <v>100</v>
      </c>
      <c r="F7">
        <f t="shared" si="0"/>
        <v>1095</v>
      </c>
      <c r="G7">
        <f t="shared" si="1"/>
        <v>219</v>
      </c>
      <c r="H7">
        <f>$D$49</f>
        <v>632</v>
      </c>
      <c r="J7">
        <f t="shared" si="2"/>
        <v>463</v>
      </c>
      <c r="K7">
        <f t="shared" si="3"/>
        <v>92.6</v>
      </c>
    </row>
    <row r="8" spans="1:11" x14ac:dyDescent="0.35">
      <c r="A8" s="568">
        <v>4</v>
      </c>
      <c r="B8" t="s">
        <v>518</v>
      </c>
      <c r="C8" t="s">
        <v>519</v>
      </c>
      <c r="D8">
        <v>995</v>
      </c>
      <c r="E8">
        <v>100</v>
      </c>
      <c r="F8">
        <f t="shared" si="0"/>
        <v>1095</v>
      </c>
      <c r="G8">
        <f t="shared" si="1"/>
        <v>219</v>
      </c>
      <c r="H8">
        <f>$D$49</f>
        <v>632</v>
      </c>
      <c r="J8">
        <f t="shared" si="2"/>
        <v>463</v>
      </c>
      <c r="K8">
        <f t="shared" si="3"/>
        <v>92.6</v>
      </c>
    </row>
    <row r="9" spans="1:11" x14ac:dyDescent="0.35">
      <c r="A9" s="568">
        <v>5</v>
      </c>
      <c r="B9" t="s">
        <v>520</v>
      </c>
      <c r="C9" t="s">
        <v>521</v>
      </c>
      <c r="D9">
        <v>995</v>
      </c>
      <c r="E9">
        <f>$D$35</f>
        <v>186.2</v>
      </c>
      <c r="F9">
        <f t="shared" si="0"/>
        <v>1181.2</v>
      </c>
      <c r="G9">
        <f t="shared" si="1"/>
        <v>236.24</v>
      </c>
      <c r="H9">
        <f>$D$49</f>
        <v>632</v>
      </c>
      <c r="J9">
        <f t="shared" si="2"/>
        <v>549.20000000000005</v>
      </c>
      <c r="K9">
        <f t="shared" si="3"/>
        <v>109.84</v>
      </c>
    </row>
    <row r="10" spans="1:11" x14ac:dyDescent="0.35">
      <c r="A10" s="568">
        <v>6</v>
      </c>
      <c r="B10" t="s">
        <v>522</v>
      </c>
      <c r="C10" t="s">
        <v>523</v>
      </c>
      <c r="D10">
        <v>0</v>
      </c>
      <c r="F10">
        <f t="shared" si="0"/>
        <v>0</v>
      </c>
      <c r="G10">
        <f t="shared" si="1"/>
        <v>0</v>
      </c>
      <c r="J10">
        <f t="shared" si="2"/>
        <v>0</v>
      </c>
      <c r="K10">
        <f t="shared" si="3"/>
        <v>0</v>
      </c>
    </row>
    <row r="13" spans="1:11" ht="13.15" customHeight="1" x14ac:dyDescent="0.4">
      <c r="D13" s="647">
        <f>SUM(D4:D12)</f>
        <v>4445</v>
      </c>
      <c r="E13" s="647">
        <f>SUM(E4:E12)</f>
        <v>758.59999999999991</v>
      </c>
      <c r="F13" s="647">
        <f>SUM(F4:F12)</f>
        <v>5203.6000000000004</v>
      </c>
      <c r="G13" s="647"/>
      <c r="H13" s="647">
        <f>SUM(H4:H12)</f>
        <v>3160</v>
      </c>
      <c r="I13" s="647"/>
      <c r="J13" s="647">
        <f>SUM(J4:J12)</f>
        <v>2043.6000000000001</v>
      </c>
      <c r="K13" s="647">
        <f>SUM(K4:K12)</f>
        <v>408.72</v>
      </c>
    </row>
    <row r="17" spans="2:10" x14ac:dyDescent="0.35">
      <c r="B17" s="295" t="s">
        <v>524</v>
      </c>
    </row>
    <row r="19" spans="2:10" x14ac:dyDescent="0.35">
      <c r="B19" s="295" t="s">
        <v>525</v>
      </c>
      <c r="C19" s="295" t="s">
        <v>526</v>
      </c>
      <c r="D19">
        <f>1550-241</f>
        <v>1309</v>
      </c>
    </row>
    <row r="20" spans="2:10" x14ac:dyDescent="0.35">
      <c r="B20" s="295" t="s">
        <v>527</v>
      </c>
      <c r="C20" s="295" t="s">
        <v>528</v>
      </c>
      <c r="D20">
        <v>500</v>
      </c>
    </row>
    <row r="21" spans="2:10" x14ac:dyDescent="0.35">
      <c r="B21" s="295" t="s">
        <v>529</v>
      </c>
      <c r="C21" s="295" t="s">
        <v>530</v>
      </c>
      <c r="D21">
        <f>45*4</f>
        <v>180</v>
      </c>
      <c r="I21" s="295" t="s">
        <v>531</v>
      </c>
    </row>
    <row r="23" spans="2:10" x14ac:dyDescent="0.35">
      <c r="I23" s="295" t="s">
        <v>532</v>
      </c>
    </row>
    <row r="24" spans="2:10" x14ac:dyDescent="0.35">
      <c r="B24" s="295" t="s">
        <v>533</v>
      </c>
      <c r="C24" s="295" t="s">
        <v>534</v>
      </c>
      <c r="D24">
        <f>60*4</f>
        <v>240</v>
      </c>
      <c r="I24" s="295" t="s">
        <v>516</v>
      </c>
      <c r="J24">
        <v>0</v>
      </c>
    </row>
    <row r="25" spans="2:10" x14ac:dyDescent="0.35">
      <c r="I25" s="295" t="s">
        <v>518</v>
      </c>
      <c r="J25">
        <v>0</v>
      </c>
    </row>
    <row r="26" spans="2:10" ht="13.15" customHeight="1" x14ac:dyDescent="0.4">
      <c r="D26" s="647">
        <f>SUM(D19:D25)</f>
        <v>2229</v>
      </c>
      <c r="I26" s="295" t="s">
        <v>512</v>
      </c>
      <c r="J26">
        <v>0</v>
      </c>
    </row>
    <row r="27" spans="2:10" ht="13.15" customHeight="1" x14ac:dyDescent="0.4">
      <c r="B27" s="647" t="s">
        <v>535</v>
      </c>
      <c r="I27" s="295"/>
    </row>
    <row r="28" spans="2:10" ht="13.15" customHeight="1" x14ac:dyDescent="0.4">
      <c r="B28" s="647"/>
    </row>
    <row r="29" spans="2:10" x14ac:dyDescent="0.35">
      <c r="B29" s="295" t="s">
        <v>536</v>
      </c>
      <c r="C29" s="295" t="s">
        <v>537</v>
      </c>
      <c r="D29">
        <f>430-79</f>
        <v>351</v>
      </c>
    </row>
    <row r="30" spans="2:10" x14ac:dyDescent="0.35">
      <c r="B30" s="295" t="s">
        <v>527</v>
      </c>
      <c r="C30" s="295" t="s">
        <v>535</v>
      </c>
      <c r="D30">
        <v>200</v>
      </c>
      <c r="E30">
        <f>D30/5</f>
        <v>40</v>
      </c>
    </row>
    <row r="31" spans="2:10" ht="13.15" customHeight="1" x14ac:dyDescent="0.4">
      <c r="B31" s="295" t="s">
        <v>538</v>
      </c>
      <c r="C31" s="295" t="s">
        <v>539</v>
      </c>
      <c r="D31">
        <v>80</v>
      </c>
      <c r="J31" s="647">
        <f>SUM(J23:J30)</f>
        <v>0</v>
      </c>
    </row>
    <row r="32" spans="2:10" x14ac:dyDescent="0.35">
      <c r="B32" s="295" t="s">
        <v>540</v>
      </c>
      <c r="C32" s="295" t="s">
        <v>535</v>
      </c>
      <c r="D32">
        <v>250</v>
      </c>
    </row>
    <row r="33" spans="2:4" x14ac:dyDescent="0.35">
      <c r="B33" s="295" t="s">
        <v>541</v>
      </c>
      <c r="C33" s="295"/>
      <c r="D33">
        <v>50</v>
      </c>
    </row>
    <row r="34" spans="2:4" ht="13.15" customHeight="1" x14ac:dyDescent="0.4">
      <c r="D34" s="647">
        <f>SUM(D29:D33)</f>
        <v>931</v>
      </c>
    </row>
    <row r="35" spans="2:4" x14ac:dyDescent="0.35">
      <c r="C35" s="295" t="s">
        <v>542</v>
      </c>
      <c r="D35">
        <f>D34/5</f>
        <v>186.2</v>
      </c>
    </row>
    <row r="38" spans="2:4" ht="13.15" customHeight="1" x14ac:dyDescent="0.4">
      <c r="B38" s="295" t="s">
        <v>543</v>
      </c>
      <c r="D38" s="647">
        <f>D34+D26</f>
        <v>3160</v>
      </c>
    </row>
    <row r="42" spans="2:4" ht="13.15" customHeight="1" x14ac:dyDescent="0.4">
      <c r="B42" s="647" t="s">
        <v>544</v>
      </c>
      <c r="D42" s="568">
        <v>5</v>
      </c>
    </row>
    <row r="43" spans="2:4" x14ac:dyDescent="0.35">
      <c r="B43" s="295" t="s">
        <v>525</v>
      </c>
      <c r="D43">
        <f>D19/$D$42</f>
        <v>261.8</v>
      </c>
    </row>
    <row r="44" spans="2:4" x14ac:dyDescent="0.35">
      <c r="B44" s="295" t="s">
        <v>527</v>
      </c>
      <c r="D44">
        <f>D20/$D$42</f>
        <v>100</v>
      </c>
    </row>
    <row r="45" spans="2:4" x14ac:dyDescent="0.35">
      <c r="B45" s="295" t="s">
        <v>529</v>
      </c>
      <c r="D45">
        <f>D21/$D$42</f>
        <v>36</v>
      </c>
    </row>
    <row r="46" spans="2:4" x14ac:dyDescent="0.35">
      <c r="B46" s="295" t="s">
        <v>545</v>
      </c>
      <c r="D46">
        <f>D24/$D$42</f>
        <v>48</v>
      </c>
    </row>
    <row r="47" spans="2:4" x14ac:dyDescent="0.35">
      <c r="B47" s="295" t="s">
        <v>535</v>
      </c>
      <c r="D47">
        <f>D34/$D$42</f>
        <v>186.2</v>
      </c>
    </row>
    <row r="49" spans="4:4" ht="13.15" customHeight="1" x14ac:dyDescent="0.4">
      <c r="D49" s="647">
        <f>SUM(D43:D48)</f>
        <v>632</v>
      </c>
    </row>
  </sheetData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2:N38"/>
  <sheetViews>
    <sheetView workbookViewId="0">
      <selection activeCell="B60" sqref="B59:B60"/>
    </sheetView>
  </sheetViews>
  <sheetFormatPr defaultRowHeight="12.75" x14ac:dyDescent="0.35"/>
  <cols>
    <col min="2" max="2" width="26.33203125" style="1205" bestFit="1" customWidth="1"/>
    <col min="3" max="3" width="11.19921875" style="1205" customWidth="1"/>
    <col min="10" max="10" width="10" style="1205" bestFit="1" customWidth="1"/>
    <col min="14" max="14" width="10" style="1205" bestFit="1" customWidth="1"/>
  </cols>
  <sheetData>
    <row r="2" spans="2:14" ht="13.15" customHeight="1" x14ac:dyDescent="0.4">
      <c r="D2" s="1220" t="s">
        <v>546</v>
      </c>
      <c r="E2" s="1221"/>
      <c r="F2" s="1221"/>
      <c r="G2" s="647"/>
      <c r="H2" s="1224" t="s">
        <v>547</v>
      </c>
      <c r="I2" s="1221"/>
      <c r="J2" s="1223"/>
      <c r="K2" s="647"/>
      <c r="L2" s="1222" t="s">
        <v>548</v>
      </c>
      <c r="M2" s="1221"/>
      <c r="N2" s="1223"/>
    </row>
    <row r="4" spans="2:14" ht="13.15" customHeight="1" x14ac:dyDescent="0.4">
      <c r="B4" s="647" t="s">
        <v>549</v>
      </c>
      <c r="C4" s="647"/>
      <c r="D4" s="647" t="s">
        <v>550</v>
      </c>
      <c r="E4" s="647"/>
      <c r="F4" s="647" t="s">
        <v>551</v>
      </c>
      <c r="G4" s="647"/>
      <c r="H4" s="647" t="s">
        <v>550</v>
      </c>
      <c r="I4" s="647"/>
      <c r="J4" s="647" t="s">
        <v>551</v>
      </c>
      <c r="K4" s="647"/>
      <c r="L4" s="647" t="s">
        <v>550</v>
      </c>
      <c r="M4" s="647"/>
      <c r="N4" s="647" t="s">
        <v>551</v>
      </c>
    </row>
    <row r="6" spans="2:14" x14ac:dyDescent="0.35">
      <c r="B6" s="295" t="s">
        <v>552</v>
      </c>
      <c r="C6" s="295"/>
      <c r="D6">
        <v>50</v>
      </c>
      <c r="F6">
        <f>D6*12</f>
        <v>600</v>
      </c>
      <c r="H6">
        <v>75</v>
      </c>
      <c r="J6">
        <f>H6*12</f>
        <v>900</v>
      </c>
      <c r="L6">
        <v>100</v>
      </c>
      <c r="N6">
        <f>L6*12</f>
        <v>1200</v>
      </c>
    </row>
    <row r="7" spans="2:14" x14ac:dyDescent="0.35">
      <c r="B7" s="295"/>
      <c r="C7" s="295"/>
    </row>
    <row r="11" spans="2:14" ht="13.15" customHeight="1" x14ac:dyDescent="0.4">
      <c r="B11" s="647" t="s">
        <v>553</v>
      </c>
      <c r="C11" s="295"/>
    </row>
    <row r="13" spans="2:14" ht="13.15" customHeight="1" x14ac:dyDescent="0.4">
      <c r="B13" s="647" t="s">
        <v>554</v>
      </c>
      <c r="D13">
        <v>50</v>
      </c>
      <c r="F13">
        <f>D13*1</f>
        <v>50</v>
      </c>
      <c r="H13">
        <v>50</v>
      </c>
      <c r="J13">
        <f>H13*1</f>
        <v>50</v>
      </c>
      <c r="L13">
        <v>50</v>
      </c>
      <c r="N13">
        <f>L13*1</f>
        <v>50</v>
      </c>
    </row>
    <row r="15" spans="2:14" x14ac:dyDescent="0.35">
      <c r="B15" s="295" t="s">
        <v>555</v>
      </c>
      <c r="C15" s="295"/>
      <c r="D15">
        <v>20</v>
      </c>
      <c r="F15">
        <f>D15*6</f>
        <v>120</v>
      </c>
      <c r="H15">
        <v>20</v>
      </c>
      <c r="J15">
        <f>H15*6</f>
        <v>120</v>
      </c>
      <c r="L15">
        <v>20</v>
      </c>
      <c r="N15">
        <f>L15*6</f>
        <v>120</v>
      </c>
    </row>
    <row r="17" spans="2:14" x14ac:dyDescent="0.35">
      <c r="B17" s="295" t="s">
        <v>556</v>
      </c>
      <c r="C17" s="295"/>
      <c r="D17">
        <v>50</v>
      </c>
      <c r="F17">
        <f>D17*6</f>
        <v>300</v>
      </c>
    </row>
    <row r="19" spans="2:14" x14ac:dyDescent="0.35">
      <c r="B19" s="295" t="s">
        <v>557</v>
      </c>
      <c r="C19" s="295"/>
      <c r="H19">
        <v>75</v>
      </c>
      <c r="J19">
        <f>H19*6</f>
        <v>450</v>
      </c>
      <c r="L19">
        <v>75</v>
      </c>
      <c r="N19">
        <f>L19*6</f>
        <v>450</v>
      </c>
    </row>
    <row r="20" spans="2:14" x14ac:dyDescent="0.35">
      <c r="B20" s="295" t="s">
        <v>558</v>
      </c>
    </row>
    <row r="21" spans="2:14" x14ac:dyDescent="0.35">
      <c r="B21" s="295" t="s">
        <v>559</v>
      </c>
      <c r="H21">
        <v>65</v>
      </c>
      <c r="I21">
        <f>H21*6</f>
        <v>390</v>
      </c>
      <c r="L21">
        <v>65</v>
      </c>
      <c r="M21">
        <f>L21*6</f>
        <v>390</v>
      </c>
    </row>
    <row r="24" spans="2:14" x14ac:dyDescent="0.35">
      <c r="B24" s="295" t="s">
        <v>560</v>
      </c>
      <c r="C24" s="295"/>
      <c r="D24">
        <v>25</v>
      </c>
      <c r="F24">
        <f>D24*4</f>
        <v>100</v>
      </c>
      <c r="H24">
        <v>25</v>
      </c>
      <c r="J24">
        <v>100</v>
      </c>
      <c r="L24">
        <v>25</v>
      </c>
      <c r="N24">
        <v>100</v>
      </c>
    </row>
    <row r="31" spans="2:14" ht="13.15" customHeight="1" x14ac:dyDescent="0.4">
      <c r="B31" s="295" t="s">
        <v>561</v>
      </c>
      <c r="D31" s="945">
        <v>0.1</v>
      </c>
      <c r="H31" s="945">
        <v>0.15</v>
      </c>
      <c r="L31" s="945">
        <v>0.2</v>
      </c>
    </row>
    <row r="34" spans="2:14" ht="13.15" customHeight="1" x14ac:dyDescent="0.4">
      <c r="B34" s="647" t="s">
        <v>562</v>
      </c>
      <c r="D34">
        <v>50</v>
      </c>
      <c r="F34">
        <f>D34*1</f>
        <v>50</v>
      </c>
      <c r="H34">
        <v>50</v>
      </c>
      <c r="J34">
        <f>H34*1</f>
        <v>50</v>
      </c>
      <c r="L34">
        <v>50</v>
      </c>
      <c r="N34">
        <f>L34*1</f>
        <v>50</v>
      </c>
    </row>
    <row r="38" spans="2:14" ht="13.15" customHeight="1" x14ac:dyDescent="0.4">
      <c r="F38" s="647">
        <f>SUM(F11:F37)</f>
        <v>620</v>
      </c>
      <c r="J38" s="647">
        <f>SUM(J11:J37)</f>
        <v>770</v>
      </c>
      <c r="N38" s="647">
        <f>SUM(N11:N37)</f>
        <v>770</v>
      </c>
    </row>
  </sheetData>
  <mergeCells count="3">
    <mergeCell ref="D2:F2"/>
    <mergeCell ref="L2:N2"/>
    <mergeCell ref="H2:J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AJ370"/>
  <sheetViews>
    <sheetView showZeros="0" tabSelected="1" topLeftCell="A174" zoomScaleNormal="100" workbookViewId="0">
      <selection activeCell="C198" sqref="C198"/>
    </sheetView>
  </sheetViews>
  <sheetFormatPr defaultColWidth="9.1328125" defaultRowHeight="12.75" x14ac:dyDescent="0.35"/>
  <cols>
    <col min="1" max="1" width="9.796875" style="426" bestFit="1" customWidth="1"/>
    <col min="2" max="2" width="19.33203125" style="426" bestFit="1" customWidth="1"/>
    <col min="3" max="3" width="26.86328125" style="426" bestFit="1" customWidth="1"/>
    <col min="4" max="4" width="18.796875" style="426" customWidth="1"/>
    <col min="5" max="5" width="11" style="435" bestFit="1" customWidth="1"/>
    <col min="6" max="6" width="16.33203125" style="426" customWidth="1"/>
    <col min="7" max="7" width="13.46484375" style="426" customWidth="1"/>
    <col min="8" max="8" width="11.53125" style="426" customWidth="1"/>
    <col min="9" max="9" width="30.1328125" style="426" bestFit="1" customWidth="1"/>
    <col min="10" max="10" width="16.46484375" style="426" bestFit="1" customWidth="1"/>
    <col min="11" max="11" width="8.86328125" style="426" customWidth="1"/>
    <col min="12" max="12" width="9" style="426" bestFit="1" customWidth="1"/>
    <col min="13" max="13" width="7.796875" style="426" customWidth="1"/>
    <col min="14" max="14" width="7.46484375" style="426" customWidth="1"/>
    <col min="15" max="22" width="7.796875" style="426" customWidth="1"/>
    <col min="23" max="23" width="8.398437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0.1328125" style="426" customWidth="1"/>
    <col min="28" max="28" width="12.132812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6" width="9.1328125" style="426" customWidth="1"/>
    <col min="37" max="16384" width="9.1328125" style="426"/>
  </cols>
  <sheetData>
    <row r="1" spans="2:35" ht="20.65" customHeight="1" x14ac:dyDescent="0.6">
      <c r="C1" s="995">
        <f ca="1">NOW()</f>
        <v>46191.757036689814</v>
      </c>
      <c r="D1" s="986"/>
      <c r="I1" s="908" t="s">
        <v>0</v>
      </c>
      <c r="J1" s="45" t="s">
        <v>1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  <c r="AA1" s="45"/>
    </row>
    <row r="2" spans="2:35" ht="15" customHeight="1" x14ac:dyDescent="0.4">
      <c r="C2" s="989" t="s">
        <v>2</v>
      </c>
      <c r="D2" s="987">
        <f ca="1">NETWORKDAYS(TODAY(),EOMONTH(TODAY(),0))</f>
        <v>9</v>
      </c>
      <c r="E2" s="419"/>
      <c r="F2" s="418"/>
      <c r="J2" s="45" t="s">
        <v>3</v>
      </c>
      <c r="K2" s="800">
        <f t="shared" ref="K2:V2" si="0">SUM(K44/$W44)</f>
        <v>7.5212529341163251E-2</v>
      </c>
      <c r="L2" s="800">
        <f t="shared" si="0"/>
        <v>6.0676434464640931E-2</v>
      </c>
      <c r="M2" s="800">
        <f t="shared" si="0"/>
        <v>4.0001454818105769E-2</v>
      </c>
      <c r="N2" s="800">
        <f t="shared" si="0"/>
        <v>8.232636606021268E-2</v>
      </c>
      <c r="O2" s="800">
        <f t="shared" si="0"/>
        <v>9.6323954419429661E-2</v>
      </c>
      <c r="P2" s="800">
        <f t="shared" si="0"/>
        <v>0.10365892349055628</v>
      </c>
      <c r="Q2" s="800">
        <f t="shared" si="0"/>
        <v>7.8028609557595413E-2</v>
      </c>
      <c r="R2" s="800">
        <f t="shared" si="0"/>
        <v>5.9322782171763656E-2</v>
      </c>
      <c r="S2" s="800">
        <f t="shared" si="0"/>
        <v>9.3018160046777987E-2</v>
      </c>
      <c r="T2" s="800">
        <f t="shared" si="0"/>
        <v>0.12141397128972423</v>
      </c>
      <c r="U2" s="800">
        <f t="shared" si="0"/>
        <v>9.990817859570883E-2</v>
      </c>
      <c r="V2" s="800">
        <f t="shared" si="0"/>
        <v>9.0108635744321305E-2</v>
      </c>
      <c r="W2" s="836">
        <f>SUM(K2:V2)</f>
        <v>1</v>
      </c>
      <c r="AD2" s="46" t="s">
        <v>4</v>
      </c>
      <c r="AE2" s="46"/>
      <c r="AF2" s="46" t="s">
        <v>5</v>
      </c>
      <c r="AG2" s="45" t="s">
        <v>6</v>
      </c>
      <c r="AH2" s="45" t="s">
        <v>7</v>
      </c>
      <c r="AI2" s="45" t="s">
        <v>8</v>
      </c>
    </row>
    <row r="3" spans="2:35" ht="26.25" customHeight="1" x14ac:dyDescent="0.4">
      <c r="C3" s="992" t="s">
        <v>9</v>
      </c>
      <c r="D3" s="987">
        <f ca="1">23-D2</f>
        <v>14</v>
      </c>
      <c r="E3" s="695"/>
      <c r="F3" s="427"/>
      <c r="G3" s="59" t="s">
        <v>10</v>
      </c>
      <c r="H3" s="59" t="s">
        <v>11</v>
      </c>
      <c r="I3"/>
      <c r="J3" s="647" t="s">
        <v>12</v>
      </c>
      <c r="K3" s="737">
        <f t="shared" ref="K3:V3" si="1">SUM(K2+K1)*$J19</f>
        <v>4554.5699267834825</v>
      </c>
      <c r="L3" s="737">
        <f t="shared" si="1"/>
        <v>3674.3221654407967</v>
      </c>
      <c r="M3" s="737">
        <f t="shared" si="1"/>
        <v>2422.3280979652131</v>
      </c>
      <c r="N3" s="737">
        <f t="shared" si="1"/>
        <v>4985.3554231422395</v>
      </c>
      <c r="O3" s="737">
        <f t="shared" si="1"/>
        <v>5832.9933838229836</v>
      </c>
      <c r="P3" s="737">
        <f t="shared" si="1"/>
        <v>6277.1697708941265</v>
      </c>
      <c r="Q3" s="737">
        <f t="shared" si="1"/>
        <v>4725.1004803697488</v>
      </c>
      <c r="R3" s="737">
        <f t="shared" si="1"/>
        <v>3592.3503971933205</v>
      </c>
      <c r="S3" s="737">
        <f t="shared" si="1"/>
        <v>5632.8076997926883</v>
      </c>
      <c r="T3" s="737">
        <f t="shared" si="1"/>
        <v>7352.344445420541</v>
      </c>
      <c r="U3" s="737">
        <f t="shared" si="1"/>
        <v>6050.0396630417445</v>
      </c>
      <c r="V3" s="737">
        <f t="shared" si="1"/>
        <v>5456.6185461331215</v>
      </c>
      <c r="W3" s="801">
        <f>SUM(K3:V3)</f>
        <v>60556.000000000007</v>
      </c>
      <c r="AA3" s="559" t="s">
        <v>13</v>
      </c>
      <c r="AB3" s="816">
        <v>6</v>
      </c>
      <c r="AD3" s="426">
        <v>0.9995056846267919</v>
      </c>
      <c r="AF3" s="46"/>
    </row>
    <row r="4" spans="2:35" ht="15" customHeight="1" x14ac:dyDescent="0.4">
      <c r="C4" s="992" t="s">
        <v>14</v>
      </c>
      <c r="D4" s="1214">
        <f ca="1">P18/D3</f>
        <v>179.64285714285714</v>
      </c>
      <c r="E4" s="695"/>
      <c r="F4" s="427"/>
      <c r="I4"/>
      <c r="J4" s="647" t="s">
        <v>15</v>
      </c>
      <c r="K4" s="737">
        <f t="shared" ref="K4:V4" si="2">NETWORKDAYS(K5,EOMONTH(K5,0))</f>
        <v>23</v>
      </c>
      <c r="L4" s="737">
        <f t="shared" si="2"/>
        <v>21</v>
      </c>
      <c r="M4" s="737">
        <f t="shared" si="2"/>
        <v>21</v>
      </c>
      <c r="N4" s="737">
        <f t="shared" si="2"/>
        <v>22</v>
      </c>
      <c r="O4" s="737">
        <f t="shared" si="2"/>
        <v>23</v>
      </c>
      <c r="P4" s="737">
        <f t="shared" si="2"/>
        <v>20</v>
      </c>
      <c r="Q4" s="737">
        <f t="shared" si="2"/>
        <v>23</v>
      </c>
      <c r="R4" s="737">
        <f t="shared" si="2"/>
        <v>22</v>
      </c>
      <c r="S4" s="737">
        <f t="shared" si="2"/>
        <v>21</v>
      </c>
      <c r="T4" s="737">
        <f t="shared" si="2"/>
        <v>23</v>
      </c>
      <c r="U4" s="737">
        <f t="shared" si="2"/>
        <v>21</v>
      </c>
      <c r="V4" s="737">
        <f t="shared" si="2"/>
        <v>22</v>
      </c>
      <c r="W4" s="801">
        <f>SUM(K4:V4)</f>
        <v>262</v>
      </c>
      <c r="AF4" s="46"/>
    </row>
    <row r="5" spans="2:35" ht="15" customHeight="1" x14ac:dyDescent="0.4">
      <c r="C5" s="989" t="s">
        <v>16</v>
      </c>
      <c r="D5" s="1059">
        <f ca="1">D4/8</f>
        <v>22.455357142857142</v>
      </c>
      <c r="E5" s="695"/>
      <c r="F5" s="49"/>
      <c r="I5" s="980" t="s">
        <v>17</v>
      </c>
      <c r="J5" s="421" t="s">
        <v>18</v>
      </c>
      <c r="K5" s="1021">
        <v>45292</v>
      </c>
      <c r="L5" s="1021">
        <v>45323</v>
      </c>
      <c r="M5" s="1021">
        <v>45352</v>
      </c>
      <c r="N5" s="1021">
        <v>45383</v>
      </c>
      <c r="O5" s="1021">
        <v>45413</v>
      </c>
      <c r="P5" s="1021">
        <v>45444</v>
      </c>
      <c r="Q5" s="1021">
        <v>45474</v>
      </c>
      <c r="R5" s="1021">
        <v>45505</v>
      </c>
      <c r="S5" s="1021">
        <v>45536</v>
      </c>
      <c r="T5" s="1021">
        <v>45566</v>
      </c>
      <c r="U5" s="1021">
        <v>45597</v>
      </c>
      <c r="V5" s="1021">
        <v>45627</v>
      </c>
      <c r="W5" s="423" t="s">
        <v>19</v>
      </c>
      <c r="X5" s="815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25</v>
      </c>
      <c r="AE5" s="45" t="s">
        <v>26</v>
      </c>
      <c r="AF5" s="928">
        <f>AG5+AH5</f>
        <v>50454.25</v>
      </c>
      <c r="AG5" s="443">
        <f>SUM(N32:V32)</f>
        <v>37708.959999999999</v>
      </c>
      <c r="AH5" s="443">
        <f>SUM(K18:M18)</f>
        <v>12745.29</v>
      </c>
      <c r="AI5" s="445">
        <f>SUM(AF5-AF6)/AF6</f>
        <v>2.0117159028024391E-2</v>
      </c>
    </row>
    <row r="6" spans="2:35" ht="15.4" customHeight="1" thickBot="1" x14ac:dyDescent="0.45">
      <c r="C6" s="990" t="s">
        <v>27</v>
      </c>
      <c r="D6" s="1179">
        <f ca="1">D2*D4</f>
        <v>1616.7857142857142</v>
      </c>
      <c r="E6" s="695"/>
      <c r="F6" s="49"/>
      <c r="G6" s="445">
        <f t="shared" ref="G6:G18" si="3">W114/$W$126</f>
        <v>0.15859322139687074</v>
      </c>
      <c r="H6" s="445">
        <f t="shared" ref="H6:H18" si="4">W6/$W$18</f>
        <v>0.1215377553196488</v>
      </c>
      <c r="I6" s="981" t="s">
        <v>28</v>
      </c>
      <c r="J6" s="431">
        <f>8000/12</f>
        <v>666.66666666666663</v>
      </c>
      <c r="K6" s="432">
        <f t="shared" ref="K6:K17" si="5">SUMIFS($E$192:$E$370,$A$192:$A$370,"&gt;31/12/2025",$A$192:$A$370,"&lt;1/2/2026",$C$192:$C$370,$I6)</f>
        <v>750</v>
      </c>
      <c r="L6" s="432">
        <f t="shared" ref="L6:L17" si="6">SUMIFS($E$192:$E$370,$A$192:$A$370,"&gt;31/1/2026",$A$192:$A$370,"&lt;1/3/2026",$C$192:$C$370,$I6)</f>
        <v>450</v>
      </c>
      <c r="M6" s="432">
        <f t="shared" ref="M6:M17" si="7">SUMIFS($E$192:$E$370,$A$192:$A$370,"&gt;28/2/2026",$A$192:$A$370,"&lt;1/4/2026",$C$192:$C$370,$I6)</f>
        <v>150</v>
      </c>
      <c r="N6" s="432">
        <f t="shared" ref="N6:N17" si="8">SUMIFS($E$192:$E$370,$A$192:$A$370,"&gt;31/3/2026",$A$192:$A$370,"&lt;1/5/2026",$C$192:$C$370,$I6)</f>
        <v>750</v>
      </c>
      <c r="O6" s="432">
        <f t="shared" ref="O6:O17" si="9">SUMIFS($E$192:$E$370,$A$192:$A$370,"&gt;30/4/2026",$A$192:$A$370,"&lt;1/6/2026",$C$192:$C$370,$I6)</f>
        <v>290</v>
      </c>
      <c r="P6" s="432">
        <f t="shared" ref="P6:P17" si="10">SUMIFS($E$192:$E$370,$A$192:$A$370,"&gt;31/5/2026",$A$192:$A$370,"&lt;1/7/2026",$C$192:$C$370,$I6)</f>
        <v>300</v>
      </c>
      <c r="Q6" s="432">
        <f t="shared" ref="Q6:Q17" si="11">SUMIFS($E$192:$E$370,$A$192:$A$370,"&gt;30/6/2026",$A$192:$A$370,"&lt;1/8/2026",$C$192:$C$370,$I6)</f>
        <v>0</v>
      </c>
      <c r="R6" s="432">
        <f t="shared" ref="R6:R17" si="12">SUMIFS($E$192:$E$370,$A$192:$A$370,"&gt;31/7/2026",$A$192:$A$370,"&lt;1/9/2026",$C$192:$C$370,$I6)</f>
        <v>0</v>
      </c>
      <c r="S6" s="432">
        <f t="shared" ref="S6:S17" si="13">SUMIFS($E$192:$E$370,$A$192:$A$370,"&gt;31/8/2026",$A$192:$A$370,"&lt;1/10/2026",$C$192:$C$370,$I6)</f>
        <v>0</v>
      </c>
      <c r="T6" s="432">
        <f t="shared" ref="T6:T17" si="14">SUMIFS($E$192:$E$370,$A$192:$A$370,"&gt;30/9/2026",$A$192:$A$370,"&lt;1/11/2026",$C$192:$C$370,$I6)</f>
        <v>0</v>
      </c>
      <c r="U6" s="432">
        <f t="shared" ref="U6:U17" si="15">SUMIFS($E$192:$E$370,$A$192:$A$370,"&gt;31/10/2026",$A$192:$A$370,"&lt;1/12/2026",$C$192:$C$370,$I6)</f>
        <v>0</v>
      </c>
      <c r="V6" s="432">
        <f t="shared" ref="V6:V17" si="16">SUMIFS($E$192:$E$370,$A$192:$A$370,"&gt;30/11/2026",$A$192:$A$370,"&lt;1/1/2027",$C$192:$C$370,$I6)</f>
        <v>0</v>
      </c>
      <c r="W6" s="431">
        <f t="shared" ref="W6:W17" si="17">SUM(K6:V6)</f>
        <v>2690</v>
      </c>
      <c r="X6" s="432">
        <f>SUM(P6-(J6*12)*(P$2+P$1))</f>
        <v>-529.27138792445021</v>
      </c>
      <c r="Y6" s="432">
        <f t="shared" ref="Y6:Y18" si="18">W6-AA6</f>
        <v>-975.59730075286825</v>
      </c>
      <c r="Z6" s="433">
        <f t="shared" ref="Z6:Z18" si="19">Y6/AA6</f>
        <v>-0.26614961238445167</v>
      </c>
      <c r="AA6" s="814">
        <f>SUM(J6*12)*((K$2+K$1+L$1+L$2+M$1+M$2+N$1+N$2+O$1+O$2+P$1+P$2))</f>
        <v>3665.5973007528683</v>
      </c>
      <c r="AB6" s="813">
        <f t="shared" ref="AB6:AB18" si="20">W6/$AB$3</f>
        <v>448.33333333333331</v>
      </c>
      <c r="AD6" s="48" t="s">
        <v>29</v>
      </c>
      <c r="AE6" s="584" t="s">
        <v>30</v>
      </c>
      <c r="AF6" s="928">
        <f>AG6+AH6</f>
        <v>49459.270000000004</v>
      </c>
      <c r="AG6" s="443">
        <f>SUM(N33:V33)</f>
        <v>33771.410000000003</v>
      </c>
      <c r="AH6" s="443">
        <f>SUM(K32:M32)</f>
        <v>15687.86</v>
      </c>
      <c r="AI6" s="445">
        <f>SUM(AF6-AF7)/AF7</f>
        <v>-0.32845261712503676</v>
      </c>
    </row>
    <row r="7" spans="2:35" ht="15.4" customHeight="1" thickTop="1" x14ac:dyDescent="0.4">
      <c r="C7" s="989"/>
      <c r="D7" s="1059"/>
      <c r="E7" s="695"/>
      <c r="F7" s="49"/>
      <c r="G7" s="445">
        <f t="shared" si="3"/>
        <v>0.2635850783129528</v>
      </c>
      <c r="H7" s="445">
        <f t="shared" si="4"/>
        <v>0.24239779081409513</v>
      </c>
      <c r="I7" s="981" t="s">
        <v>31</v>
      </c>
      <c r="J7" s="431">
        <f>20000/12</f>
        <v>1666.6666666666667</v>
      </c>
      <c r="K7" s="432">
        <f t="shared" si="5"/>
        <v>1158</v>
      </c>
      <c r="L7" s="432">
        <f t="shared" si="6"/>
        <v>595</v>
      </c>
      <c r="M7" s="432">
        <f t="shared" si="7"/>
        <v>706</v>
      </c>
      <c r="N7" s="432">
        <f t="shared" si="8"/>
        <v>2219</v>
      </c>
      <c r="O7" s="432">
        <f t="shared" si="9"/>
        <v>0</v>
      </c>
      <c r="P7" s="432">
        <f t="shared" si="10"/>
        <v>687</v>
      </c>
      <c r="Q7" s="432">
        <f t="shared" si="11"/>
        <v>0</v>
      </c>
      <c r="R7" s="432">
        <f t="shared" si="12"/>
        <v>0</v>
      </c>
      <c r="S7" s="432">
        <f t="shared" si="13"/>
        <v>0</v>
      </c>
      <c r="T7" s="432">
        <f t="shared" si="14"/>
        <v>0</v>
      </c>
      <c r="U7" s="432">
        <f t="shared" si="15"/>
        <v>0</v>
      </c>
      <c r="V7" s="432">
        <f t="shared" si="16"/>
        <v>0</v>
      </c>
      <c r="W7" s="431">
        <f t="shared" si="17"/>
        <v>5365</v>
      </c>
      <c r="X7" s="432">
        <f t="shared" ref="X7:X18" si="21">SUM(P7-(J7*12)*(P$2+P$1))</f>
        <v>-1386.1784698111255</v>
      </c>
      <c r="Y7" s="432">
        <f t="shared" si="18"/>
        <v>-3798.9932518821715</v>
      </c>
      <c r="Z7" s="433">
        <f t="shared" si="19"/>
        <v>-0.41455653092083028</v>
      </c>
      <c r="AA7" s="814">
        <f t="shared" ref="AA7:AA17" si="22">SUM(J7*12)*((K$2+K$1+L$1+L$2+M$1+M$2+N$1+N$2+O$1+O$2+P$1+P$2))</f>
        <v>9163.9932518821715</v>
      </c>
      <c r="AB7" s="813">
        <f t="shared" si="20"/>
        <v>894.16666666666663</v>
      </c>
      <c r="AD7" s="48" t="s">
        <v>32</v>
      </c>
      <c r="AE7" s="584" t="s">
        <v>33</v>
      </c>
      <c r="AF7" s="928">
        <f>AG7+AH7</f>
        <v>73649.709999999992</v>
      </c>
      <c r="AG7" s="443">
        <f>SUM(N34:V34)</f>
        <v>46094.1</v>
      </c>
      <c r="AH7" s="443">
        <f>SUM(K33:M33)</f>
        <v>27555.61</v>
      </c>
      <c r="AI7" s="445">
        <f>SUM(AF7-AF9)/AF9</f>
        <v>0.20558309119269375</v>
      </c>
    </row>
    <row r="8" spans="2:35" ht="15.4" customHeight="1" thickBot="1" x14ac:dyDescent="0.45">
      <c r="C8" s="993" t="s">
        <v>34</v>
      </c>
      <c r="D8" s="1215">
        <f ca="1">P18+D6</f>
        <v>4131.7857142857138</v>
      </c>
      <c r="E8" s="1018"/>
      <c r="F8" s="49"/>
      <c r="G8" s="445">
        <f t="shared" si="3"/>
        <v>0.18078382600165802</v>
      </c>
      <c r="H8" s="445">
        <f t="shared" si="4"/>
        <v>0.35625472144811554</v>
      </c>
      <c r="I8" s="982" t="s">
        <v>35</v>
      </c>
      <c r="J8" s="431">
        <f>10000/12</f>
        <v>833.33333333333337</v>
      </c>
      <c r="K8" s="432">
        <f t="shared" si="5"/>
        <v>2175</v>
      </c>
      <c r="L8" s="432">
        <f t="shared" si="6"/>
        <v>2415</v>
      </c>
      <c r="M8" s="432">
        <f t="shared" si="7"/>
        <v>0</v>
      </c>
      <c r="N8" s="432">
        <f t="shared" si="8"/>
        <v>2720</v>
      </c>
      <c r="O8" s="432">
        <f t="shared" si="9"/>
        <v>0</v>
      </c>
      <c r="P8" s="432">
        <f t="shared" si="10"/>
        <v>575</v>
      </c>
      <c r="Q8" s="432">
        <f t="shared" si="11"/>
        <v>0</v>
      </c>
      <c r="R8" s="432">
        <f t="shared" si="12"/>
        <v>0</v>
      </c>
      <c r="S8" s="432">
        <f t="shared" si="13"/>
        <v>0</v>
      </c>
      <c r="T8" s="432">
        <f t="shared" si="14"/>
        <v>0</v>
      </c>
      <c r="U8" s="432">
        <f t="shared" si="15"/>
        <v>0</v>
      </c>
      <c r="V8" s="432">
        <f t="shared" si="16"/>
        <v>0</v>
      </c>
      <c r="W8" s="431">
        <f t="shared" si="17"/>
        <v>7885</v>
      </c>
      <c r="X8" s="432">
        <f t="shared" si="21"/>
        <v>-461.58923490556276</v>
      </c>
      <c r="Y8" s="432">
        <f t="shared" si="18"/>
        <v>3303.0033740589142</v>
      </c>
      <c r="Z8" s="433">
        <f t="shared" si="19"/>
        <v>0.72086551861668335</v>
      </c>
      <c r="AA8" s="814">
        <f t="shared" si="22"/>
        <v>4581.9966259410858</v>
      </c>
      <c r="AB8" s="813">
        <f t="shared" si="20"/>
        <v>1314.1666666666667</v>
      </c>
      <c r="AD8" s="48"/>
      <c r="AE8" s="584"/>
      <c r="AF8" s="928"/>
      <c r="AG8" s="443"/>
      <c r="AH8" s="443"/>
      <c r="AI8" s="445"/>
    </row>
    <row r="9" spans="2:35" ht="15.4" customHeight="1" thickTop="1" x14ac:dyDescent="0.4">
      <c r="C9" s="992" t="s">
        <v>36</v>
      </c>
      <c r="D9" s="987">
        <f ca="1">D8-P3</f>
        <v>-2145.3840566084127</v>
      </c>
      <c r="E9" s="1018"/>
      <c r="F9" s="49"/>
      <c r="G9" s="445">
        <f t="shared" si="3"/>
        <v>9.367546740913885E-3</v>
      </c>
      <c r="H9" s="445">
        <f t="shared" si="4"/>
        <v>1.2921858000527718E-2</v>
      </c>
      <c r="I9" s="983" t="s">
        <v>37</v>
      </c>
      <c r="J9" s="431">
        <v>100</v>
      </c>
      <c r="K9" s="432">
        <f t="shared" si="5"/>
        <v>0</v>
      </c>
      <c r="L9" s="432">
        <f t="shared" si="6"/>
        <v>286</v>
      </c>
      <c r="M9" s="432">
        <f t="shared" si="7"/>
        <v>0</v>
      </c>
      <c r="N9" s="432">
        <f t="shared" si="8"/>
        <v>0</v>
      </c>
      <c r="O9" s="432">
        <f t="shared" si="9"/>
        <v>0</v>
      </c>
      <c r="P9" s="432">
        <f t="shared" si="10"/>
        <v>0</v>
      </c>
      <c r="Q9" s="432">
        <f t="shared" si="11"/>
        <v>0</v>
      </c>
      <c r="R9" s="432">
        <f t="shared" si="12"/>
        <v>0</v>
      </c>
      <c r="S9" s="432">
        <f t="shared" si="13"/>
        <v>0</v>
      </c>
      <c r="T9" s="432">
        <f t="shared" si="14"/>
        <v>0</v>
      </c>
      <c r="U9" s="432">
        <f t="shared" si="15"/>
        <v>0</v>
      </c>
      <c r="V9" s="432">
        <f t="shared" si="16"/>
        <v>0</v>
      </c>
      <c r="W9" s="431">
        <f t="shared" si="17"/>
        <v>286</v>
      </c>
      <c r="X9" s="432">
        <f t="shared" si="21"/>
        <v>-124.39070818866753</v>
      </c>
      <c r="Y9" s="432">
        <f t="shared" si="18"/>
        <v>-263.83959511293028</v>
      </c>
      <c r="Z9" s="433">
        <f t="shared" si="19"/>
        <v>-0.47984830022788899</v>
      </c>
      <c r="AA9" s="814">
        <f t="shared" si="22"/>
        <v>549.83959511293028</v>
      </c>
      <c r="AB9" s="813">
        <f t="shared" si="20"/>
        <v>47.666666666666664</v>
      </c>
      <c r="AD9" s="48" t="s">
        <v>38</v>
      </c>
      <c r="AE9" s="584" t="s">
        <v>39</v>
      </c>
      <c r="AF9" s="928">
        <f t="shared" ref="AF9:AF16" si="23">AG9+AH9</f>
        <v>61090.53</v>
      </c>
      <c r="AG9" s="443">
        <f t="shared" ref="AG9:AG16" si="24">SUM(N35:V35)</f>
        <v>37518.659999999996</v>
      </c>
      <c r="AH9" s="443">
        <f t="shared" ref="AH9:AH16" si="25">SUM(K34:M34)</f>
        <v>23571.870000000003</v>
      </c>
      <c r="AI9" s="445">
        <f t="shared" ref="AI9:AI14" si="26">SUM(AF9-AF10)/AF10</f>
        <v>-0.12252847628215617</v>
      </c>
    </row>
    <row r="10" spans="2:35" ht="15" customHeight="1" x14ac:dyDescent="0.4">
      <c r="C10" s="992" t="s">
        <v>40</v>
      </c>
      <c r="D10" s="1213">
        <f ca="1">D8/P3</f>
        <v>0.65822430571240997</v>
      </c>
      <c r="E10" s="695"/>
      <c r="F10" s="49"/>
      <c r="G10" s="445">
        <f t="shared" si="3"/>
        <v>-3.0067859818737577E-2</v>
      </c>
      <c r="H10" s="445">
        <f t="shared" si="4"/>
        <v>-4.6084948113770181E-2</v>
      </c>
      <c r="I10" s="983" t="s">
        <v>41</v>
      </c>
      <c r="J10" s="431">
        <v>-100</v>
      </c>
      <c r="K10" s="432">
        <f t="shared" si="5"/>
        <v>-1020</v>
      </c>
      <c r="L10" s="432">
        <f t="shared" si="6"/>
        <v>0</v>
      </c>
      <c r="M10" s="432">
        <f t="shared" si="7"/>
        <v>0</v>
      </c>
      <c r="N10" s="432">
        <f t="shared" si="8"/>
        <v>0</v>
      </c>
      <c r="O10" s="432">
        <f t="shared" si="9"/>
        <v>0</v>
      </c>
      <c r="P10" s="432">
        <f t="shared" si="10"/>
        <v>0</v>
      </c>
      <c r="Q10" s="432">
        <f t="shared" si="11"/>
        <v>0</v>
      </c>
      <c r="R10" s="432">
        <f t="shared" si="12"/>
        <v>0</v>
      </c>
      <c r="S10" s="432">
        <f t="shared" si="13"/>
        <v>0</v>
      </c>
      <c r="T10" s="432">
        <f t="shared" si="14"/>
        <v>0</v>
      </c>
      <c r="U10" s="432">
        <f t="shared" si="15"/>
        <v>0</v>
      </c>
      <c r="V10" s="432">
        <f t="shared" si="16"/>
        <v>0</v>
      </c>
      <c r="W10" s="704">
        <f t="shared" si="17"/>
        <v>-1020</v>
      </c>
      <c r="X10" s="432">
        <f t="shared" si="21"/>
        <v>124.39070818866753</v>
      </c>
      <c r="Y10" s="432">
        <f t="shared" si="18"/>
        <v>-470.16040488706972</v>
      </c>
      <c r="Z10" s="433">
        <f t="shared" si="19"/>
        <v>0.85508648170473167</v>
      </c>
      <c r="AA10" s="814">
        <f t="shared" si="22"/>
        <v>-549.83959511293028</v>
      </c>
      <c r="AB10" s="813">
        <f t="shared" si="20"/>
        <v>-170</v>
      </c>
      <c r="AD10" s="48" t="s">
        <v>42</v>
      </c>
      <c r="AE10" s="584" t="s">
        <v>43</v>
      </c>
      <c r="AF10" s="928">
        <f t="shared" si="23"/>
        <v>69621.096923076926</v>
      </c>
      <c r="AG10" s="443">
        <f t="shared" si="24"/>
        <v>52137.860000000008</v>
      </c>
      <c r="AH10" s="443">
        <f t="shared" si="25"/>
        <v>17483.236923076925</v>
      </c>
      <c r="AI10" s="445">
        <f t="shared" si="26"/>
        <v>0.25201643354615522</v>
      </c>
    </row>
    <row r="11" spans="2:35" ht="13.9" customHeight="1" x14ac:dyDescent="0.4">
      <c r="B11" s="986"/>
      <c r="D11" s="693"/>
      <c r="E11" s="695"/>
      <c r="F11" s="693"/>
      <c r="G11" s="445">
        <f t="shared" si="3"/>
        <v>6.2231953873204135E-3</v>
      </c>
      <c r="H11" s="445">
        <f t="shared" si="4"/>
        <v>4.5181321680166841E-3</v>
      </c>
      <c r="I11" s="981" t="s">
        <v>44</v>
      </c>
      <c r="J11" s="431">
        <v>80</v>
      </c>
      <c r="K11" s="432">
        <f t="shared" si="5"/>
        <v>20</v>
      </c>
      <c r="L11" s="432">
        <f t="shared" si="6"/>
        <v>20</v>
      </c>
      <c r="M11" s="432">
        <f t="shared" si="7"/>
        <v>20</v>
      </c>
      <c r="N11" s="432">
        <f t="shared" si="8"/>
        <v>20</v>
      </c>
      <c r="O11" s="432">
        <f t="shared" si="9"/>
        <v>20</v>
      </c>
      <c r="P11" s="432">
        <f t="shared" si="10"/>
        <v>0</v>
      </c>
      <c r="Q11" s="432">
        <f t="shared" si="11"/>
        <v>0</v>
      </c>
      <c r="R11" s="432">
        <f t="shared" si="12"/>
        <v>0</v>
      </c>
      <c r="S11" s="432">
        <f t="shared" si="13"/>
        <v>0</v>
      </c>
      <c r="T11" s="432">
        <f t="shared" si="14"/>
        <v>0</v>
      </c>
      <c r="U11" s="432">
        <f t="shared" si="15"/>
        <v>0</v>
      </c>
      <c r="V11" s="432">
        <f t="shared" si="16"/>
        <v>0</v>
      </c>
      <c r="W11" s="431">
        <f t="shared" si="17"/>
        <v>100</v>
      </c>
      <c r="X11" s="432">
        <f t="shared" si="21"/>
        <v>-99.512566550934025</v>
      </c>
      <c r="Y11" s="432">
        <f t="shared" si="18"/>
        <v>-339.87167609034418</v>
      </c>
      <c r="Z11" s="433">
        <f t="shared" si="19"/>
        <v>-0.77266097037932213</v>
      </c>
      <c r="AA11" s="814">
        <f t="shared" si="22"/>
        <v>439.87167609034418</v>
      </c>
      <c r="AB11" s="813">
        <f t="shared" si="20"/>
        <v>16.666666666666668</v>
      </c>
      <c r="AD11" s="48" t="s">
        <v>45</v>
      </c>
      <c r="AE11" s="45" t="s">
        <v>46</v>
      </c>
      <c r="AF11" s="928">
        <f t="shared" si="23"/>
        <v>55607.175000000003</v>
      </c>
      <c r="AG11" s="443">
        <f t="shared" si="24"/>
        <v>42562.105000000003</v>
      </c>
      <c r="AH11" s="443">
        <f t="shared" si="25"/>
        <v>13045.07</v>
      </c>
      <c r="AI11" s="445">
        <f t="shared" si="26"/>
        <v>-0.35771029934576909</v>
      </c>
    </row>
    <row r="12" spans="2:35" ht="13.9" customHeight="1" x14ac:dyDescent="0.4">
      <c r="B12" s="986"/>
      <c r="D12" s="463"/>
      <c r="E12" s="465"/>
      <c r="F12" s="45"/>
      <c r="G12" s="445">
        <f t="shared" si="3"/>
        <v>0.10299388366015284</v>
      </c>
      <c r="H12" s="445">
        <f t="shared" si="4"/>
        <v>7.477508738067612E-2</v>
      </c>
      <c r="I12" s="982" t="s">
        <v>47</v>
      </c>
      <c r="J12" s="431">
        <v>800</v>
      </c>
      <c r="K12" s="432">
        <f t="shared" si="5"/>
        <v>300</v>
      </c>
      <c r="L12" s="432">
        <f t="shared" si="6"/>
        <v>50</v>
      </c>
      <c r="M12" s="432">
        <f t="shared" si="7"/>
        <v>770</v>
      </c>
      <c r="N12" s="432">
        <f t="shared" si="8"/>
        <v>190</v>
      </c>
      <c r="O12" s="432">
        <f t="shared" si="9"/>
        <v>130</v>
      </c>
      <c r="P12" s="432">
        <f t="shared" si="10"/>
        <v>215</v>
      </c>
      <c r="Q12" s="432">
        <f t="shared" si="11"/>
        <v>0</v>
      </c>
      <c r="R12" s="432">
        <f t="shared" si="12"/>
        <v>0</v>
      </c>
      <c r="S12" s="432">
        <f t="shared" si="13"/>
        <v>0</v>
      </c>
      <c r="T12" s="432">
        <f t="shared" si="14"/>
        <v>0</v>
      </c>
      <c r="U12" s="432">
        <f t="shared" si="15"/>
        <v>0</v>
      </c>
      <c r="V12" s="432">
        <f t="shared" si="16"/>
        <v>0</v>
      </c>
      <c r="W12" s="431">
        <f t="shared" si="17"/>
        <v>1655</v>
      </c>
      <c r="X12" s="432">
        <f t="shared" si="21"/>
        <v>-780.12566550934025</v>
      </c>
      <c r="Y12" s="432">
        <f t="shared" si="18"/>
        <v>-2743.7167609034423</v>
      </c>
      <c r="Z12" s="433">
        <f t="shared" si="19"/>
        <v>-0.62375390597777813</v>
      </c>
      <c r="AA12" s="814">
        <f t="shared" si="22"/>
        <v>4398.7167609034423</v>
      </c>
      <c r="AB12" s="813">
        <f t="shared" si="20"/>
        <v>275.83333333333331</v>
      </c>
      <c r="AD12" s="48" t="s">
        <v>48</v>
      </c>
      <c r="AE12" s="45" t="s">
        <v>49</v>
      </c>
      <c r="AF12" s="928">
        <f t="shared" si="23"/>
        <v>86576.47</v>
      </c>
      <c r="AG12" s="443">
        <f t="shared" si="24"/>
        <v>60536.84</v>
      </c>
      <c r="AH12" s="443">
        <f t="shared" si="25"/>
        <v>26039.63</v>
      </c>
      <c r="AI12" s="445">
        <f t="shared" si="26"/>
        <v>0.41480239758156645</v>
      </c>
    </row>
    <row r="13" spans="2:35" ht="13.15" customHeight="1" x14ac:dyDescent="0.4">
      <c r="B13" s="986"/>
      <c r="C13" s="45"/>
      <c r="D13" s="45">
        <v>2673</v>
      </c>
      <c r="E13" s="465"/>
      <c r="F13" s="45"/>
      <c r="G13" s="445">
        <f t="shared" si="3"/>
        <v>3.144351353593472E-2</v>
      </c>
      <c r="H13" s="445">
        <f t="shared" si="4"/>
        <v>3.6145057344133473E-2</v>
      </c>
      <c r="I13" s="982" t="s">
        <v>50</v>
      </c>
      <c r="J13" s="431">
        <v>83</v>
      </c>
      <c r="K13" s="432">
        <f t="shared" si="5"/>
        <v>0</v>
      </c>
      <c r="L13" s="432">
        <f t="shared" si="6"/>
        <v>450</v>
      </c>
      <c r="M13" s="432">
        <f t="shared" si="7"/>
        <v>0</v>
      </c>
      <c r="N13" s="432">
        <f t="shared" si="8"/>
        <v>200</v>
      </c>
      <c r="O13" s="432">
        <f t="shared" si="9"/>
        <v>150</v>
      </c>
      <c r="P13" s="432">
        <f t="shared" si="10"/>
        <v>0</v>
      </c>
      <c r="Q13" s="432">
        <f t="shared" si="11"/>
        <v>0</v>
      </c>
      <c r="R13" s="432">
        <f t="shared" si="12"/>
        <v>0</v>
      </c>
      <c r="S13" s="432">
        <f t="shared" si="13"/>
        <v>0</v>
      </c>
      <c r="T13" s="432">
        <f t="shared" si="14"/>
        <v>0</v>
      </c>
      <c r="U13" s="432">
        <f t="shared" si="15"/>
        <v>0</v>
      </c>
      <c r="V13" s="432">
        <f t="shared" si="16"/>
        <v>0</v>
      </c>
      <c r="W13" s="431">
        <f t="shared" si="17"/>
        <v>800</v>
      </c>
      <c r="X13" s="432">
        <f t="shared" si="21"/>
        <v>-103.24428779659405</v>
      </c>
      <c r="Y13" s="432">
        <f t="shared" si="18"/>
        <v>343.63313605626786</v>
      </c>
      <c r="Z13" s="433">
        <f t="shared" si="19"/>
        <v>0.75297565008715484</v>
      </c>
      <c r="AA13" s="814">
        <f t="shared" si="22"/>
        <v>456.36686394373214</v>
      </c>
      <c r="AB13" s="813">
        <f t="shared" si="20"/>
        <v>133.33333333333334</v>
      </c>
      <c r="AD13" s="48" t="s">
        <v>51</v>
      </c>
      <c r="AE13" s="584" t="s">
        <v>52</v>
      </c>
      <c r="AF13" s="928">
        <f t="shared" si="23"/>
        <v>61193.33</v>
      </c>
      <c r="AG13" s="443">
        <f t="shared" si="24"/>
        <v>45062</v>
      </c>
      <c r="AH13" s="443">
        <f t="shared" si="25"/>
        <v>16131.33</v>
      </c>
      <c r="AI13" s="445">
        <f t="shared" si="26"/>
        <v>7.2175246171636856E-2</v>
      </c>
    </row>
    <row r="14" spans="2:35" ht="13.15" customHeight="1" x14ac:dyDescent="0.4">
      <c r="B14" s="464"/>
      <c r="C14" s="45"/>
      <c r="D14" s="45"/>
      <c r="E14" s="465"/>
      <c r="F14" s="45"/>
      <c r="G14" s="445">
        <f t="shared" si="3"/>
        <v>-1.0644939478311233E-2</v>
      </c>
      <c r="H14" s="445">
        <f t="shared" si="4"/>
        <v>-1.4683929546054224E-2</v>
      </c>
      <c r="I14" s="984" t="s">
        <v>53</v>
      </c>
      <c r="J14" s="431">
        <v>-100</v>
      </c>
      <c r="K14" s="432">
        <f t="shared" si="5"/>
        <v>0</v>
      </c>
      <c r="L14" s="432">
        <f t="shared" si="6"/>
        <v>0</v>
      </c>
      <c r="M14" s="432">
        <f t="shared" si="7"/>
        <v>0</v>
      </c>
      <c r="N14" s="432">
        <f t="shared" si="8"/>
        <v>-325</v>
      </c>
      <c r="O14" s="432">
        <f t="shared" si="9"/>
        <v>0</v>
      </c>
      <c r="P14" s="432">
        <f t="shared" si="10"/>
        <v>0</v>
      </c>
      <c r="Q14" s="432">
        <f t="shared" si="11"/>
        <v>0</v>
      </c>
      <c r="R14" s="432">
        <f t="shared" si="12"/>
        <v>0</v>
      </c>
      <c r="S14" s="432">
        <f t="shared" si="13"/>
        <v>0</v>
      </c>
      <c r="T14" s="432">
        <f t="shared" si="14"/>
        <v>0</v>
      </c>
      <c r="U14" s="432">
        <f t="shared" si="15"/>
        <v>0</v>
      </c>
      <c r="V14" s="432">
        <f t="shared" si="16"/>
        <v>0</v>
      </c>
      <c r="W14" s="431">
        <f t="shared" si="17"/>
        <v>-325</v>
      </c>
      <c r="X14" s="432">
        <f t="shared" si="21"/>
        <v>124.39070818866753</v>
      </c>
      <c r="Y14" s="432">
        <f t="shared" si="18"/>
        <v>224.83959511293028</v>
      </c>
      <c r="Z14" s="433">
        <f t="shared" si="19"/>
        <v>-0.40891852298623749</v>
      </c>
      <c r="AA14" s="814">
        <f t="shared" si="22"/>
        <v>-549.83959511293028</v>
      </c>
      <c r="AB14" s="813">
        <f t="shared" si="20"/>
        <v>-54.166666666666664</v>
      </c>
      <c r="AD14" s="48" t="s">
        <v>54</v>
      </c>
      <c r="AE14" s="45" t="s">
        <v>55</v>
      </c>
      <c r="AF14" s="928">
        <f t="shared" si="23"/>
        <v>57074</v>
      </c>
      <c r="AG14" s="443">
        <f t="shared" si="24"/>
        <v>44496</v>
      </c>
      <c r="AH14" s="443">
        <f t="shared" si="25"/>
        <v>12578</v>
      </c>
      <c r="AI14" s="445">
        <f t="shared" si="26"/>
        <v>5.0776934973120261E-2</v>
      </c>
    </row>
    <row r="15" spans="2:35" ht="13.15" customHeight="1" x14ac:dyDescent="0.4">
      <c r="B15" s="464"/>
      <c r="C15" s="464"/>
      <c r="D15" s="45"/>
      <c r="E15" s="465"/>
      <c r="F15" s="45"/>
      <c r="G15" s="445">
        <f t="shared" si="3"/>
        <v>2.6656867470359377E-2</v>
      </c>
      <c r="H15" s="445">
        <f t="shared" si="4"/>
        <v>1.8571330463415778E-2</v>
      </c>
      <c r="I15" s="982" t="s">
        <v>56</v>
      </c>
      <c r="J15" s="431">
        <v>100</v>
      </c>
      <c r="K15" s="432">
        <f t="shared" si="5"/>
        <v>236.67</v>
      </c>
      <c r="L15" s="432">
        <f t="shared" si="6"/>
        <v>0</v>
      </c>
      <c r="M15" s="432">
        <f t="shared" si="7"/>
        <v>141.62</v>
      </c>
      <c r="N15" s="432">
        <f t="shared" si="8"/>
        <v>32.75</v>
      </c>
      <c r="O15" s="432">
        <f t="shared" si="9"/>
        <v>0</v>
      </c>
      <c r="P15" s="432">
        <f t="shared" si="10"/>
        <v>0</v>
      </c>
      <c r="Q15" s="432">
        <f t="shared" si="11"/>
        <v>0</v>
      </c>
      <c r="R15" s="432">
        <f t="shared" si="12"/>
        <v>0</v>
      </c>
      <c r="S15" s="432">
        <f t="shared" si="13"/>
        <v>0</v>
      </c>
      <c r="T15" s="432">
        <f t="shared" si="14"/>
        <v>0</v>
      </c>
      <c r="U15" s="432">
        <f t="shared" si="15"/>
        <v>0</v>
      </c>
      <c r="V15" s="432">
        <f t="shared" si="16"/>
        <v>0</v>
      </c>
      <c r="W15" s="431">
        <f t="shared" si="17"/>
        <v>411.03999999999996</v>
      </c>
      <c r="X15" s="432">
        <f t="shared" si="21"/>
        <v>-124.39070818866753</v>
      </c>
      <c r="Y15" s="432">
        <f t="shared" si="18"/>
        <v>-138.79959511293032</v>
      </c>
      <c r="Z15" s="433">
        <f t="shared" si="19"/>
        <v>-0.25243652211773254</v>
      </c>
      <c r="AA15" s="814">
        <f t="shared" si="22"/>
        <v>549.83959511293028</v>
      </c>
      <c r="AB15" s="813">
        <f t="shared" si="20"/>
        <v>68.506666666666661</v>
      </c>
      <c r="AD15" s="48" t="s">
        <v>57</v>
      </c>
      <c r="AE15" s="45" t="s">
        <v>58</v>
      </c>
      <c r="AF15" s="928">
        <f t="shared" si="23"/>
        <v>54316</v>
      </c>
      <c r="AG15" s="443">
        <f t="shared" si="24"/>
        <v>39743</v>
      </c>
      <c r="AH15" s="443">
        <f t="shared" si="25"/>
        <v>14573</v>
      </c>
      <c r="AI15" s="445"/>
    </row>
    <row r="16" spans="2:35" ht="13.15" customHeight="1" x14ac:dyDescent="0.4">
      <c r="B16" s="464"/>
      <c r="C16" s="464"/>
      <c r="D16" s="45"/>
      <c r="E16" s="465"/>
      <c r="F16" s="45"/>
      <c r="G16" s="445">
        <f t="shared" si="3"/>
        <v>0.16891062427584932</v>
      </c>
      <c r="H16" s="445">
        <f t="shared" si="4"/>
        <v>0.12944448661367799</v>
      </c>
      <c r="I16" s="982" t="s">
        <v>59</v>
      </c>
      <c r="J16" s="431">
        <f>3000/12</f>
        <v>250</v>
      </c>
      <c r="K16" s="432">
        <f t="shared" si="5"/>
        <v>600</v>
      </c>
      <c r="L16" s="432">
        <f t="shared" si="6"/>
        <v>150</v>
      </c>
      <c r="M16" s="432">
        <f t="shared" si="7"/>
        <v>1295</v>
      </c>
      <c r="N16" s="432">
        <f t="shared" si="8"/>
        <v>200</v>
      </c>
      <c r="O16" s="432">
        <f t="shared" si="9"/>
        <v>0</v>
      </c>
      <c r="P16" s="432">
        <f t="shared" si="10"/>
        <v>620</v>
      </c>
      <c r="Q16" s="432">
        <f t="shared" si="11"/>
        <v>0</v>
      </c>
      <c r="R16" s="432">
        <f t="shared" si="12"/>
        <v>0</v>
      </c>
      <c r="S16" s="432">
        <f t="shared" si="13"/>
        <v>0</v>
      </c>
      <c r="T16" s="432">
        <f t="shared" si="14"/>
        <v>0</v>
      </c>
      <c r="U16" s="432">
        <f t="shared" si="15"/>
        <v>0</v>
      </c>
      <c r="V16" s="432">
        <f t="shared" si="16"/>
        <v>0</v>
      </c>
      <c r="W16" s="431">
        <f t="shared" si="17"/>
        <v>2865</v>
      </c>
      <c r="X16" s="432">
        <f t="shared" si="21"/>
        <v>309.02322952833117</v>
      </c>
      <c r="Y16" s="432">
        <f t="shared" si="18"/>
        <v>1490.4010122176744</v>
      </c>
      <c r="Z16" s="433">
        <f t="shared" si="19"/>
        <v>1.084244223562375</v>
      </c>
      <c r="AA16" s="814">
        <f t="shared" si="22"/>
        <v>1374.5989877823256</v>
      </c>
      <c r="AB16" s="813">
        <f t="shared" si="20"/>
        <v>477.5</v>
      </c>
      <c r="AD16" s="48" t="s">
        <v>60</v>
      </c>
      <c r="AE16" s="45" t="s">
        <v>61</v>
      </c>
      <c r="AF16" s="928">
        <f t="shared" si="23"/>
        <v>20273</v>
      </c>
      <c r="AG16" s="443">
        <f t="shared" si="24"/>
        <v>9394</v>
      </c>
      <c r="AH16" s="443">
        <f t="shared" si="25"/>
        <v>10879</v>
      </c>
    </row>
    <row r="17" spans="2:36" ht="13.5" customHeight="1" x14ac:dyDescent="0.4">
      <c r="B17" s="464"/>
      <c r="C17" s="464"/>
      <c r="E17" s="465">
        <v>0</v>
      </c>
      <c r="F17" s="49"/>
      <c r="G17" s="445">
        <f t="shared" si="3"/>
        <v>9.2155042515036673E-2</v>
      </c>
      <c r="H17" s="445">
        <f t="shared" si="4"/>
        <v>6.4202658107517088E-2</v>
      </c>
      <c r="I17" s="982" t="s">
        <v>62</v>
      </c>
      <c r="J17" s="431">
        <f>8000/12</f>
        <v>666.66666666666663</v>
      </c>
      <c r="K17" s="432">
        <f t="shared" si="5"/>
        <v>553</v>
      </c>
      <c r="L17" s="432">
        <f t="shared" si="6"/>
        <v>158</v>
      </c>
      <c r="M17" s="432">
        <f t="shared" si="7"/>
        <v>316</v>
      </c>
      <c r="N17" s="432">
        <f t="shared" si="8"/>
        <v>59</v>
      </c>
      <c r="O17" s="432">
        <f t="shared" si="9"/>
        <v>217</v>
      </c>
      <c r="P17" s="432">
        <f t="shared" si="10"/>
        <v>118</v>
      </c>
      <c r="Q17" s="432">
        <f t="shared" si="11"/>
        <v>0</v>
      </c>
      <c r="R17" s="432">
        <f t="shared" si="12"/>
        <v>0</v>
      </c>
      <c r="S17" s="432">
        <f t="shared" si="13"/>
        <v>0</v>
      </c>
      <c r="T17" s="432">
        <f t="shared" si="14"/>
        <v>0</v>
      </c>
      <c r="U17" s="432">
        <f t="shared" si="15"/>
        <v>0</v>
      </c>
      <c r="V17" s="432">
        <f t="shared" si="16"/>
        <v>0</v>
      </c>
      <c r="W17" s="431">
        <f t="shared" si="17"/>
        <v>1421</v>
      </c>
      <c r="X17" s="432">
        <f t="shared" si="21"/>
        <v>-711.27138792445021</v>
      </c>
      <c r="Y17" s="432">
        <f t="shared" si="18"/>
        <v>-2244.5973007528683</v>
      </c>
      <c r="Z17" s="433">
        <f t="shared" si="19"/>
        <v>-0.61234148669082</v>
      </c>
      <c r="AA17" s="814">
        <f t="shared" si="22"/>
        <v>3665.5973007528683</v>
      </c>
      <c r="AB17" s="813">
        <f t="shared" si="20"/>
        <v>236.83333333333334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3"/>
        <v>1</v>
      </c>
      <c r="H18" s="445">
        <f t="shared" si="4"/>
        <v>1</v>
      </c>
      <c r="I18" s="979" t="s">
        <v>63</v>
      </c>
      <c r="J18" s="926">
        <f t="shared" ref="J18:W18" si="27">SUM(J6:J17)</f>
        <v>5046.3333333333339</v>
      </c>
      <c r="K18" s="985">
        <f t="shared" si="27"/>
        <v>4772.67</v>
      </c>
      <c r="L18" s="985">
        <f t="shared" si="27"/>
        <v>4574</v>
      </c>
      <c r="M18" s="985">
        <f t="shared" si="27"/>
        <v>3398.62</v>
      </c>
      <c r="N18" s="985">
        <f t="shared" si="27"/>
        <v>6065.75</v>
      </c>
      <c r="O18" s="985">
        <f t="shared" si="27"/>
        <v>807</v>
      </c>
      <c r="P18" s="985">
        <f t="shared" si="27"/>
        <v>2515</v>
      </c>
      <c r="Q18" s="985">
        <f t="shared" si="27"/>
        <v>0</v>
      </c>
      <c r="R18" s="985">
        <f t="shared" si="27"/>
        <v>0</v>
      </c>
      <c r="S18" s="985">
        <f t="shared" si="27"/>
        <v>0</v>
      </c>
      <c r="T18" s="985">
        <f t="shared" si="27"/>
        <v>0</v>
      </c>
      <c r="U18" s="985">
        <f t="shared" si="27"/>
        <v>0</v>
      </c>
      <c r="V18" s="985">
        <f t="shared" si="27"/>
        <v>0</v>
      </c>
      <c r="W18" s="985">
        <f t="shared" si="27"/>
        <v>22133.040000000001</v>
      </c>
      <c r="X18" s="432">
        <f t="shared" si="21"/>
        <v>-3762.1697708941265</v>
      </c>
      <c r="Y18" s="820">
        <f t="shared" si="18"/>
        <v>-5613.6987680488382</v>
      </c>
      <c r="Z18" s="833">
        <f t="shared" si="19"/>
        <v>-0.20231922803530239</v>
      </c>
      <c r="AA18" s="814">
        <f>SUM(J18*12)*((K$2+K$1+L$1+L$2+M$1+M$2+N$1+N$2+O$1+O$2+P$1+P$2))</f>
        <v>27746.738768048839</v>
      </c>
      <c r="AB18" s="834">
        <f t="shared" si="20"/>
        <v>3688.84</v>
      </c>
      <c r="AE18" s="928">
        <f>AF18-W46</f>
        <v>-52178.540000000037</v>
      </c>
      <c r="AF18" s="928">
        <f>SUM(AF5:AF16)</f>
        <v>639314.83192307688</v>
      </c>
      <c r="AG18" s="928">
        <f>SUM(AG5:AG16)</f>
        <v>449024.93500000006</v>
      </c>
      <c r="AH18" s="928">
        <f>SUM(AH5:AH16)</f>
        <v>190289.89692307691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18</v>
      </c>
      <c r="J19" s="441">
        <f>J18*12</f>
        <v>60556.000000000007</v>
      </c>
      <c r="K19" s="671">
        <f t="shared" ref="K19:V19" si="28">K18/K3</f>
        <v>1.0478859863219936</v>
      </c>
      <c r="L19" s="671">
        <f t="shared" si="28"/>
        <v>1.2448554574286417</v>
      </c>
      <c r="M19" s="671">
        <f t="shared" si="28"/>
        <v>1.4030386729423172</v>
      </c>
      <c r="N19" s="671">
        <f t="shared" si="28"/>
        <v>1.216713651316117</v>
      </c>
      <c r="O19" s="671">
        <f t="shared" si="28"/>
        <v>0.13835091982756317</v>
      </c>
      <c r="P19" s="671">
        <f t="shared" si="28"/>
        <v>0.40065827304233653</v>
      </c>
      <c r="Q19" s="671">
        <f t="shared" si="28"/>
        <v>0</v>
      </c>
      <c r="R19" s="671">
        <f t="shared" si="28"/>
        <v>0</v>
      </c>
      <c r="S19" s="671">
        <f t="shared" si="28"/>
        <v>0</v>
      </c>
      <c r="T19" s="671">
        <f t="shared" si="28"/>
        <v>0</v>
      </c>
      <c r="U19" s="671">
        <f t="shared" si="28"/>
        <v>0</v>
      </c>
      <c r="V19" s="671">
        <f t="shared" si="28"/>
        <v>0</v>
      </c>
      <c r="W19" s="671">
        <f>W18/AA18</f>
        <v>0.79768077196469767</v>
      </c>
      <c r="X19" s="583"/>
      <c r="Y19" s="832"/>
      <c r="AB19" s="445"/>
    </row>
    <row r="20" spans="2:36" ht="15.75" customHeight="1" thickBot="1" x14ac:dyDescent="0.45">
      <c r="B20" s="427" t="s">
        <v>64</v>
      </c>
      <c r="C20" s="427" t="s">
        <v>65</v>
      </c>
      <c r="D20" s="548" t="s">
        <v>66</v>
      </c>
      <c r="E20" s="751"/>
      <c r="F20" s="763" t="s">
        <v>67</v>
      </c>
      <c r="I20" s="968" t="s">
        <v>68</v>
      </c>
      <c r="J20" s="969"/>
      <c r="K20" s="970">
        <f t="shared" ref="K20:W20" si="29">K126</f>
        <v>3471.5232999999998</v>
      </c>
      <c r="L20" s="970">
        <f t="shared" si="29"/>
        <v>2467.42</v>
      </c>
      <c r="M20" s="970">
        <f t="shared" si="29"/>
        <v>3033.5438000000004</v>
      </c>
      <c r="N20" s="970">
        <f t="shared" si="29"/>
        <v>3719.0825</v>
      </c>
      <c r="O20" s="970">
        <f t="shared" si="29"/>
        <v>708.32999999999993</v>
      </c>
      <c r="P20" s="970">
        <f t="shared" si="29"/>
        <v>1865.57</v>
      </c>
      <c r="Q20" s="970">
        <f t="shared" si="29"/>
        <v>0</v>
      </c>
      <c r="R20" s="970">
        <f t="shared" si="29"/>
        <v>0</v>
      </c>
      <c r="S20" s="970">
        <f t="shared" si="29"/>
        <v>0</v>
      </c>
      <c r="T20" s="970">
        <f t="shared" si="29"/>
        <v>0</v>
      </c>
      <c r="U20" s="970">
        <f t="shared" si="29"/>
        <v>0</v>
      </c>
      <c r="V20" s="970">
        <f t="shared" si="29"/>
        <v>0</v>
      </c>
      <c r="W20" s="971">
        <f t="shared" si="29"/>
        <v>15265.4696</v>
      </c>
      <c r="X20" s="583">
        <f>W20/AB3</f>
        <v>2544.2449333333334</v>
      </c>
      <c r="Y20" s="832"/>
      <c r="Z20" s="1225" t="s">
        <v>69</v>
      </c>
      <c r="AA20" s="1226"/>
      <c r="AB20" s="954">
        <f ca="1">SUM(W18)++D8+(AB18*(12-AB3))+G66</f>
        <v>49390.865714285712</v>
      </c>
      <c r="AD20" s="469" t="s">
        <v>70</v>
      </c>
      <c r="AE20" s="469"/>
      <c r="AF20" s="469" t="s">
        <v>71</v>
      </c>
      <c r="AG20" s="469" t="s">
        <v>72</v>
      </c>
      <c r="AH20" s="469" t="s">
        <v>73</v>
      </c>
      <c r="AI20" s="469" t="s">
        <v>74</v>
      </c>
      <c r="AJ20" s="469" t="s">
        <v>75</v>
      </c>
    </row>
    <row r="21" spans="2:36" ht="13.9" customHeight="1" x14ac:dyDescent="0.4">
      <c r="B21" s="427"/>
      <c r="C21" s="427"/>
      <c r="D21" s="470"/>
      <c r="E21" s="751"/>
      <c r="F21" s="462"/>
      <c r="I21" s="46" t="s">
        <v>76</v>
      </c>
      <c r="J21" s="441"/>
      <c r="K21" s="918">
        <f t="shared" ref="K21:W21" si="30">K20/K18</f>
        <v>0.72737551517284871</v>
      </c>
      <c r="L21" s="918">
        <f t="shared" si="30"/>
        <v>0.53944468736335816</v>
      </c>
      <c r="M21" s="918">
        <f t="shared" si="30"/>
        <v>0.89258104760167378</v>
      </c>
      <c r="N21" s="918">
        <f t="shared" si="30"/>
        <v>0.6131282199233401</v>
      </c>
      <c r="O21" s="918">
        <f t="shared" si="30"/>
        <v>0.87773234200743488</v>
      </c>
      <c r="P21" s="918">
        <f t="shared" si="30"/>
        <v>0.74177733598409545</v>
      </c>
      <c r="Q21" s="918" t="e">
        <f t="shared" si="30"/>
        <v>#DIV/0!</v>
      </c>
      <c r="R21" s="918" t="e">
        <f t="shared" si="30"/>
        <v>#DIV/0!</v>
      </c>
      <c r="S21" s="918" t="e">
        <f t="shared" si="30"/>
        <v>#DIV/0!</v>
      </c>
      <c r="T21" s="918" t="e">
        <f t="shared" si="30"/>
        <v>#DIV/0!</v>
      </c>
      <c r="U21" s="918" t="e">
        <f t="shared" si="30"/>
        <v>#DIV/0!</v>
      </c>
      <c r="V21" s="918" t="e">
        <f t="shared" si="30"/>
        <v>#DIV/0!</v>
      </c>
      <c r="W21" s="918">
        <f t="shared" si="30"/>
        <v>0.68971409259640792</v>
      </c>
      <c r="X21" s="583"/>
      <c r="Y21" s="832"/>
      <c r="AB21" s="445"/>
    </row>
    <row r="22" spans="2:36" ht="14.25" customHeight="1" thickBot="1" x14ac:dyDescent="0.45">
      <c r="B22" s="427"/>
      <c r="C22" s="427"/>
      <c r="D22" s="548"/>
      <c r="E22" s="751"/>
      <c r="F22" s="763"/>
      <c r="I22" s="919" t="s">
        <v>77</v>
      </c>
      <c r="J22" s="920"/>
      <c r="K22" s="921">
        <f t="shared" ref="K22:V22" si="31">SUM((K129+K130)*-25%)+(K129+K130)+(K131+K132+K133+K134+K135+K136+K137)</f>
        <v>3620.7525000000001</v>
      </c>
      <c r="L22" s="921">
        <f t="shared" si="31"/>
        <v>3544.5</v>
      </c>
      <c r="M22" s="921">
        <f t="shared" si="31"/>
        <v>2589.6424999999999</v>
      </c>
      <c r="N22" s="921">
        <f t="shared" si="31"/>
        <v>4809.3125</v>
      </c>
      <c r="O22" s="921">
        <f t="shared" si="31"/>
        <v>665.25</v>
      </c>
      <c r="P22" s="921">
        <f t="shared" si="31"/>
        <v>2214.25</v>
      </c>
      <c r="Q22" s="921">
        <f t="shared" si="31"/>
        <v>0</v>
      </c>
      <c r="R22" s="921">
        <f t="shared" si="31"/>
        <v>0</v>
      </c>
      <c r="S22" s="921">
        <f t="shared" si="31"/>
        <v>0</v>
      </c>
      <c r="T22" s="921">
        <f t="shared" si="31"/>
        <v>0</v>
      </c>
      <c r="U22" s="921">
        <f t="shared" si="31"/>
        <v>0</v>
      </c>
      <c r="V22" s="921">
        <f t="shared" si="31"/>
        <v>0</v>
      </c>
      <c r="W22" s="921">
        <f>SUM((W129+W130)*-30%)+(W129+W130)+(W131+W132+W133+W134+W135+W136+W137)</f>
        <v>16505.841</v>
      </c>
      <c r="X22" s="583">
        <f>W22/AB3</f>
        <v>2750.9735000000001</v>
      </c>
      <c r="Y22" s="832"/>
      <c r="AB22" s="445"/>
    </row>
    <row r="23" spans="2:36" ht="13.9" customHeight="1" x14ac:dyDescent="0.4">
      <c r="B23" s="427" t="s">
        <v>78</v>
      </c>
      <c r="C23" s="427" t="s">
        <v>65</v>
      </c>
      <c r="D23" s="48"/>
      <c r="E23" s="751"/>
      <c r="F23" s="763"/>
      <c r="I23" s="922" t="s">
        <v>79</v>
      </c>
      <c r="J23" s="923"/>
      <c r="K23" s="925">
        <f t="shared" ref="K23:W23" si="32">K22/K18</f>
        <v>0.75864296085838745</v>
      </c>
      <c r="L23" s="925">
        <f t="shared" si="32"/>
        <v>0.77492348054219506</v>
      </c>
      <c r="M23" s="925">
        <f t="shared" si="32"/>
        <v>0.76196882852451875</v>
      </c>
      <c r="N23" s="925">
        <f t="shared" si="32"/>
        <v>0.79286361950294693</v>
      </c>
      <c r="O23" s="925">
        <f t="shared" si="32"/>
        <v>0.82434944237918217</v>
      </c>
      <c r="P23" s="925">
        <f t="shared" si="32"/>
        <v>0.88041749502982103</v>
      </c>
      <c r="Q23" s="925" t="e">
        <f t="shared" si="32"/>
        <v>#DIV/0!</v>
      </c>
      <c r="R23" s="925" t="e">
        <f t="shared" si="32"/>
        <v>#DIV/0!</v>
      </c>
      <c r="S23" s="925" t="e">
        <f t="shared" si="32"/>
        <v>#DIV/0!</v>
      </c>
      <c r="T23" s="925" t="e">
        <f t="shared" si="32"/>
        <v>#DIV/0!</v>
      </c>
      <c r="U23" s="925" t="e">
        <f t="shared" si="32"/>
        <v>#DIV/0!</v>
      </c>
      <c r="V23" s="925" t="e">
        <f t="shared" si="32"/>
        <v>#DIV/0!</v>
      </c>
      <c r="W23" s="924">
        <f t="shared" si="32"/>
        <v>0.74575571182268674</v>
      </c>
      <c r="X23" s="583"/>
      <c r="Y23" s="832"/>
      <c r="AB23" s="445"/>
    </row>
    <row r="24" spans="2:36" ht="13.9" customHeight="1" x14ac:dyDescent="0.4">
      <c r="B24" s="427" t="s">
        <v>80</v>
      </c>
      <c r="C24" s="427" t="s">
        <v>65</v>
      </c>
      <c r="D24" s="470"/>
      <c r="E24" s="751">
        <v>100</v>
      </c>
      <c r="F24" s="45" t="s">
        <v>81</v>
      </c>
      <c r="I24" s="446" t="s">
        <v>82</v>
      </c>
      <c r="J24" s="850" t="s">
        <v>83</v>
      </c>
      <c r="K24" s="917">
        <f t="shared" ref="K24:W24" si="33">IFERROR((K18-K30)/K30,0)</f>
        <v>0.11021759257105358</v>
      </c>
      <c r="L24" s="917">
        <f t="shared" si="33"/>
        <v>0.95149839579493467</v>
      </c>
      <c r="M24" s="917">
        <f t="shared" si="33"/>
        <v>0.99002242611969582</v>
      </c>
      <c r="N24" s="917">
        <f t="shared" si="33"/>
        <v>2.0821900406504064</v>
      </c>
      <c r="O24" s="917">
        <f t="shared" si="33"/>
        <v>-0.80278592375366564</v>
      </c>
      <c r="P24" s="917">
        <f t="shared" si="33"/>
        <v>-0.64772456683428348</v>
      </c>
      <c r="Q24" s="917">
        <f t="shared" si="33"/>
        <v>-1</v>
      </c>
      <c r="R24" s="917">
        <f t="shared" si="33"/>
        <v>-1</v>
      </c>
      <c r="S24" s="917">
        <f t="shared" si="33"/>
        <v>-1</v>
      </c>
      <c r="T24" s="917">
        <f t="shared" si="33"/>
        <v>-1</v>
      </c>
      <c r="U24" s="917">
        <f t="shared" si="33"/>
        <v>-1</v>
      </c>
      <c r="V24" s="917">
        <f t="shared" si="33"/>
        <v>-1</v>
      </c>
      <c r="W24" s="917">
        <f t="shared" si="33"/>
        <v>-0.52471017315524626</v>
      </c>
      <c r="X24" s="583"/>
      <c r="Y24" s="585"/>
      <c r="Z24" s="45" t="s">
        <v>84</v>
      </c>
      <c r="AB24" s="817">
        <f>SUM(T31+U31+V31+K18+S31+R31)/6</f>
        <v>4482.8116666666674</v>
      </c>
    </row>
    <row r="25" spans="2:36" ht="13.9" customHeight="1" x14ac:dyDescent="0.4">
      <c r="B25" s="427" t="s">
        <v>85</v>
      </c>
      <c r="C25" s="427" t="s">
        <v>65</v>
      </c>
      <c r="E25" s="751">
        <v>15</v>
      </c>
      <c r="F25" s="45" t="s">
        <v>86</v>
      </c>
      <c r="I25" s="446"/>
      <c r="J25" s="441"/>
      <c r="P25" s="432">
        <v>1332</v>
      </c>
      <c r="Q25" s="432">
        <f>P18-P25</f>
        <v>1183</v>
      </c>
      <c r="X25" s="583"/>
      <c r="Y25" s="585"/>
      <c r="Z25" s="45"/>
      <c r="AB25" s="817"/>
    </row>
    <row r="26" spans="2:36" ht="13.9" customHeight="1" x14ac:dyDescent="0.4">
      <c r="B26" s="427" t="s">
        <v>87</v>
      </c>
      <c r="C26" s="427" t="s">
        <v>65</v>
      </c>
      <c r="D26" s="470"/>
      <c r="E26" s="751"/>
      <c r="F26" s="763"/>
      <c r="I26" s="446"/>
      <c r="J26" s="850" t="s">
        <v>88</v>
      </c>
      <c r="K26" s="443">
        <f t="shared" ref="K26:V26" si="34">SUM(K20/K4)/8</f>
        <v>18.866974456521739</v>
      </c>
      <c r="L26" s="443">
        <f t="shared" si="34"/>
        <v>14.68702380952381</v>
      </c>
      <c r="M26" s="443">
        <f t="shared" si="34"/>
        <v>18.056808333333336</v>
      </c>
      <c r="N26" s="443">
        <f t="shared" si="34"/>
        <v>21.13115056818182</v>
      </c>
      <c r="O26" s="443">
        <f t="shared" si="34"/>
        <v>3.8496195652173908</v>
      </c>
      <c r="P26" s="443">
        <f t="shared" si="34"/>
        <v>11.659812499999999</v>
      </c>
      <c r="Q26" s="443">
        <f t="shared" si="34"/>
        <v>0</v>
      </c>
      <c r="R26" s="443">
        <f t="shared" si="34"/>
        <v>0</v>
      </c>
      <c r="S26" s="443">
        <f t="shared" si="34"/>
        <v>0</v>
      </c>
      <c r="T26" s="443">
        <f t="shared" si="34"/>
        <v>0</v>
      </c>
      <c r="U26" s="443">
        <f t="shared" si="34"/>
        <v>0</v>
      </c>
      <c r="V26" s="443">
        <f t="shared" si="34"/>
        <v>0</v>
      </c>
      <c r="W26" s="1041">
        <f>AVERAGE(K26:V26)</f>
        <v>7.3542824360648416</v>
      </c>
      <c r="X26" s="583"/>
      <c r="Y26" s="585"/>
      <c r="Z26" s="45"/>
      <c r="AB26" s="817"/>
    </row>
    <row r="27" spans="2:36" ht="13.9" customHeight="1" x14ac:dyDescent="0.4">
      <c r="B27" s="427" t="s">
        <v>89</v>
      </c>
      <c r="C27" s="427" t="s">
        <v>65</v>
      </c>
      <c r="D27" s="470"/>
      <c r="E27" s="751">
        <v>0</v>
      </c>
      <c r="F27" s="763"/>
      <c r="I27" s="446"/>
      <c r="J27" s="850" t="s">
        <v>90</v>
      </c>
      <c r="K27" s="443">
        <f t="shared" ref="K27:V27" si="35">K20/K4</f>
        <v>150.93579565217391</v>
      </c>
      <c r="L27" s="443">
        <f t="shared" si="35"/>
        <v>117.49619047619048</v>
      </c>
      <c r="M27" s="443">
        <f t="shared" si="35"/>
        <v>144.45446666666669</v>
      </c>
      <c r="N27" s="443">
        <f t="shared" si="35"/>
        <v>169.04920454545456</v>
      </c>
      <c r="O27" s="443">
        <f t="shared" si="35"/>
        <v>30.796956521739126</v>
      </c>
      <c r="P27" s="443">
        <f t="shared" si="35"/>
        <v>93.278499999999994</v>
      </c>
      <c r="Q27" s="443">
        <f t="shared" si="35"/>
        <v>0</v>
      </c>
      <c r="R27" s="443">
        <f t="shared" si="35"/>
        <v>0</v>
      </c>
      <c r="S27" s="443">
        <f t="shared" si="35"/>
        <v>0</v>
      </c>
      <c r="T27" s="443">
        <f t="shared" si="35"/>
        <v>0</v>
      </c>
      <c r="U27" s="443">
        <f t="shared" si="35"/>
        <v>0</v>
      </c>
      <c r="V27" s="443">
        <f t="shared" si="35"/>
        <v>0</v>
      </c>
      <c r="W27" s="443">
        <f>AVERAGE(K27:V27)</f>
        <v>58.834259488518732</v>
      </c>
      <c r="X27" s="583"/>
      <c r="Y27" s="585"/>
      <c r="Z27" s="45"/>
      <c r="AB27" s="817"/>
    </row>
    <row r="28" spans="2:36" ht="13.9" customHeight="1" x14ac:dyDescent="0.4">
      <c r="B28" s="427"/>
      <c r="C28" s="427"/>
      <c r="D28" s="470"/>
      <c r="E28" s="751">
        <v>0</v>
      </c>
      <c r="F28" s="763">
        <v>45596</v>
      </c>
      <c r="I28" s="446"/>
      <c r="J28" s="441"/>
      <c r="L28" s="454"/>
      <c r="M28" s="454"/>
      <c r="N28" s="454"/>
      <c r="O28" s="454"/>
      <c r="P28" s="454"/>
      <c r="X28" s="583"/>
      <c r="Y28" s="585"/>
      <c r="Z28" s="45"/>
      <c r="AB28" s="817"/>
    </row>
    <row r="29" spans="2:36" ht="13.9" customHeight="1" x14ac:dyDescent="0.4">
      <c r="B29" s="427"/>
      <c r="C29" s="427" t="s">
        <v>65</v>
      </c>
      <c r="D29" s="470"/>
      <c r="E29" s="751"/>
      <c r="F29" s="763" t="s">
        <v>91</v>
      </c>
      <c r="I29" s="446"/>
      <c r="J29" s="441"/>
      <c r="L29" s="454"/>
      <c r="M29" s="454"/>
      <c r="N29" s="454"/>
      <c r="O29" s="454"/>
      <c r="P29" s="454"/>
      <c r="X29" s="583"/>
      <c r="Y29" s="1063"/>
      <c r="Z29" s="45"/>
      <c r="AB29" s="817"/>
    </row>
    <row r="30" spans="2:36" ht="13.9" customHeight="1" x14ac:dyDescent="0.4">
      <c r="B30" s="427" t="s">
        <v>92</v>
      </c>
      <c r="C30" s="427" t="s">
        <v>65</v>
      </c>
      <c r="D30" s="548"/>
      <c r="E30" s="751"/>
      <c r="F30" s="763" t="s">
        <v>93</v>
      </c>
      <c r="I30" s="541" t="s">
        <v>94</v>
      </c>
      <c r="J30" s="584" t="s">
        <v>95</v>
      </c>
      <c r="K30" s="558">
        <v>4298.8600000000006</v>
      </c>
      <c r="L30" s="558">
        <v>2343.84</v>
      </c>
      <c r="M30" s="558">
        <v>1707.83</v>
      </c>
      <c r="N30" s="558">
        <v>1968</v>
      </c>
      <c r="O30" s="558">
        <v>4092</v>
      </c>
      <c r="P30" s="558">
        <v>7139.3</v>
      </c>
      <c r="Q30" s="558">
        <v>5700</v>
      </c>
      <c r="R30" s="558">
        <v>1627.4</v>
      </c>
      <c r="S30" s="558">
        <v>5108.4799999999996</v>
      </c>
      <c r="T30" s="558">
        <v>3092</v>
      </c>
      <c r="U30" s="558">
        <v>4094.8</v>
      </c>
      <c r="V30" s="558">
        <v>5394.95</v>
      </c>
      <c r="W30" s="431">
        <f t="shared" ref="W30:W42" si="36">SUM(K30:V30)</f>
        <v>46567.460000000006</v>
      </c>
      <c r="X30" s="583">
        <f t="shared" ref="X30:X41" si="37">W30-W31</f>
        <v>3776.6700000000055</v>
      </c>
      <c r="Y30" s="585">
        <f t="shared" ref="Y30:Y41" si="38">X30/W31</f>
        <v>8.8258945441297185E-2</v>
      </c>
      <c r="Z30" s="45" t="s">
        <v>96</v>
      </c>
      <c r="AB30" s="817"/>
    </row>
    <row r="31" spans="2:36" ht="13.9" customHeight="1" x14ac:dyDescent="0.4">
      <c r="B31" s="427" t="s">
        <v>97</v>
      </c>
      <c r="C31" s="427" t="s">
        <v>65</v>
      </c>
      <c r="D31" s="548"/>
      <c r="E31" s="751"/>
      <c r="F31" s="763" t="s">
        <v>98</v>
      </c>
      <c r="I31" s="541" t="s">
        <v>99</v>
      </c>
      <c r="J31" s="584" t="s">
        <v>100</v>
      </c>
      <c r="K31" s="558">
        <v>2422</v>
      </c>
      <c r="L31" s="558">
        <v>3078.1</v>
      </c>
      <c r="M31" s="558">
        <v>1866.63</v>
      </c>
      <c r="N31" s="558">
        <v>5388.54</v>
      </c>
      <c r="O31" s="558">
        <v>4515.34</v>
      </c>
      <c r="P31" s="558">
        <v>2123.48</v>
      </c>
      <c r="Q31" s="558">
        <v>1272.5</v>
      </c>
      <c r="R31" s="558">
        <v>3673.58</v>
      </c>
      <c r="S31" s="558">
        <v>3203.46</v>
      </c>
      <c r="T31" s="558">
        <v>7757.34</v>
      </c>
      <c r="U31" s="558">
        <v>4832.82</v>
      </c>
      <c r="V31" s="558">
        <v>2657</v>
      </c>
      <c r="W31" s="431">
        <f t="shared" si="36"/>
        <v>42790.79</v>
      </c>
      <c r="X31" s="583">
        <f t="shared" si="37"/>
        <v>-10606.029999999992</v>
      </c>
      <c r="Y31" s="585">
        <f t="shared" si="38"/>
        <v>-0.19862662233443851</v>
      </c>
      <c r="AB31" s="817"/>
    </row>
    <row r="32" spans="2:36" ht="13.9" customHeight="1" x14ac:dyDescent="0.4">
      <c r="B32" s="427" t="s">
        <v>101</v>
      </c>
      <c r="C32" s="427" t="s">
        <v>65</v>
      </c>
      <c r="D32" s="470"/>
      <c r="E32" s="751"/>
      <c r="F32" s="763" t="s">
        <v>102</v>
      </c>
      <c r="I32" s="541" t="s">
        <v>103</v>
      </c>
      <c r="J32" s="584" t="s">
        <v>26</v>
      </c>
      <c r="K32" s="558">
        <v>5354.48</v>
      </c>
      <c r="L32" s="558">
        <v>2837.58</v>
      </c>
      <c r="M32" s="558">
        <v>7495.8</v>
      </c>
      <c r="N32" s="558">
        <v>3303.37</v>
      </c>
      <c r="O32" s="558">
        <v>3794.39</v>
      </c>
      <c r="P32" s="558">
        <v>2830.65</v>
      </c>
      <c r="Q32" s="558">
        <v>2809.28</v>
      </c>
      <c r="R32" s="558">
        <v>5912.62</v>
      </c>
      <c r="S32" s="558">
        <v>2568.6</v>
      </c>
      <c r="T32" s="558">
        <v>3215.39</v>
      </c>
      <c r="U32" s="558">
        <v>5022.6000000000004</v>
      </c>
      <c r="V32" s="558">
        <v>8252.06</v>
      </c>
      <c r="W32" s="431">
        <f t="shared" si="36"/>
        <v>53396.819999999992</v>
      </c>
      <c r="X32" s="583">
        <f t="shared" si="37"/>
        <v>-7930.2000000000116</v>
      </c>
      <c r="Y32" s="585">
        <f t="shared" si="38"/>
        <v>-0.12931004963228299</v>
      </c>
      <c r="Z32" s="45"/>
      <c r="AB32" s="817"/>
    </row>
    <row r="33" spans="1:28" ht="13.9" customHeight="1" x14ac:dyDescent="0.4">
      <c r="B33" s="427" t="s">
        <v>104</v>
      </c>
      <c r="C33" s="427" t="s">
        <v>65</v>
      </c>
      <c r="D33" s="470"/>
      <c r="E33" s="751"/>
      <c r="F33" s="763"/>
      <c r="I33" s="541" t="s">
        <v>105</v>
      </c>
      <c r="J33" s="584" t="s">
        <v>30</v>
      </c>
      <c r="K33" s="558">
        <v>18758.77</v>
      </c>
      <c r="L33" s="558">
        <v>3028.2</v>
      </c>
      <c r="M33" s="558">
        <v>5768.64</v>
      </c>
      <c r="N33" s="558">
        <v>7461.77</v>
      </c>
      <c r="O33" s="558">
        <v>5269.6500000000005</v>
      </c>
      <c r="P33" s="558">
        <v>2223</v>
      </c>
      <c r="Q33" s="558">
        <v>2500.94</v>
      </c>
      <c r="R33" s="558">
        <v>2796.35</v>
      </c>
      <c r="S33" s="558">
        <v>3928.56</v>
      </c>
      <c r="T33" s="558">
        <v>2389</v>
      </c>
      <c r="U33" s="558">
        <v>3577.95</v>
      </c>
      <c r="V33" s="558">
        <v>3624.19</v>
      </c>
      <c r="W33" s="431">
        <f t="shared" si="36"/>
        <v>61327.020000000004</v>
      </c>
      <c r="X33" s="583">
        <f t="shared" si="37"/>
        <v>-8338.9499999999971</v>
      </c>
      <c r="Y33" s="585">
        <f t="shared" si="38"/>
        <v>-0.11969904388039092</v>
      </c>
      <c r="Z33" s="45"/>
      <c r="AB33" s="817"/>
    </row>
    <row r="34" spans="1:28" ht="13.9" customHeight="1" x14ac:dyDescent="0.4">
      <c r="B34" s="427"/>
      <c r="C34" s="427"/>
      <c r="E34" s="751"/>
      <c r="I34" s="541" t="s">
        <v>106</v>
      </c>
      <c r="J34" s="584" t="s">
        <v>33</v>
      </c>
      <c r="K34" s="558">
        <v>1633</v>
      </c>
      <c r="L34" s="558">
        <v>3730.19</v>
      </c>
      <c r="M34" s="558">
        <v>18208.68</v>
      </c>
      <c r="N34" s="558">
        <v>3783</v>
      </c>
      <c r="O34" s="558">
        <v>3750.38</v>
      </c>
      <c r="P34" s="558">
        <v>4858.6000000000004</v>
      </c>
      <c r="Q34" s="558">
        <v>3785.35</v>
      </c>
      <c r="R34" s="558">
        <v>7391.76</v>
      </c>
      <c r="S34" s="558">
        <v>5355.23</v>
      </c>
      <c r="T34" s="558">
        <v>5201</v>
      </c>
      <c r="U34" s="558">
        <v>4340.0200000000004</v>
      </c>
      <c r="V34" s="558">
        <v>7628.76</v>
      </c>
      <c r="W34" s="431">
        <f t="shared" si="36"/>
        <v>69665.97</v>
      </c>
      <c r="X34" s="583">
        <f t="shared" si="37"/>
        <v>14664.073076923072</v>
      </c>
      <c r="Y34" s="585">
        <f t="shared" si="38"/>
        <v>0.26661031523024664</v>
      </c>
      <c r="Z34" s="45"/>
      <c r="AB34" s="817"/>
    </row>
    <row r="35" spans="1:28" ht="13.9" customHeight="1" x14ac:dyDescent="0.4">
      <c r="B35" s="427"/>
      <c r="C35" s="427" t="s">
        <v>65</v>
      </c>
      <c r="D35" s="470"/>
      <c r="E35" s="751"/>
      <c r="F35" s="763" t="s">
        <v>107</v>
      </c>
      <c r="I35" s="541" t="s">
        <v>108</v>
      </c>
      <c r="J35" s="584" t="s">
        <v>39</v>
      </c>
      <c r="K35" s="558">
        <v>7647.85</v>
      </c>
      <c r="L35" s="558">
        <v>5051.6400000000003</v>
      </c>
      <c r="M35" s="558">
        <v>4783.7469230769229</v>
      </c>
      <c r="N35" s="558">
        <v>1598.35</v>
      </c>
      <c r="O35" s="558">
        <v>1786.66</v>
      </c>
      <c r="P35" s="558">
        <v>6854.62</v>
      </c>
      <c r="Q35" s="558">
        <v>2667</v>
      </c>
      <c r="R35" s="558">
        <v>11694.07</v>
      </c>
      <c r="S35" s="558">
        <v>4126.62</v>
      </c>
      <c r="T35" s="558">
        <v>2423.69</v>
      </c>
      <c r="U35" s="558">
        <v>3332.58</v>
      </c>
      <c r="V35" s="558">
        <v>3035.07</v>
      </c>
      <c r="W35" s="431">
        <f t="shared" si="36"/>
        <v>55001.896923076929</v>
      </c>
      <c r="X35" s="583">
        <f t="shared" si="37"/>
        <v>-10181.033076923071</v>
      </c>
      <c r="Y35" s="585">
        <f t="shared" si="38"/>
        <v>-0.15619170658519141</v>
      </c>
      <c r="Z35" s="45"/>
      <c r="AB35" s="817"/>
    </row>
    <row r="36" spans="1:28" ht="13.9" customHeight="1" x14ac:dyDescent="0.4">
      <c r="B36" s="45"/>
      <c r="C36" s="427"/>
      <c r="D36" s="427"/>
      <c r="E36" s="751"/>
      <c r="F36" s="781"/>
      <c r="G36" s="763"/>
      <c r="I36" s="541" t="s">
        <v>109</v>
      </c>
      <c r="J36" s="584" t="s">
        <v>43</v>
      </c>
      <c r="K36" s="558">
        <v>5891.07</v>
      </c>
      <c r="L36" s="558">
        <v>2739.5</v>
      </c>
      <c r="M36" s="558">
        <v>4414.5</v>
      </c>
      <c r="N36" s="558">
        <v>5147.5</v>
      </c>
      <c r="O36" s="558">
        <v>6878</v>
      </c>
      <c r="P36" s="558">
        <v>4875.34</v>
      </c>
      <c r="Q36" s="558">
        <v>5769.97</v>
      </c>
      <c r="R36" s="558">
        <v>7463.89</v>
      </c>
      <c r="S36" s="558">
        <v>6034.39</v>
      </c>
      <c r="T36" s="558">
        <v>4573.58</v>
      </c>
      <c r="U36" s="558">
        <v>5973.75</v>
      </c>
      <c r="V36" s="558">
        <v>5421.4400000000014</v>
      </c>
      <c r="W36" s="431">
        <f t="shared" si="36"/>
        <v>65182.93</v>
      </c>
      <c r="X36" s="583">
        <f t="shared" si="37"/>
        <v>-3418.8049999999857</v>
      </c>
      <c r="Y36" s="585">
        <f t="shared" si="38"/>
        <v>-4.983554716218163E-2</v>
      </c>
      <c r="Z36" s="45" t="s">
        <v>110</v>
      </c>
      <c r="AB36" s="817">
        <f>SUM(L31+M31+Q31+P31+O31+N31)/6</f>
        <v>3040.7649999999999</v>
      </c>
    </row>
    <row r="37" spans="1:28" ht="13.9" customHeight="1" x14ac:dyDescent="0.4">
      <c r="B37" s="45" t="s">
        <v>111</v>
      </c>
      <c r="C37" s="427" t="s">
        <v>65</v>
      </c>
      <c r="D37" s="427" t="s">
        <v>112</v>
      </c>
      <c r="E37" s="751">
        <v>120</v>
      </c>
      <c r="F37" s="763" t="s">
        <v>113</v>
      </c>
      <c r="G37" s="1064" t="s">
        <v>114</v>
      </c>
      <c r="I37" s="541" t="s">
        <v>115</v>
      </c>
      <c r="J37" s="46" t="s">
        <v>46</v>
      </c>
      <c r="K37" s="558">
        <v>8277.4700000000012</v>
      </c>
      <c r="L37" s="558">
        <v>10607.11</v>
      </c>
      <c r="M37" s="558">
        <v>7155.05</v>
      </c>
      <c r="N37" s="558">
        <v>4371.0150000000003</v>
      </c>
      <c r="O37" s="558">
        <v>4002.63</v>
      </c>
      <c r="P37" s="558">
        <v>3243.6</v>
      </c>
      <c r="Q37" s="558">
        <v>2859.03</v>
      </c>
      <c r="R37" s="558">
        <v>4792.59</v>
      </c>
      <c r="S37" s="558">
        <v>6443.88</v>
      </c>
      <c r="T37" s="558">
        <v>3908.03</v>
      </c>
      <c r="U37" s="558">
        <v>8299.08</v>
      </c>
      <c r="V37" s="558">
        <v>4642.25</v>
      </c>
      <c r="W37" s="431">
        <f t="shared" si="36"/>
        <v>68601.734999999986</v>
      </c>
      <c r="X37" s="583">
        <f t="shared" si="37"/>
        <v>-8066.4350000000122</v>
      </c>
      <c r="Y37" s="585">
        <f t="shared" si="38"/>
        <v>-0.10521230648912075</v>
      </c>
      <c r="AB37" s="445">
        <f>SUM(AB24-AB36)/AB24</f>
        <v>0.32168352674493367</v>
      </c>
    </row>
    <row r="38" spans="1:28" ht="13.9" customHeight="1" x14ac:dyDescent="0.4">
      <c r="B38" s="45" t="s">
        <v>111</v>
      </c>
      <c r="C38" s="427" t="s">
        <v>65</v>
      </c>
      <c r="D38" s="427" t="s">
        <v>8524</v>
      </c>
      <c r="E38" s="751">
        <v>40</v>
      </c>
      <c r="F38" s="763" t="s">
        <v>8528</v>
      </c>
      <c r="G38" s="1064" t="s">
        <v>8523</v>
      </c>
      <c r="I38" s="440" t="s">
        <v>116</v>
      </c>
      <c r="J38" s="46" t="s">
        <v>49</v>
      </c>
      <c r="K38" s="558">
        <v>3203.5</v>
      </c>
      <c r="L38" s="558">
        <v>6685</v>
      </c>
      <c r="M38" s="558">
        <v>6242.83</v>
      </c>
      <c r="N38" s="558">
        <v>6063.17</v>
      </c>
      <c r="O38" s="558">
        <v>5851.71</v>
      </c>
      <c r="P38" s="558">
        <v>5479.93</v>
      </c>
      <c r="Q38" s="558">
        <v>3603.81</v>
      </c>
      <c r="R38" s="558">
        <v>4658.8500000000004</v>
      </c>
      <c r="S38" s="558">
        <v>10821.67</v>
      </c>
      <c r="T38" s="558">
        <v>9224.58</v>
      </c>
      <c r="U38" s="558">
        <v>10504.09</v>
      </c>
      <c r="V38" s="558">
        <v>4329.0300000000007</v>
      </c>
      <c r="W38" s="431">
        <f t="shared" si="36"/>
        <v>76668.17</v>
      </c>
      <c r="X38" s="583">
        <f t="shared" si="37"/>
        <v>19028.169999999998</v>
      </c>
      <c r="Y38" s="585">
        <f t="shared" si="38"/>
        <v>0.3301209229701596</v>
      </c>
    </row>
    <row r="39" spans="1:28" ht="13.9" customHeight="1" x14ac:dyDescent="0.4">
      <c r="B39" s="45" t="s">
        <v>111</v>
      </c>
      <c r="C39" s="427" t="s">
        <v>65</v>
      </c>
      <c r="D39" s="427"/>
      <c r="E39" s="751"/>
      <c r="F39" s="763"/>
      <c r="G39" s="1064"/>
      <c r="I39" s="440" t="s">
        <v>117</v>
      </c>
      <c r="J39" s="584" t="s">
        <v>52</v>
      </c>
      <c r="K39" s="558">
        <v>4537</v>
      </c>
      <c r="L39" s="558">
        <f>4583-264</f>
        <v>4319</v>
      </c>
      <c r="M39" s="558">
        <f>3935-213</f>
        <v>3722</v>
      </c>
      <c r="N39" s="558">
        <f>4947-396</f>
        <v>4551</v>
      </c>
      <c r="O39" s="558">
        <f>3911-293</f>
        <v>3618</v>
      </c>
      <c r="P39" s="558">
        <f>2992-213</f>
        <v>2779</v>
      </c>
      <c r="Q39" s="558">
        <f>2927-218</f>
        <v>2709</v>
      </c>
      <c r="R39" s="558">
        <f>7466-213</f>
        <v>7253</v>
      </c>
      <c r="S39" s="558">
        <f>4218-425</f>
        <v>3793</v>
      </c>
      <c r="T39" s="558">
        <f>10697-213</f>
        <v>10484</v>
      </c>
      <c r="U39" s="558">
        <f>5081-213</f>
        <v>4868</v>
      </c>
      <c r="V39" s="558">
        <f>5220-213</f>
        <v>5007</v>
      </c>
      <c r="W39" s="431">
        <f t="shared" si="36"/>
        <v>57640</v>
      </c>
      <c r="X39" s="583">
        <f t="shared" si="37"/>
        <v>-1429</v>
      </c>
      <c r="Y39" s="585">
        <f t="shared" si="38"/>
        <v>-2.4192046589581677E-2</v>
      </c>
      <c r="Z39" s="445"/>
      <c r="AA39" s="771"/>
      <c r="AB39" s="799"/>
    </row>
    <row r="40" spans="1:28" ht="13.9" customHeight="1" x14ac:dyDescent="0.4">
      <c r="B40" s="45" t="s">
        <v>111</v>
      </c>
      <c r="C40" s="427" t="s">
        <v>65</v>
      </c>
      <c r="D40" s="427"/>
      <c r="E40" s="751"/>
      <c r="F40" s="763"/>
      <c r="G40" s="1064"/>
      <c r="I40" s="440" t="s">
        <v>118</v>
      </c>
      <c r="J40" s="45" t="s">
        <v>55</v>
      </c>
      <c r="K40" s="558">
        <v>3710</v>
      </c>
      <c r="L40" s="558">
        <v>3750</v>
      </c>
      <c r="M40" s="558">
        <v>7113</v>
      </c>
      <c r="N40" s="558">
        <f>3928-213</f>
        <v>3715</v>
      </c>
      <c r="O40" s="558">
        <f>2501-213</f>
        <v>2288</v>
      </c>
      <c r="P40" s="558">
        <f>3468-213</f>
        <v>3255</v>
      </c>
      <c r="Q40" s="558">
        <f>1986-224</f>
        <v>1762</v>
      </c>
      <c r="R40" s="558">
        <f>4145-212</f>
        <v>3933</v>
      </c>
      <c r="S40" s="558">
        <f>8518-212</f>
        <v>8306</v>
      </c>
      <c r="T40" s="558">
        <f>5829-424</f>
        <v>5405</v>
      </c>
      <c r="U40" s="558">
        <f>3816-212</f>
        <v>3604</v>
      </c>
      <c r="V40" s="558">
        <f>12440-212</f>
        <v>12228</v>
      </c>
      <c r="W40" s="431">
        <f t="shared" si="36"/>
        <v>59069</v>
      </c>
      <c r="X40" s="583">
        <f t="shared" si="37"/>
        <v>8447</v>
      </c>
      <c r="Y40" s="585">
        <f t="shared" si="38"/>
        <v>0.16686420923709058</v>
      </c>
      <c r="Z40" s="445"/>
      <c r="AA40" s="445"/>
      <c r="AB40" s="45" t="s">
        <v>119</v>
      </c>
    </row>
    <row r="41" spans="1:28" ht="13.9" customHeight="1" x14ac:dyDescent="0.4">
      <c r="B41" s="45" t="s">
        <v>111</v>
      </c>
      <c r="C41" s="427" t="s">
        <v>65</v>
      </c>
      <c r="D41" s="427"/>
      <c r="E41" s="751"/>
      <c r="F41" s="763"/>
      <c r="G41" s="1064"/>
      <c r="I41" s="440" t="s">
        <v>120</v>
      </c>
      <c r="J41" s="45" t="s">
        <v>58</v>
      </c>
      <c r="K41" s="558">
        <f>4439-1260</f>
        <v>3179</v>
      </c>
      <c r="L41" s="558">
        <f>3071-197</f>
        <v>2874</v>
      </c>
      <c r="M41" s="558">
        <f>4958-132</f>
        <v>4826</v>
      </c>
      <c r="N41" s="558">
        <f>3585-132</f>
        <v>3453</v>
      </c>
      <c r="O41" s="558">
        <f>5008-33</f>
        <v>4975</v>
      </c>
      <c r="P41" s="558">
        <v>3386</v>
      </c>
      <c r="Q41" s="558">
        <v>3633</v>
      </c>
      <c r="R41" s="558">
        <v>3855</v>
      </c>
      <c r="S41" s="558">
        <v>6440</v>
      </c>
      <c r="T41" s="558">
        <v>3536</v>
      </c>
      <c r="U41" s="558">
        <v>2851</v>
      </c>
      <c r="V41" s="558">
        <v>7614</v>
      </c>
      <c r="W41" s="431">
        <f t="shared" si="36"/>
        <v>50622</v>
      </c>
      <c r="X41" s="583">
        <f t="shared" si="37"/>
        <v>41228</v>
      </c>
      <c r="Y41" s="585">
        <f t="shared" si="38"/>
        <v>4.3887587822014051</v>
      </c>
    </row>
    <row r="42" spans="1:28" ht="13.9" customHeight="1" x14ac:dyDescent="0.4">
      <c r="B42" s="45" t="s">
        <v>111</v>
      </c>
      <c r="C42" s="427" t="s">
        <v>65</v>
      </c>
      <c r="D42" s="427"/>
      <c r="E42" s="751"/>
      <c r="F42" s="763"/>
      <c r="G42" s="1064"/>
      <c r="I42" s="541" t="s">
        <v>121</v>
      </c>
      <c r="J42" s="45" t="s">
        <v>61</v>
      </c>
      <c r="K42" s="558"/>
      <c r="L42" s="558"/>
      <c r="M42" s="558"/>
      <c r="N42" s="558"/>
      <c r="O42" s="558"/>
      <c r="P42" s="558"/>
      <c r="Q42" s="558"/>
      <c r="R42" s="558"/>
      <c r="S42" s="558"/>
      <c r="T42" s="558"/>
      <c r="U42" s="558">
        <f>3346-338</f>
        <v>3008</v>
      </c>
      <c r="V42" s="558">
        <f>6776-390</f>
        <v>6386</v>
      </c>
      <c r="W42" s="431">
        <f t="shared" si="36"/>
        <v>9394</v>
      </c>
    </row>
    <row r="43" spans="1:28" ht="13.15" customHeight="1" x14ac:dyDescent="0.4">
      <c r="X43" s="45" t="s">
        <v>122</v>
      </c>
      <c r="Y43" s="688">
        <f>W30-W31</f>
        <v>3776.6700000000055</v>
      </c>
      <c r="Z43" s="835">
        <f>Y43/W31</f>
        <v>8.8258945441297185E-2</v>
      </c>
    </row>
    <row r="44" spans="1:28" ht="15" customHeight="1" x14ac:dyDescent="0.4">
      <c r="E44" s="914">
        <f>SUM(E36:E42)</f>
        <v>160</v>
      </c>
      <c r="I44" s="447" t="s">
        <v>123</v>
      </c>
      <c r="J44" s="448">
        <f ca="1">SUMIF($C2:E96,I44,$E2:$E65)</f>
        <v>0</v>
      </c>
      <c r="K44" s="558">
        <f t="shared" ref="K44:V44" si="39">AVERAGE(K30:K31)</f>
        <v>3360.4300000000003</v>
      </c>
      <c r="L44" s="558">
        <f t="shared" si="39"/>
        <v>2710.9700000000003</v>
      </c>
      <c r="M44" s="558">
        <f t="shared" si="39"/>
        <v>1787.23</v>
      </c>
      <c r="N44" s="558">
        <f t="shared" si="39"/>
        <v>3678.27</v>
      </c>
      <c r="O44" s="558">
        <f t="shared" si="39"/>
        <v>4303.67</v>
      </c>
      <c r="P44" s="558">
        <f t="shared" si="39"/>
        <v>4631.3900000000003</v>
      </c>
      <c r="Q44" s="558">
        <f t="shared" si="39"/>
        <v>3486.25</v>
      </c>
      <c r="R44" s="558">
        <f t="shared" si="39"/>
        <v>2650.49</v>
      </c>
      <c r="S44" s="558">
        <f t="shared" si="39"/>
        <v>4155.9699999999993</v>
      </c>
      <c r="T44" s="558">
        <f t="shared" si="39"/>
        <v>5424.67</v>
      </c>
      <c r="U44" s="558">
        <f t="shared" si="39"/>
        <v>4463.8099999999995</v>
      </c>
      <c r="V44" s="558">
        <f t="shared" si="39"/>
        <v>4025.9749999999999</v>
      </c>
      <c r="W44" s="449">
        <f>SUM(K44:V44)</f>
        <v>44679.125</v>
      </c>
      <c r="X44" s="449" t="s">
        <v>124</v>
      </c>
    </row>
    <row r="45" spans="1:28" ht="15" customHeight="1" x14ac:dyDescent="0.4">
      <c r="B45" s="427"/>
      <c r="C45" s="427"/>
      <c r="D45" s="470"/>
      <c r="E45" s="751"/>
      <c r="F45" s="763"/>
      <c r="I45" s="450" t="s">
        <v>65</v>
      </c>
      <c r="J45" s="451">
        <f ca="1">SUMIF($C18:D146,I45,$E18:$E146)</f>
        <v>2210</v>
      </c>
      <c r="L45" s="449"/>
      <c r="M45" s="449"/>
      <c r="N45" s="449"/>
      <c r="O45" s="449"/>
      <c r="P45" s="449"/>
      <c r="Q45" s="449"/>
      <c r="R45" s="449"/>
      <c r="S45" s="449"/>
      <c r="T45" s="449"/>
      <c r="U45" s="449"/>
      <c r="V45" s="449"/>
      <c r="W45" s="449"/>
      <c r="X45" s="449"/>
    </row>
    <row r="46" spans="1:28" ht="32.75" customHeight="1" thickBot="1" x14ac:dyDescent="0.45">
      <c r="A46" s="46" t="s">
        <v>125</v>
      </c>
      <c r="B46" s="46" t="s">
        <v>126</v>
      </c>
      <c r="D46" s="46" t="s">
        <v>127</v>
      </c>
      <c r="E46" s="1166" t="s">
        <v>128</v>
      </c>
      <c r="F46" s="56" t="s">
        <v>129</v>
      </c>
      <c r="G46" s="56" t="s">
        <v>130</v>
      </c>
      <c r="H46" s="56"/>
      <c r="I46" s="452" t="s">
        <v>131</v>
      </c>
      <c r="J46" s="453">
        <f ca="1">SUM(J44:J45)</f>
        <v>2210</v>
      </c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795" t="s">
        <v>132</v>
      </c>
      <c r="V46" s="796"/>
      <c r="W46" s="688">
        <f>SUM(W31:W42)+W18</f>
        <v>691493.37192307692</v>
      </c>
      <c r="X46" s="454"/>
    </row>
    <row r="47" spans="1:28" ht="13.9" customHeight="1" thickBot="1" x14ac:dyDescent="0.4">
      <c r="A47" s="1113"/>
      <c r="B47" s="1119"/>
      <c r="C47" s="427"/>
      <c r="D47" s="1115"/>
      <c r="E47" s="1115"/>
      <c r="F47" s="1117"/>
      <c r="G47" s="1113"/>
      <c r="H47" s="1118"/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795" t="s">
        <v>133</v>
      </c>
      <c r="V47" s="796"/>
      <c r="W47" s="558">
        <f>SUM(W32:W41)/13</f>
        <v>47475.041686390527</v>
      </c>
      <c r="X47" s="454"/>
    </row>
    <row r="48" spans="1:28" ht="13.9" customHeight="1" x14ac:dyDescent="0.4">
      <c r="A48" s="1117">
        <v>46174</v>
      </c>
      <c r="B48" s="1120">
        <v>46203</v>
      </c>
      <c r="C48" s="427" t="s">
        <v>65</v>
      </c>
      <c r="D48" s="1138">
        <f>COUNTIFS('JLR Bookings'!$V$1:$V$272, "&gt;=" &amp; A48, 'JLR Bookings'!$V$1:$V$272, "&lt;=" &amp; B48)</f>
        <v>10</v>
      </c>
      <c r="E48" s="1122">
        <f>SUMIFS('JLR Bookings'!$Q$2:$Q$272, 'JLR Bookings'!$V$2:$V$272, "&gt;=" &amp; A48, 'JLR Bookings'!$V$2:$V$272, "&lt;=" &amp; B48)</f>
        <v>1092</v>
      </c>
      <c r="F48" s="1122">
        <f>SUMIFS('JLR Bookings'!$W$2:$W$272, 'JLR Bookings'!$V$2:$V$272, "&gt;=" &amp; A48, 'JLR Bookings'!$V$2:$V$272, "&lt;=" &amp; B48)</f>
        <v>942</v>
      </c>
      <c r="G48" s="1143">
        <f t="shared" ref="G48:G64" si="40">E48-F48</f>
        <v>150</v>
      </c>
      <c r="H48" s="1118"/>
      <c r="I48" s="455" t="s">
        <v>134</v>
      </c>
      <c r="J48" s="456">
        <f>W18</f>
        <v>22133.040000000001</v>
      </c>
      <c r="K48" s="454">
        <f>SUM(E192:E370)-J48</f>
        <v>0</v>
      </c>
      <c r="L48" s="454"/>
      <c r="M48" s="454"/>
      <c r="N48" s="454"/>
      <c r="O48" s="454"/>
      <c r="P48" s="454"/>
      <c r="Q48" s="454"/>
      <c r="R48" s="454"/>
      <c r="S48" s="454"/>
      <c r="T48" s="454"/>
      <c r="U48" s="454"/>
      <c r="V48" s="454"/>
      <c r="W48" s="454"/>
      <c r="X48" s="454"/>
    </row>
    <row r="49" spans="1:24" ht="14.25" customHeight="1" thickBot="1" x14ac:dyDescent="0.45">
      <c r="A49" s="1117">
        <v>46204</v>
      </c>
      <c r="B49" s="1120">
        <v>46234</v>
      </c>
      <c r="C49" s="427" t="s">
        <v>65</v>
      </c>
      <c r="D49" s="1138">
        <f>COUNTIFS('JLR Bookings'!$V$1:$V$272, "&gt;=" &amp; A49, 'JLR Bookings'!$V$1:$V$272, "&lt;=" &amp; B49)</f>
        <v>1</v>
      </c>
      <c r="E49" s="1122">
        <f>SUMIFS('JLR Bookings'!$Q$2:$Q$272, 'JLR Bookings'!$V$2:$V$272, "&gt;=" &amp; A49, 'JLR Bookings'!$V$2:$V$272, "&lt;=" &amp; B49)</f>
        <v>45</v>
      </c>
      <c r="F49" s="1122">
        <f>SUMIFS('JLR Bookings'!$W$2:$W$272, 'JLR Bookings'!$V$2:$V$272, "&gt;=" &amp; A49, 'JLR Bookings'!$V$2:$V$272, "&lt;=" &amp; B49)</f>
        <v>0</v>
      </c>
      <c r="G49" s="1143">
        <f t="shared" si="40"/>
        <v>45</v>
      </c>
      <c r="H49" s="1118"/>
      <c r="I49" s="457" t="s">
        <v>135</v>
      </c>
      <c r="J49" s="458">
        <f>J48-AA18</f>
        <v>-5613.6987680488382</v>
      </c>
      <c r="K49" s="454"/>
      <c r="L49" s="454"/>
      <c r="M49" s="454"/>
      <c r="N49" s="454"/>
      <c r="O49" s="454"/>
      <c r="P49" s="454"/>
      <c r="Q49" s="454"/>
      <c r="R49" s="454"/>
      <c r="S49" s="454"/>
      <c r="T49" s="454"/>
      <c r="U49" s="454"/>
      <c r="V49" s="454"/>
      <c r="W49" s="454"/>
      <c r="X49" s="454"/>
    </row>
    <row r="50" spans="1:24" ht="13.5" customHeight="1" x14ac:dyDescent="0.35">
      <c r="A50" s="1117">
        <v>46235</v>
      </c>
      <c r="B50" s="1120">
        <v>46265</v>
      </c>
      <c r="C50" s="427" t="s">
        <v>65</v>
      </c>
      <c r="D50" s="1138">
        <f>COUNTIFS('JLR Bookings'!$V$1:$V$272, "&gt;=" &amp; A50, 'JLR Bookings'!$V$1:$V$272, "&lt;=" &amp; B50)</f>
        <v>0</v>
      </c>
      <c r="E50" s="1122">
        <f>SUMIFS('JLR Bookings'!$Q$2:$Q$272, 'JLR Bookings'!$V$2:$V$272, "&gt;=" &amp; A50, 'JLR Bookings'!$V$2:$V$272, "&lt;=" &amp; B50)</f>
        <v>0</v>
      </c>
      <c r="F50" s="1122">
        <f>SUMIFS('JLR Bookings'!$W$2:$W$272, 'JLR Bookings'!$V$2:$V$272, "&gt;=" &amp; A50, 'JLR Bookings'!$V$2:$V$272, "&lt;=" &amp; B50)</f>
        <v>0</v>
      </c>
      <c r="G50" s="1143">
        <f t="shared" si="40"/>
        <v>0</v>
      </c>
      <c r="H50" s="1118"/>
    </row>
    <row r="51" spans="1:24" ht="13.9" customHeight="1" x14ac:dyDescent="0.4">
      <c r="A51" s="1117">
        <v>46266</v>
      </c>
      <c r="B51" s="1120">
        <v>46295</v>
      </c>
      <c r="C51" s="427" t="s">
        <v>65</v>
      </c>
      <c r="D51" s="1138">
        <f>COUNTIFS('JLR Bookings'!$V$1:$V$272, "&gt;=" &amp; A51, 'JLR Bookings'!$V$1:$V$272, "&lt;=" &amp; B51)</f>
        <v>2</v>
      </c>
      <c r="E51" s="1122">
        <f>SUMIFS('JLR Bookings'!$Q$2:$Q$272, 'JLR Bookings'!$V$2:$V$272, "&gt;=" &amp; A51, 'JLR Bookings'!$V$2:$V$272, "&lt;=" &amp; B51)</f>
        <v>200</v>
      </c>
      <c r="F51" s="1122">
        <f>SUMIFS('JLR Bookings'!$W$2:$W$272, 'JLR Bookings'!$V$2:$V$272, "&gt;=" &amp; A51, 'JLR Bookings'!$V$2:$V$272, "&lt;=" &amp; B51)</f>
        <v>0</v>
      </c>
      <c r="G51" s="1143">
        <f t="shared" si="40"/>
        <v>200</v>
      </c>
      <c r="H51" s="1118"/>
      <c r="I51" s="1202" t="s">
        <v>136</v>
      </c>
      <c r="J51" s="557"/>
      <c r="K51" s="1203" t="s">
        <v>137</v>
      </c>
      <c r="L51" s="1203" t="s">
        <v>126</v>
      </c>
      <c r="M51" s="1203" t="s">
        <v>138</v>
      </c>
      <c r="N51" s="1203" t="s">
        <v>139</v>
      </c>
      <c r="O51" s="577"/>
      <c r="P51" s="577"/>
      <c r="Q51" s="577"/>
      <c r="R51" s="577"/>
      <c r="S51" s="577"/>
      <c r="T51" s="577"/>
      <c r="U51" s="577"/>
      <c r="V51" s="577"/>
      <c r="W51" s="423"/>
    </row>
    <row r="52" spans="1:24" ht="13.5" customHeight="1" x14ac:dyDescent="0.35">
      <c r="A52" s="1117">
        <v>46296</v>
      </c>
      <c r="B52" s="1120">
        <v>46326</v>
      </c>
      <c r="C52" s="427" t="s">
        <v>65</v>
      </c>
      <c r="D52" s="1138">
        <f>COUNTIFS('JLR Bookings'!$V$1:$V$272, "&gt;=" &amp; A52, 'JLR Bookings'!$V$1:$V$272, "&lt;=" &amp; B52)</f>
        <v>1</v>
      </c>
      <c r="E52" s="1122">
        <f>SUMIFS('JLR Bookings'!$Q$2:$Q$272, 'JLR Bookings'!$V$2:$V$272, "&gt;=" &amp; A52, 'JLR Bookings'!$V$2:$V$272, "&lt;=" &amp; B52)</f>
        <v>100</v>
      </c>
      <c r="F52" s="1122">
        <f>SUMIFS('JLR Bookings'!$W$2:$W$272, 'JLR Bookings'!$V$2:$V$272, "&gt;=" &amp; A52, 'JLR Bookings'!$V$2:$V$272, "&lt;=" &amp; B52)</f>
        <v>0</v>
      </c>
      <c r="G52" s="1143">
        <f t="shared" si="40"/>
        <v>100</v>
      </c>
      <c r="H52" s="1118"/>
      <c r="I52" s="581" t="s">
        <v>28</v>
      </c>
      <c r="J52" s="431"/>
      <c r="K52" s="432">
        <f t="shared" ref="K52:K63" si="41">SUMIFS($E$192:$E$716, $C$192:$C$716, $I52, $G$192:$G$716, "&lt;&gt;JLR")</f>
        <v>2390</v>
      </c>
      <c r="L52" s="432">
        <f t="shared" ref="L52:L63" si="42">SUMIFS($E$192:$E$716, $C$192:$C$716, $I52, $G$192:$G$716, "JLR")</f>
        <v>300</v>
      </c>
      <c r="M52" s="432">
        <f t="shared" ref="M52:M63" si="43">K52+L52</f>
        <v>2690</v>
      </c>
      <c r="N52" s="432">
        <f t="shared" ref="N52:N63" si="44">M52-W6</f>
        <v>0</v>
      </c>
      <c r="O52" s="432"/>
      <c r="P52" s="432"/>
      <c r="Q52" s="432"/>
      <c r="R52" s="432"/>
      <c r="S52" s="432"/>
      <c r="T52" s="432"/>
      <c r="U52" s="432"/>
      <c r="V52" s="432"/>
      <c r="W52" s="432"/>
    </row>
    <row r="53" spans="1:24" ht="13.5" customHeight="1" x14ac:dyDescent="0.35">
      <c r="A53" s="1117">
        <v>46327</v>
      </c>
      <c r="B53" s="1120">
        <v>46356</v>
      </c>
      <c r="C53" s="427" t="s">
        <v>65</v>
      </c>
      <c r="D53" s="1138">
        <f>COUNTIFS('JLR Bookings'!$V$1:$V$272, "&gt;=" &amp; A53, 'JLR Bookings'!$V$1:$V$272, "&lt;=" &amp; B53)</f>
        <v>3</v>
      </c>
      <c r="E53" s="1122">
        <f>SUMIFS('JLR Bookings'!$Q$2:$Q$272, 'JLR Bookings'!$V$2:$V$272, "&gt;=" &amp; A53, 'JLR Bookings'!$V$2:$V$272, "&lt;=" &amp; B53)</f>
        <v>300</v>
      </c>
      <c r="F53" s="1122">
        <f>SUMIFS('JLR Bookings'!$W$2:$W$272, 'JLR Bookings'!$V$2:$V$272, "&gt;=" &amp; A53, 'JLR Bookings'!$V$2:$V$272, "&lt;=" &amp; B53)</f>
        <v>0</v>
      </c>
      <c r="G53" s="1143">
        <f t="shared" si="40"/>
        <v>300</v>
      </c>
      <c r="H53" s="1118"/>
      <c r="I53" s="581" t="s">
        <v>31</v>
      </c>
      <c r="J53" s="431"/>
      <c r="K53" s="432">
        <f t="shared" si="41"/>
        <v>4458</v>
      </c>
      <c r="L53" s="432">
        <f t="shared" si="42"/>
        <v>907</v>
      </c>
      <c r="M53" s="432">
        <f t="shared" si="43"/>
        <v>5365</v>
      </c>
      <c r="N53" s="432">
        <f t="shared" si="44"/>
        <v>0</v>
      </c>
      <c r="O53" s="432"/>
      <c r="P53" s="432"/>
      <c r="Q53" s="432"/>
      <c r="R53" s="432"/>
      <c r="S53" s="432"/>
      <c r="T53" s="432"/>
      <c r="U53" s="432"/>
      <c r="V53" s="432"/>
      <c r="W53" s="432"/>
    </row>
    <row r="54" spans="1:24" ht="13.5" customHeight="1" x14ac:dyDescent="0.35">
      <c r="A54" s="1117">
        <v>46357</v>
      </c>
      <c r="B54" s="1120">
        <v>46387</v>
      </c>
      <c r="C54" s="427" t="s">
        <v>65</v>
      </c>
      <c r="D54" s="1138">
        <f>COUNTIFS('JLR Bookings'!$V$1:$V$272, "&gt;=" &amp; A54, 'JLR Bookings'!$V$1:$V$272, "&lt;=" &amp; B54)</f>
        <v>2</v>
      </c>
      <c r="E54" s="1122">
        <f>SUMIFS('JLR Bookings'!$Q$2:$Q$272, 'JLR Bookings'!$V$2:$V$272, "&gt;=" &amp; A54, 'JLR Bookings'!$V$2:$V$272, "&lt;=" &amp; B54)</f>
        <v>198</v>
      </c>
      <c r="F54" s="1122">
        <f>SUMIFS('JLR Bookings'!$W$2:$W$272, 'JLR Bookings'!$V$2:$V$272, "&gt;=" &amp; A54, 'JLR Bookings'!$V$2:$V$272, "&lt;=" &amp; B54)</f>
        <v>0</v>
      </c>
      <c r="G54" s="1143">
        <f t="shared" si="40"/>
        <v>198</v>
      </c>
      <c r="H54" s="1118"/>
      <c r="I54" s="582" t="s">
        <v>35</v>
      </c>
      <c r="J54" s="431"/>
      <c r="K54" s="432">
        <f t="shared" si="41"/>
        <v>7885</v>
      </c>
      <c r="L54" s="432">
        <f t="shared" si="42"/>
        <v>0</v>
      </c>
      <c r="M54" s="432">
        <f t="shared" si="43"/>
        <v>7885</v>
      </c>
      <c r="N54" s="432">
        <f t="shared" si="44"/>
        <v>0</v>
      </c>
      <c r="O54" s="432"/>
      <c r="P54" s="432"/>
      <c r="Q54" s="432"/>
      <c r="R54" s="432"/>
      <c r="S54" s="432"/>
      <c r="T54" s="432"/>
      <c r="U54" s="432"/>
      <c r="V54" s="432"/>
      <c r="W54" s="432"/>
    </row>
    <row r="55" spans="1:24" ht="13.5" customHeight="1" x14ac:dyDescent="0.35">
      <c r="A55" s="1117">
        <v>46388</v>
      </c>
      <c r="B55" s="1120">
        <v>46418</v>
      </c>
      <c r="C55" s="427" t="s">
        <v>65</v>
      </c>
      <c r="D55" s="1138">
        <f>COUNTIFS('JLR Bookings'!$V$1:$V$272, "&gt;=" &amp; A55, 'JLR Bookings'!$V$1:$V$272, "&lt;=" &amp; B55)</f>
        <v>0</v>
      </c>
      <c r="E55" s="1122">
        <f>SUMIFS('JLR Bookings'!$Q$2:$Q$272, 'JLR Bookings'!$V$2:$V$272, "&gt;=" &amp; A55, 'JLR Bookings'!$V$2:$V$272, "&lt;=" &amp; B55)</f>
        <v>0</v>
      </c>
      <c r="F55" s="1122">
        <f>SUMIFS('JLR Bookings'!$W$2:$W$272, 'JLR Bookings'!$V$2:$V$272, "&gt;=" &amp; A55, 'JLR Bookings'!$V$2:$V$272, "&lt;=" &amp; B55)</f>
        <v>0</v>
      </c>
      <c r="G55" s="1143">
        <f t="shared" si="40"/>
        <v>0</v>
      </c>
      <c r="H55" s="1118"/>
      <c r="I55" s="581" t="s">
        <v>37</v>
      </c>
      <c r="J55" s="431"/>
      <c r="K55" s="432">
        <f t="shared" si="41"/>
        <v>286</v>
      </c>
      <c r="L55" s="432">
        <f t="shared" si="42"/>
        <v>0</v>
      </c>
      <c r="M55" s="432">
        <f t="shared" si="43"/>
        <v>286</v>
      </c>
      <c r="N55" s="432">
        <f t="shared" si="44"/>
        <v>0</v>
      </c>
      <c r="O55" s="432"/>
      <c r="P55" s="432"/>
      <c r="Q55" s="432"/>
      <c r="R55" s="432"/>
      <c r="S55" s="432"/>
      <c r="T55" s="432"/>
      <c r="U55" s="432"/>
      <c r="V55" s="432"/>
      <c r="W55" s="432"/>
    </row>
    <row r="56" spans="1:24" ht="13.5" customHeight="1" x14ac:dyDescent="0.35">
      <c r="A56" s="1117">
        <v>46419</v>
      </c>
      <c r="B56" s="1120">
        <v>46446</v>
      </c>
      <c r="C56" s="427" t="s">
        <v>65</v>
      </c>
      <c r="D56" s="1138">
        <f>COUNTIFS('JLR Bookings'!$V$1:$V$272, "&gt;=" &amp; A56, 'JLR Bookings'!$V$1:$V$272, "&lt;=" &amp; B56)</f>
        <v>0</v>
      </c>
      <c r="E56" s="1122">
        <f>SUMIFS('JLR Bookings'!$Q$2:$Q$272, 'JLR Bookings'!$V$2:$V$272, "&gt;=" &amp; A56, 'JLR Bookings'!$V$2:$V$272, "&lt;=" &amp; B56)</f>
        <v>0</v>
      </c>
      <c r="F56" s="1122">
        <f>SUMIFS('JLR Bookings'!$W$2:$W$272, 'JLR Bookings'!$V$2:$V$272, "&gt;=" &amp; A56, 'JLR Bookings'!$V$2:$V$272, "&lt;=" &amp; B56)</f>
        <v>0</v>
      </c>
      <c r="G56" s="1143">
        <f t="shared" si="40"/>
        <v>0</v>
      </c>
      <c r="H56" s="1118"/>
      <c r="I56" s="581" t="s">
        <v>41</v>
      </c>
      <c r="J56" s="431"/>
      <c r="K56" s="432">
        <f t="shared" si="41"/>
        <v>-1020</v>
      </c>
      <c r="L56" s="432">
        <f t="shared" si="42"/>
        <v>0</v>
      </c>
      <c r="M56" s="432">
        <f t="shared" si="43"/>
        <v>-1020</v>
      </c>
      <c r="N56" s="432">
        <f t="shared" si="44"/>
        <v>0</v>
      </c>
      <c r="O56" s="432"/>
      <c r="P56" s="432"/>
      <c r="Q56" s="432"/>
      <c r="R56" s="432"/>
      <c r="S56" s="432"/>
      <c r="T56" s="432"/>
      <c r="U56" s="432"/>
      <c r="V56" s="432"/>
      <c r="W56" s="432"/>
    </row>
    <row r="57" spans="1:24" ht="13.5" customHeight="1" x14ac:dyDescent="0.35">
      <c r="A57" s="1117">
        <v>46447</v>
      </c>
      <c r="B57" s="1120">
        <v>46477</v>
      </c>
      <c r="C57" s="427" t="s">
        <v>65</v>
      </c>
      <c r="D57" s="1138">
        <f>COUNTIFS('JLR Bookings'!$V$1:$V$272, "&gt;=" &amp; A57, 'JLR Bookings'!$V$1:$V$272, "&lt;=" &amp; B57)</f>
        <v>0</v>
      </c>
      <c r="E57" s="1122">
        <f>SUMIFS('JLR Bookings'!$Q$2:$Q$272, 'JLR Bookings'!$V$2:$V$272, "&gt;=" &amp; A57, 'JLR Bookings'!$V$2:$V$272, "&lt;=" &amp; B57)</f>
        <v>0</v>
      </c>
      <c r="F57" s="1122">
        <f>SUMIFS('JLR Bookings'!$W$2:$W$272, 'JLR Bookings'!$V$2:$V$272, "&gt;=" &amp; A57, 'JLR Bookings'!$V$2:$V$272, "&lt;=" &amp; B57)</f>
        <v>0</v>
      </c>
      <c r="G57" s="1143">
        <f t="shared" si="40"/>
        <v>0</v>
      </c>
      <c r="H57" s="1118"/>
      <c r="I57" s="581" t="s">
        <v>44</v>
      </c>
      <c r="J57" s="431"/>
      <c r="K57" s="432">
        <f t="shared" si="41"/>
        <v>100</v>
      </c>
      <c r="L57" s="432">
        <f t="shared" si="42"/>
        <v>0</v>
      </c>
      <c r="M57" s="432">
        <f t="shared" si="43"/>
        <v>100</v>
      </c>
      <c r="N57" s="432">
        <f t="shared" si="44"/>
        <v>0</v>
      </c>
      <c r="O57" s="432"/>
      <c r="P57" s="432"/>
      <c r="Q57" s="432"/>
      <c r="R57" s="432"/>
      <c r="S57" s="432"/>
      <c r="T57" s="432"/>
      <c r="U57" s="432"/>
      <c r="V57" s="432"/>
      <c r="W57" s="432"/>
    </row>
    <row r="58" spans="1:24" ht="13.5" customHeight="1" x14ac:dyDescent="0.35">
      <c r="A58" s="1117">
        <v>46478</v>
      </c>
      <c r="B58" s="1120">
        <v>46507</v>
      </c>
      <c r="C58" s="427" t="s">
        <v>65</v>
      </c>
      <c r="D58" s="1138">
        <f>COUNTIFS('JLR Bookings'!$V$1:$V$272, "&gt;=" &amp; A58, 'JLR Bookings'!$V$1:$V$272, "&lt;=" &amp; B58)</f>
        <v>0</v>
      </c>
      <c r="E58" s="1122">
        <f>SUMIFS('JLR Bookings'!$Q$2:$Q$272, 'JLR Bookings'!$V$2:$V$272, "&gt;=" &amp; A58, 'JLR Bookings'!$V$2:$V$272, "&lt;=" &amp; B58)</f>
        <v>0</v>
      </c>
      <c r="F58" s="1122">
        <f>SUMIFS('JLR Bookings'!$W$2:$W$272, 'JLR Bookings'!$V$2:$V$272, "&gt;=" &amp; A58, 'JLR Bookings'!$V$2:$V$272, "&lt;=" &amp; B58)</f>
        <v>0</v>
      </c>
      <c r="G58" s="1143">
        <f t="shared" si="40"/>
        <v>0</v>
      </c>
      <c r="H58" s="1118"/>
      <c r="I58" s="582" t="s">
        <v>47</v>
      </c>
      <c r="J58" s="431"/>
      <c r="K58" s="432">
        <f t="shared" si="41"/>
        <v>1555</v>
      </c>
      <c r="L58" s="432">
        <f t="shared" si="42"/>
        <v>100</v>
      </c>
      <c r="M58" s="432">
        <f t="shared" si="43"/>
        <v>1655</v>
      </c>
      <c r="N58" s="432">
        <f t="shared" si="44"/>
        <v>0</v>
      </c>
      <c r="O58" s="432"/>
      <c r="P58" s="432"/>
      <c r="Q58" s="432"/>
      <c r="R58" s="432"/>
      <c r="S58" s="432"/>
      <c r="T58" s="432"/>
      <c r="U58" s="432"/>
      <c r="V58" s="432"/>
      <c r="W58" s="432"/>
    </row>
    <row r="59" spans="1:24" ht="13.5" customHeight="1" x14ac:dyDescent="0.35">
      <c r="A59" s="1117">
        <v>46508</v>
      </c>
      <c r="B59" s="1120">
        <v>46538</v>
      </c>
      <c r="C59" s="427" t="s">
        <v>65</v>
      </c>
      <c r="D59" s="1138">
        <f>COUNTIFS('JLR Bookings'!$V$1:$V$272, "&gt;=" &amp; A59, 'JLR Bookings'!$V$1:$V$272, "&lt;=" &amp; B59)</f>
        <v>0</v>
      </c>
      <c r="E59" s="1122">
        <f>SUMIFS('JLR Bookings'!$Q$2:$Q$272, 'JLR Bookings'!$V$2:$V$272, "&gt;=" &amp; A59, 'JLR Bookings'!$V$2:$V$272, "&lt;=" &amp; B59)</f>
        <v>0</v>
      </c>
      <c r="F59" s="1122">
        <f>SUMIFS('JLR Bookings'!$W$2:$W$272, 'JLR Bookings'!$V$2:$V$272, "&gt;=" &amp; A59, 'JLR Bookings'!$V$2:$V$272, "&lt;=" &amp; B59)</f>
        <v>0</v>
      </c>
      <c r="G59" s="1143">
        <f t="shared" si="40"/>
        <v>0</v>
      </c>
      <c r="H59" s="1118"/>
      <c r="I59" s="582" t="s">
        <v>50</v>
      </c>
      <c r="J59" s="431"/>
      <c r="K59" s="432">
        <f t="shared" si="41"/>
        <v>800</v>
      </c>
      <c r="L59" s="432">
        <f t="shared" si="42"/>
        <v>0</v>
      </c>
      <c r="M59" s="432">
        <f t="shared" si="43"/>
        <v>800</v>
      </c>
      <c r="N59" s="432">
        <f t="shared" si="44"/>
        <v>0</v>
      </c>
      <c r="O59" s="432"/>
      <c r="P59" s="432"/>
      <c r="Q59" s="432"/>
      <c r="R59" s="432"/>
      <c r="S59" s="432"/>
      <c r="T59" s="432"/>
      <c r="U59" s="432"/>
      <c r="V59" s="432"/>
      <c r="W59" s="432"/>
    </row>
    <row r="60" spans="1:24" ht="13.5" customHeight="1" x14ac:dyDescent="0.35">
      <c r="A60" s="1117">
        <v>46539</v>
      </c>
      <c r="B60" s="1120">
        <v>46568</v>
      </c>
      <c r="C60" s="427" t="s">
        <v>65</v>
      </c>
      <c r="D60" s="1138">
        <f>COUNTIFS('JLR Bookings'!$V$1:$V$272, "&gt;=" &amp; A60, 'JLR Bookings'!$V$1:$V$272, "&lt;=" &amp; B60)</f>
        <v>0</v>
      </c>
      <c r="E60" s="1122">
        <f>SUMIFS('JLR Bookings'!$Q$2:$Q$272, 'JLR Bookings'!$V$2:$V$272, "&gt;=" &amp; A60, 'JLR Bookings'!$V$2:$V$272, "&lt;=" &amp; B60)</f>
        <v>0</v>
      </c>
      <c r="F60" s="1122">
        <f>SUMIFS('JLR Bookings'!$W$2:$W$272, 'JLR Bookings'!$V$2:$V$272, "&gt;=" &amp; A60, 'JLR Bookings'!$V$2:$V$272, "&lt;=" &amp; B60)</f>
        <v>0</v>
      </c>
      <c r="G60" s="1143">
        <f t="shared" si="40"/>
        <v>0</v>
      </c>
      <c r="H60" s="1118"/>
      <c r="I60" s="582" t="s">
        <v>53</v>
      </c>
      <c r="J60" s="431"/>
      <c r="K60" s="432">
        <f t="shared" si="41"/>
        <v>-325</v>
      </c>
      <c r="L60" s="432">
        <f t="shared" si="42"/>
        <v>0</v>
      </c>
      <c r="M60" s="432">
        <f t="shared" si="43"/>
        <v>-325</v>
      </c>
      <c r="N60" s="432">
        <f t="shared" si="44"/>
        <v>0</v>
      </c>
      <c r="O60" s="432"/>
      <c r="P60" s="432"/>
      <c r="Q60" s="432"/>
      <c r="R60" s="432"/>
      <c r="S60" s="432"/>
      <c r="T60" s="432"/>
      <c r="U60" s="432"/>
      <c r="V60" s="432"/>
      <c r="W60" s="432"/>
    </row>
    <row r="61" spans="1:24" ht="13.5" customHeight="1" x14ac:dyDescent="0.35">
      <c r="A61" s="1117">
        <v>46569</v>
      </c>
      <c r="B61" s="1120">
        <v>46599</v>
      </c>
      <c r="C61" s="427" t="s">
        <v>65</v>
      </c>
      <c r="D61" s="1138">
        <f>COUNTIFS('JLR Bookings'!$V$1:$V$272, "&gt;=" &amp; A61, 'JLR Bookings'!$V$1:$V$272, "&lt;=" &amp; B61)</f>
        <v>0</v>
      </c>
      <c r="E61" s="1122">
        <f>SUMIFS('JLR Bookings'!$Q$2:$Q$272, 'JLR Bookings'!$V$2:$V$272, "&gt;=" &amp; A61, 'JLR Bookings'!$V$2:$V$272, "&lt;=" &amp; B61)</f>
        <v>0</v>
      </c>
      <c r="F61" s="1122">
        <f>SUMIFS('JLR Bookings'!$W$2:$W$272, 'JLR Bookings'!$V$2:$V$272, "&gt;=" &amp; A61, 'JLR Bookings'!$V$2:$V$272, "&lt;=" &amp; B61)</f>
        <v>0</v>
      </c>
      <c r="G61" s="1143">
        <f t="shared" si="40"/>
        <v>0</v>
      </c>
      <c r="H61" s="1118">
        <f>G66+F66-E66</f>
        <v>0</v>
      </c>
      <c r="I61" s="582" t="s">
        <v>56</v>
      </c>
      <c r="J61" s="431"/>
      <c r="K61" s="432">
        <f t="shared" si="41"/>
        <v>411.03999999999996</v>
      </c>
      <c r="L61" s="432">
        <f t="shared" si="42"/>
        <v>0</v>
      </c>
      <c r="M61" s="432">
        <f t="shared" si="43"/>
        <v>411.03999999999996</v>
      </c>
      <c r="N61" s="432">
        <f t="shared" si="44"/>
        <v>0</v>
      </c>
      <c r="O61" s="432"/>
      <c r="P61" s="432"/>
      <c r="Q61" s="432"/>
      <c r="R61" s="432"/>
      <c r="S61" s="432"/>
      <c r="T61" s="432"/>
      <c r="U61" s="432"/>
      <c r="V61" s="432"/>
      <c r="W61" s="432"/>
    </row>
    <row r="62" spans="1:24" ht="13.5" customHeight="1" x14ac:dyDescent="0.35">
      <c r="A62" s="1117">
        <v>46600</v>
      </c>
      <c r="B62" s="1120">
        <v>46630</v>
      </c>
      <c r="C62" s="427" t="s">
        <v>65</v>
      </c>
      <c r="D62" s="1138">
        <f>COUNTIFS('JLR Bookings'!$V$1:$V$272, "&gt;=" &amp; A62, 'JLR Bookings'!$V$1:$V$272, "&lt;=" &amp; B62)</f>
        <v>0</v>
      </c>
      <c r="E62" s="1122">
        <f>SUMIFS('JLR Bookings'!$Q$2:$Q$272, 'JLR Bookings'!$V$2:$V$272, "&gt;=" &amp; A62, 'JLR Bookings'!$V$2:$V$272, "&lt;=" &amp; B62)</f>
        <v>0</v>
      </c>
      <c r="F62" s="1122">
        <f>SUMIFS('JLR Bookings'!$W$2:$W$272, 'JLR Bookings'!$V$2:$V$272, "&gt;=" &amp; A62, 'JLR Bookings'!$V$2:$V$272, "&lt;=" &amp; B62)</f>
        <v>0</v>
      </c>
      <c r="G62" s="1143">
        <f t="shared" si="40"/>
        <v>0</v>
      </c>
      <c r="H62" s="1118"/>
      <c r="I62" s="582" t="s">
        <v>59</v>
      </c>
      <c r="J62" s="431"/>
      <c r="K62" s="432">
        <f t="shared" si="41"/>
        <v>2865</v>
      </c>
      <c r="L62" s="432">
        <f t="shared" si="42"/>
        <v>0</v>
      </c>
      <c r="M62" s="432">
        <f t="shared" si="43"/>
        <v>2865</v>
      </c>
      <c r="N62" s="432">
        <f t="shared" si="44"/>
        <v>0</v>
      </c>
      <c r="O62" s="432"/>
      <c r="P62" s="432"/>
      <c r="Q62" s="432"/>
      <c r="R62" s="432"/>
      <c r="S62" s="432"/>
      <c r="T62" s="432"/>
      <c r="U62" s="432"/>
      <c r="V62" s="432"/>
      <c r="W62" s="432"/>
    </row>
    <row r="63" spans="1:24" ht="14.25" customHeight="1" thickBot="1" x14ac:dyDescent="0.45">
      <c r="A63" s="1117">
        <v>46631</v>
      </c>
      <c r="B63" s="1120">
        <v>46660</v>
      </c>
      <c r="C63" s="427" t="s">
        <v>65</v>
      </c>
      <c r="D63" s="1138">
        <f>COUNTIFS('JLR Bookings'!$V$1:$V$272, "&gt;=" &amp; A63, 'JLR Bookings'!$V$1:$V$272, "&lt;=" &amp; B63)</f>
        <v>0</v>
      </c>
      <c r="E63" s="1122">
        <f>SUMIFS('JLR Bookings'!$Q$2:$Q$272, 'JLR Bookings'!$V$2:$V$272, "&gt;=" &amp; A63, 'JLR Bookings'!$V$2:$V$272, "&lt;=" &amp; B63)</f>
        <v>0</v>
      </c>
      <c r="F63" s="1122">
        <f>SUMIFS('JLR Bookings'!$W$2:$W$272, 'JLR Bookings'!$V$2:$V$272, "&gt;=" &amp; A63, 'JLR Bookings'!$V$2:$V$272, "&lt;=" &amp; B63)</f>
        <v>0</v>
      </c>
      <c r="G63" s="1143">
        <f t="shared" si="40"/>
        <v>0</v>
      </c>
      <c r="H63" s="1118"/>
      <c r="I63" s="982" t="s">
        <v>62</v>
      </c>
      <c r="J63" s="431"/>
      <c r="K63" s="432">
        <f t="shared" si="41"/>
        <v>1421</v>
      </c>
      <c r="L63" s="432">
        <f t="shared" si="42"/>
        <v>0</v>
      </c>
      <c r="M63" s="432">
        <f t="shared" si="43"/>
        <v>1421</v>
      </c>
      <c r="N63" s="432">
        <f t="shared" si="44"/>
        <v>0</v>
      </c>
      <c r="O63" s="432"/>
      <c r="P63" s="432"/>
      <c r="Q63" s="432"/>
      <c r="R63" s="432"/>
      <c r="S63" s="432"/>
      <c r="T63" s="432"/>
      <c r="U63" s="432"/>
      <c r="V63" s="432"/>
      <c r="W63" s="432"/>
    </row>
    <row r="64" spans="1:24" ht="14.65" customHeight="1" thickTop="1" thickBot="1" x14ac:dyDescent="0.45">
      <c r="A64" s="1117">
        <v>46661</v>
      </c>
      <c r="B64" s="1120">
        <v>46691</v>
      </c>
      <c r="C64" s="427" t="s">
        <v>65</v>
      </c>
      <c r="D64" s="1138">
        <f>COUNTIFS('JLR Bookings'!$V$1:$V$272, "&gt;=" &amp; A64, 'JLR Bookings'!$V$1:$V$272, "&lt;=" &amp; B64)</f>
        <v>0</v>
      </c>
      <c r="E64" s="1122">
        <f>SUMIFS('JLR Bookings'!$Q$2:$Q$272, 'JLR Bookings'!$V$2:$V$272, "&gt;=" &amp; A64, 'JLR Bookings'!$V$2:$V$272, "&lt;=" &amp; B64)</f>
        <v>0</v>
      </c>
      <c r="F64" s="1122">
        <f>SUMIFS('JLR Bookings'!$W$2:$W$272, 'JLR Bookings'!$V$2:$V$272, "&gt;=" &amp; A64, 'JLR Bookings'!$V$2:$V$272, "&lt;=" &amp; B64)</f>
        <v>0</v>
      </c>
      <c r="G64" s="1143">
        <f t="shared" si="40"/>
        <v>0</v>
      </c>
      <c r="H64" s="1118"/>
      <c r="I64" s="437" t="s">
        <v>63</v>
      </c>
      <c r="J64" s="438"/>
      <c r="K64" s="587">
        <f>SUM(K52:K63)</f>
        <v>20826.04</v>
      </c>
      <c r="L64" s="587">
        <f>SUM(L52:L63)</f>
        <v>1307</v>
      </c>
      <c r="M64" s="587">
        <f>SUM(M52:M63)</f>
        <v>22133.040000000001</v>
      </c>
      <c r="N64" s="587">
        <f>SUM(N52:N63)</f>
        <v>0</v>
      </c>
      <c r="O64" s="587"/>
      <c r="P64" s="587"/>
      <c r="Q64" s="587"/>
      <c r="R64" s="587"/>
      <c r="S64" s="587"/>
      <c r="T64" s="587"/>
      <c r="U64" s="587"/>
      <c r="V64" s="587"/>
      <c r="W64" s="789"/>
    </row>
    <row r="65" spans="1:24" ht="13.9" customHeight="1" thickTop="1" x14ac:dyDescent="0.35">
      <c r="A65" s="1113"/>
      <c r="B65" s="1119"/>
      <c r="C65" s="427"/>
      <c r="D65" s="1144"/>
      <c r="E65" s="558"/>
      <c r="F65" s="558"/>
      <c r="G65" s="1113"/>
      <c r="H65" s="1118"/>
    </row>
    <row r="66" spans="1:24" ht="14.65" customHeight="1" x14ac:dyDescent="0.35">
      <c r="A66" s="1113"/>
      <c r="B66" s="1119"/>
      <c r="C66" s="427"/>
      <c r="D66" s="1145">
        <f>SUM(D48:D64)</f>
        <v>19</v>
      </c>
      <c r="E66" s="1145">
        <f>SUM(E48:E64)</f>
        <v>1935</v>
      </c>
      <c r="F66" s="1145">
        <f>SUM(F48:F64)</f>
        <v>942</v>
      </c>
      <c r="G66" s="1145">
        <f>SUM(G48:G64)</f>
        <v>993</v>
      </c>
      <c r="H66" s="1118"/>
    </row>
    <row r="67" spans="1:24" ht="15" customHeight="1" x14ac:dyDescent="0.4">
      <c r="A67" s="1113"/>
      <c r="B67" s="1119"/>
      <c r="C67" s="427"/>
      <c r="D67" s="1144"/>
      <c r="E67" s="558"/>
      <c r="F67" s="558"/>
      <c r="G67" s="1113"/>
      <c r="H67" s="1118"/>
      <c r="I67" s="420" t="s">
        <v>140</v>
      </c>
      <c r="J67" s="557" t="s">
        <v>141</v>
      </c>
      <c r="K67" s="577" t="s">
        <v>142</v>
      </c>
      <c r="L67" s="577" t="s">
        <v>143</v>
      </c>
      <c r="M67" s="577" t="s">
        <v>144</v>
      </c>
      <c r="N67" s="577" t="s">
        <v>145</v>
      </c>
      <c r="O67" s="577" t="s">
        <v>146</v>
      </c>
      <c r="P67" s="577" t="s">
        <v>147</v>
      </c>
      <c r="Q67" s="577" t="s">
        <v>148</v>
      </c>
      <c r="R67" s="577" t="s">
        <v>149</v>
      </c>
      <c r="S67" s="577" t="s">
        <v>150</v>
      </c>
      <c r="T67" s="577" t="s">
        <v>151</v>
      </c>
      <c r="U67" s="577" t="s">
        <v>152</v>
      </c>
      <c r="V67" s="577" t="s">
        <v>153</v>
      </c>
      <c r="W67" s="423" t="s">
        <v>19</v>
      </c>
    </row>
    <row r="68" spans="1:24" ht="13.5" customHeight="1" x14ac:dyDescent="0.35">
      <c r="A68" s="1113"/>
      <c r="B68" s="1119"/>
      <c r="C68" s="427"/>
      <c r="D68" s="1144"/>
      <c r="E68" s="558"/>
      <c r="F68" s="558"/>
      <c r="G68" s="1113"/>
      <c r="H68" s="1118"/>
      <c r="I68" s="581" t="s">
        <v>28</v>
      </c>
      <c r="J68" s="431"/>
      <c r="K68" s="432">
        <f>K6-'Sales 2025'!K6</f>
        <v>325</v>
      </c>
      <c r="L68" s="432">
        <f>L6-'Sales 2025'!L6</f>
        <v>450</v>
      </c>
      <c r="M68" s="432">
        <f>M6-'Sales 2025'!M6</f>
        <v>150</v>
      </c>
      <c r="N68" s="432">
        <f>N6-'Sales 2025'!N6</f>
        <v>150</v>
      </c>
      <c r="O68" s="432">
        <f>O6-'Sales 2025'!O6</f>
        <v>-910</v>
      </c>
      <c r="P68" s="432">
        <f>P6-'Sales 2025'!P6</f>
        <v>-150</v>
      </c>
      <c r="Q68" s="432">
        <f>Q6-'Sales 2025'!Q6</f>
        <v>-1500</v>
      </c>
      <c r="R68" s="432">
        <f>R6-'Sales 2025'!R6</f>
        <v>-775</v>
      </c>
      <c r="S68" s="432">
        <f>S6-'Sales 2025'!S6</f>
        <v>0</v>
      </c>
      <c r="T68" s="432">
        <f>T6-'Sales 2025'!T6</f>
        <v>-420</v>
      </c>
      <c r="U68" s="432">
        <f>U6-'Sales 2025'!U6</f>
        <v>-2640</v>
      </c>
      <c r="V68" s="432">
        <f>V6-'Sales 2025'!V6</f>
        <v>-570</v>
      </c>
      <c r="W68" s="432">
        <f t="shared" ref="W68:W80" si="45">SUM(K68:V68)</f>
        <v>-5890</v>
      </c>
      <c r="X68" s="445">
        <f>W68/'Sales 2023'!W6</f>
        <v>-0.78204872867290709</v>
      </c>
    </row>
    <row r="69" spans="1:24" ht="13.5" customHeight="1" x14ac:dyDescent="0.35">
      <c r="A69" s="1113"/>
      <c r="B69" s="1119"/>
      <c r="C69" s="1114"/>
      <c r="D69" s="1116"/>
      <c r="E69" s="1116"/>
      <c r="F69" s="1117"/>
      <c r="G69" s="1113"/>
      <c r="H69" s="1118"/>
      <c r="I69" s="581" t="s">
        <v>31</v>
      </c>
      <c r="J69" s="431"/>
      <c r="K69" s="432">
        <f>K7-'Sales 2025'!K7</f>
        <v>661</v>
      </c>
      <c r="L69" s="432">
        <f>L7-'Sales 2025'!L7</f>
        <v>267</v>
      </c>
      <c r="M69" s="432">
        <f>M7-'Sales 2025'!M7</f>
        <v>-606</v>
      </c>
      <c r="N69" s="432">
        <f>N7-'Sales 2025'!N7</f>
        <v>1026</v>
      </c>
      <c r="O69" s="432">
        <f>O7-'Sales 2025'!O7</f>
        <v>-1172</v>
      </c>
      <c r="P69" s="432">
        <f>P7-'Sales 2025'!P7</f>
        <v>-2750.2</v>
      </c>
      <c r="Q69" s="432">
        <f>Q7-'Sales 2025'!Q7</f>
        <v>-2380</v>
      </c>
      <c r="R69" s="432">
        <f>R7-'Sales 2025'!R7</f>
        <v>-634</v>
      </c>
      <c r="S69" s="432">
        <f>S7-'Sales 2025'!S7</f>
        <v>-1894</v>
      </c>
      <c r="T69" s="432">
        <f>T7-'Sales 2025'!T7</f>
        <v>-1022</v>
      </c>
      <c r="U69" s="432">
        <f>U7-'Sales 2025'!U7</f>
        <v>-940</v>
      </c>
      <c r="V69" s="432">
        <f>V7-'Sales 2025'!V7</f>
        <v>-4088</v>
      </c>
      <c r="W69" s="432">
        <f t="shared" si="45"/>
        <v>-13532.2</v>
      </c>
      <c r="X69" s="445">
        <f>W69/'Sales 2023'!W7</f>
        <v>-1.1819547558738754</v>
      </c>
    </row>
    <row r="70" spans="1:24" ht="13.5" customHeight="1" x14ac:dyDescent="0.35">
      <c r="A70" s="1113"/>
      <c r="B70" s="1113"/>
      <c r="C70" s="1114"/>
      <c r="D70" s="1115"/>
      <c r="E70" s="1116"/>
      <c r="F70" s="1117"/>
      <c r="G70" s="1113"/>
      <c r="H70" s="1118"/>
      <c r="I70" s="582" t="s">
        <v>35</v>
      </c>
      <c r="J70" s="431"/>
      <c r="K70" s="432">
        <f>K8-'Sales 2025'!K8</f>
        <v>-1229</v>
      </c>
      <c r="L70" s="432">
        <f>L8-'Sales 2025'!L8</f>
        <v>1420</v>
      </c>
      <c r="M70" s="432">
        <f>M8-'Sales 2025'!M8</f>
        <v>0</v>
      </c>
      <c r="N70" s="432">
        <f>N8-'Sales 2025'!N8</f>
        <v>2720</v>
      </c>
      <c r="O70" s="432">
        <f>O8-'Sales 2025'!O8</f>
        <v>0</v>
      </c>
      <c r="P70" s="432">
        <f>P8-'Sales 2025'!P8</f>
        <v>-2045</v>
      </c>
      <c r="Q70" s="432">
        <f>Q8-'Sales 2025'!Q8</f>
        <v>-895</v>
      </c>
      <c r="R70" s="432">
        <f>R8-'Sales 2025'!R8</f>
        <v>-82.4</v>
      </c>
      <c r="S70" s="432">
        <f>S8-'Sales 2025'!S8</f>
        <v>-750</v>
      </c>
      <c r="T70" s="432">
        <f>T8-'Sales 2025'!T8</f>
        <v>0</v>
      </c>
      <c r="U70" s="432">
        <f>U8-'Sales 2025'!U8</f>
        <v>0</v>
      </c>
      <c r="V70" s="432">
        <f>V8-'Sales 2025'!V8</f>
        <v>0</v>
      </c>
      <c r="W70" s="432">
        <f t="shared" si="45"/>
        <v>-861.4</v>
      </c>
      <c r="X70" s="445">
        <f>W70/'Sales 2023'!W8</f>
        <v>-5.3077823649023352E-2</v>
      </c>
    </row>
    <row r="71" spans="1:24" ht="13.5" customHeight="1" x14ac:dyDescent="0.35">
      <c r="A71" s="1113"/>
      <c r="B71" s="1113"/>
      <c r="C71" s="1114"/>
      <c r="D71" s="1115"/>
      <c r="E71" s="1116"/>
      <c r="F71" s="1117"/>
      <c r="G71" s="1113"/>
      <c r="H71" s="1118"/>
      <c r="I71" s="581" t="s">
        <v>37</v>
      </c>
      <c r="J71" s="431"/>
      <c r="K71" s="432">
        <f>K9-'Sales 2025'!K9</f>
        <v>-250</v>
      </c>
      <c r="L71" s="432">
        <f>L9-'Sales 2025'!L9</f>
        <v>286</v>
      </c>
      <c r="M71" s="432">
        <f>M9-'Sales 2025'!M9</f>
        <v>0</v>
      </c>
      <c r="N71" s="432">
        <f>N9-'Sales 2025'!N9</f>
        <v>0</v>
      </c>
      <c r="O71" s="432">
        <f>O9-'Sales 2025'!O9</f>
        <v>0</v>
      </c>
      <c r="P71" s="432">
        <f>P9-'Sales 2025'!P9</f>
        <v>0</v>
      </c>
      <c r="Q71" s="432">
        <f>Q9-'Sales 2025'!Q9</f>
        <v>0</v>
      </c>
      <c r="R71" s="432">
        <f>R9-'Sales 2025'!R9</f>
        <v>0</v>
      </c>
      <c r="S71" s="432">
        <f>S9-'Sales 2025'!S9</f>
        <v>-1200</v>
      </c>
      <c r="T71" s="432">
        <f>T9-'Sales 2025'!T9</f>
        <v>0</v>
      </c>
      <c r="U71" s="432">
        <f>U9-'Sales 2025'!U9</f>
        <v>0</v>
      </c>
      <c r="V71" s="432">
        <f>V9-'Sales 2025'!V9</f>
        <v>0</v>
      </c>
      <c r="W71" s="432">
        <f t="shared" si="45"/>
        <v>-1164</v>
      </c>
      <c r="X71" s="445">
        <f>W71/'Sales 2023'!W8</f>
        <v>-7.1723458007270938E-2</v>
      </c>
    </row>
    <row r="72" spans="1:24" ht="13.5" customHeight="1" x14ac:dyDescent="0.35">
      <c r="A72" s="1113"/>
      <c r="B72" s="1113"/>
      <c r="C72" s="1114"/>
      <c r="D72" s="1115"/>
      <c r="E72" s="1116"/>
      <c r="F72" s="1117"/>
      <c r="G72" s="1113"/>
      <c r="H72" s="1118"/>
      <c r="I72" s="581" t="s">
        <v>41</v>
      </c>
      <c r="J72" s="431"/>
      <c r="K72" s="432">
        <f>K10-'Sales 2025'!K10</f>
        <v>-174.25</v>
      </c>
      <c r="L72" s="432">
        <f>L10-'Sales 2025'!L10</f>
        <v>65</v>
      </c>
      <c r="M72" s="432">
        <f>M10-'Sales 2025'!M10</f>
        <v>0</v>
      </c>
      <c r="N72" s="432">
        <f>N10-'Sales 2025'!N10</f>
        <v>0</v>
      </c>
      <c r="O72" s="432">
        <f>O10-'Sales 2025'!O10</f>
        <v>0</v>
      </c>
      <c r="P72" s="432">
        <f>P10-'Sales 2025'!P10</f>
        <v>1120</v>
      </c>
      <c r="Q72" s="432">
        <f>Q10-'Sales 2025'!Q10</f>
        <v>0</v>
      </c>
      <c r="R72" s="432">
        <f>R10-'Sales 2025'!R10</f>
        <v>0</v>
      </c>
      <c r="S72" s="432">
        <f>S10-'Sales 2025'!S10</f>
        <v>0</v>
      </c>
      <c r="T72" s="432">
        <f>T10-'Sales 2025'!T10</f>
        <v>0</v>
      </c>
      <c r="U72" s="432">
        <f>U10-'Sales 2025'!U10</f>
        <v>0</v>
      </c>
      <c r="V72" s="432">
        <f>V10-'Sales 2025'!V10</f>
        <v>0</v>
      </c>
      <c r="W72" s="432">
        <f t="shared" si="45"/>
        <v>1010.75</v>
      </c>
      <c r="X72" s="445">
        <f>W72/'Sales 2023'!W9</f>
        <v>0.15670542635658916</v>
      </c>
    </row>
    <row r="73" spans="1:24" ht="13.5" customHeight="1" x14ac:dyDescent="0.35">
      <c r="A73" s="1113"/>
      <c r="B73" s="1113"/>
      <c r="C73" s="1114"/>
      <c r="D73" s="1115"/>
      <c r="E73" s="1116"/>
      <c r="F73" s="1117"/>
      <c r="G73" s="1113"/>
      <c r="H73" s="1118"/>
      <c r="I73" s="581" t="s">
        <v>44</v>
      </c>
      <c r="J73" s="431"/>
      <c r="K73" s="432">
        <f>K11-'Sales 2025'!K11</f>
        <v>-65</v>
      </c>
      <c r="L73" s="432">
        <f>L11-'Sales 2025'!L11</f>
        <v>-35</v>
      </c>
      <c r="M73" s="432">
        <f>M11-'Sales 2025'!M11</f>
        <v>-50</v>
      </c>
      <c r="N73" s="432">
        <f>N11-'Sales 2025'!N11</f>
        <v>-30</v>
      </c>
      <c r="O73" s="432">
        <f>O11-'Sales 2025'!O11</f>
        <v>-180</v>
      </c>
      <c r="P73" s="432">
        <f>P11-'Sales 2025'!P11</f>
        <v>-50</v>
      </c>
      <c r="Q73" s="432">
        <f>Q11-'Sales 2025'!Q11</f>
        <v>-35</v>
      </c>
      <c r="R73" s="432">
        <f>R11-'Sales 2025'!R11</f>
        <v>-35</v>
      </c>
      <c r="S73" s="432">
        <f>S11-'Sales 2025'!S11</f>
        <v>-35</v>
      </c>
      <c r="T73" s="432">
        <f>T11-'Sales 2025'!T11</f>
        <v>-35</v>
      </c>
      <c r="U73" s="432">
        <f>U11-'Sales 2025'!U11</f>
        <v>-275</v>
      </c>
      <c r="V73" s="432">
        <f>V11-'Sales 2025'!V11</f>
        <v>-40</v>
      </c>
      <c r="W73" s="432">
        <f t="shared" si="45"/>
        <v>-865</v>
      </c>
      <c r="X73" s="445">
        <f>W73/'Sales 2023'!W10</f>
        <v>0.21581836327345311</v>
      </c>
    </row>
    <row r="74" spans="1:24" ht="13.5" customHeight="1" x14ac:dyDescent="0.35">
      <c r="A74" s="1113"/>
      <c r="B74" s="1113"/>
      <c r="C74" s="1114"/>
      <c r="D74" s="1115"/>
      <c r="E74" s="1116"/>
      <c r="F74" s="1120"/>
      <c r="G74" s="1113"/>
      <c r="H74" s="1118"/>
      <c r="I74" s="582" t="s">
        <v>47</v>
      </c>
      <c r="J74" s="431"/>
      <c r="K74" s="432">
        <f>K12-'Sales 2025'!K12</f>
        <v>-480</v>
      </c>
      <c r="L74" s="432">
        <f>L12-'Sales 2025'!L12</f>
        <v>-550</v>
      </c>
      <c r="M74" s="432">
        <f>M12-'Sales 2025'!M12</f>
        <v>455</v>
      </c>
      <c r="N74" s="432">
        <f>N12-'Sales 2025'!N12</f>
        <v>40</v>
      </c>
      <c r="O74" s="432">
        <f>O12-'Sales 2025'!O12</f>
        <v>-1130</v>
      </c>
      <c r="P74" s="432">
        <f>P12-'Sales 2025'!P12</f>
        <v>-150</v>
      </c>
      <c r="Q74" s="432">
        <f>Q12-'Sales 2025'!Q12</f>
        <v>-1055</v>
      </c>
      <c r="R74" s="432">
        <f>R12-'Sales 2025'!R12</f>
        <v>0</v>
      </c>
      <c r="S74" s="432">
        <f>S12-'Sales 2025'!S12</f>
        <v>-755</v>
      </c>
      <c r="T74" s="432">
        <f>T12-'Sales 2025'!T12</f>
        <v>-505</v>
      </c>
      <c r="U74" s="432">
        <f>U12-'Sales 2025'!U12</f>
        <v>-240</v>
      </c>
      <c r="V74" s="432">
        <f>V12-'Sales 2025'!V12</f>
        <v>-65</v>
      </c>
      <c r="W74" s="432">
        <f t="shared" si="45"/>
        <v>-4435</v>
      </c>
      <c r="X74" s="445">
        <f>W74/'Sales 2023'!W11</f>
        <v>-4.5255102040816331</v>
      </c>
    </row>
    <row r="75" spans="1:24" ht="13.5" customHeight="1" x14ac:dyDescent="0.35">
      <c r="A75" s="1113"/>
      <c r="B75" s="1113"/>
      <c r="C75" s="1114"/>
      <c r="D75" s="1115"/>
      <c r="E75" s="1116"/>
      <c r="F75" s="1117"/>
      <c r="G75" s="1113"/>
      <c r="H75" s="1118"/>
      <c r="I75" s="582" t="s">
        <v>50</v>
      </c>
      <c r="J75" s="431"/>
      <c r="K75" s="432">
        <f>K13-'Sales 2025'!K13</f>
        <v>0</v>
      </c>
      <c r="L75" s="432">
        <f>L13-'Sales 2025'!L13</f>
        <v>450</v>
      </c>
      <c r="M75" s="432">
        <f>M13-'Sales 2025'!M13</f>
        <v>0</v>
      </c>
      <c r="N75" s="432">
        <f>N13-'Sales 2025'!N13</f>
        <v>200</v>
      </c>
      <c r="O75" s="432">
        <f>O13-'Sales 2025'!O13</f>
        <v>25</v>
      </c>
      <c r="P75" s="432">
        <f>P13-'Sales 2025'!P13</f>
        <v>-400</v>
      </c>
      <c r="Q75" s="432">
        <f>Q13-'Sales 2025'!Q13</f>
        <v>0</v>
      </c>
      <c r="R75" s="432">
        <f>R13-'Sales 2025'!R13</f>
        <v>-100</v>
      </c>
      <c r="S75" s="432">
        <f>S13-'Sales 2025'!S13</f>
        <v>-150</v>
      </c>
      <c r="T75" s="432">
        <f>T13-'Sales 2025'!T13</f>
        <v>-65</v>
      </c>
      <c r="U75" s="432">
        <f>U13-'Sales 2025'!U13</f>
        <v>0</v>
      </c>
      <c r="V75" s="432">
        <f>V13-'Sales 2025'!V13</f>
        <v>-100</v>
      </c>
      <c r="W75" s="432">
        <f t="shared" si="45"/>
        <v>-140</v>
      </c>
      <c r="X75" s="445">
        <f>W75/'Sales 2023'!W12</f>
        <v>-2.2606168254480866E-2</v>
      </c>
    </row>
    <row r="76" spans="1:24" ht="13.5" customHeight="1" x14ac:dyDescent="0.35">
      <c r="A76" s="1113"/>
      <c r="B76" s="1113"/>
      <c r="C76" s="1114"/>
      <c r="D76" s="1115"/>
      <c r="E76" s="1116"/>
      <c r="F76" s="1117"/>
      <c r="G76" s="1113"/>
      <c r="H76" s="1118"/>
      <c r="I76" s="582" t="s">
        <v>53</v>
      </c>
      <c r="J76" s="431"/>
      <c r="K76" s="432">
        <f>K14-'Sales 2025'!K14</f>
        <v>589</v>
      </c>
      <c r="L76" s="432">
        <f>L14-'Sales 2025'!L14</f>
        <v>0</v>
      </c>
      <c r="M76" s="432">
        <f>M14-'Sales 2025'!M14</f>
        <v>100</v>
      </c>
      <c r="N76" s="432">
        <f>N14-'Sales 2025'!N14</f>
        <v>-275</v>
      </c>
      <c r="O76" s="432">
        <f>O14-'Sales 2025'!O14</f>
        <v>150</v>
      </c>
      <c r="P76" s="432">
        <f>P14-'Sales 2025'!P14</f>
        <v>0</v>
      </c>
      <c r="Q76" s="432">
        <f>Q14-'Sales 2025'!Q14</f>
        <v>300</v>
      </c>
      <c r="R76" s="432">
        <f>R14-'Sales 2025'!R14</f>
        <v>99</v>
      </c>
      <c r="S76" s="432">
        <f>S14-'Sales 2025'!S14</f>
        <v>0</v>
      </c>
      <c r="T76" s="432">
        <f>T14-'Sales 2025'!T14</f>
        <v>0</v>
      </c>
      <c r="U76" s="432">
        <f>U14-'Sales 2025'!U14</f>
        <v>300</v>
      </c>
      <c r="V76" s="432">
        <f>V14-'Sales 2025'!V14</f>
        <v>0</v>
      </c>
      <c r="W76" s="432">
        <f t="shared" si="45"/>
        <v>1263</v>
      </c>
      <c r="X76" s="445">
        <f>W76/'Sales 2023'!W13</f>
        <v>0.3377005347593583</v>
      </c>
    </row>
    <row r="77" spans="1:24" ht="13.5" customHeight="1" x14ac:dyDescent="0.35">
      <c r="A77" s="1113"/>
      <c r="B77" s="1119"/>
      <c r="C77" s="1114"/>
      <c r="D77" s="1115"/>
      <c r="E77" s="1116"/>
      <c r="F77" s="1117"/>
      <c r="G77" s="1113"/>
      <c r="H77" s="1118"/>
      <c r="I77" s="582" t="s">
        <v>56</v>
      </c>
      <c r="J77" s="431"/>
      <c r="K77" s="432">
        <f>K15-'Sales 2025'!K15</f>
        <v>169.06</v>
      </c>
      <c r="L77" s="432">
        <f>L15-'Sales 2025'!L15</f>
        <v>-70.84</v>
      </c>
      <c r="M77" s="432">
        <f>M15-'Sales 2025'!M15</f>
        <v>60.790000000000006</v>
      </c>
      <c r="N77" s="432">
        <f>N15-'Sales 2025'!N15</f>
        <v>32.75</v>
      </c>
      <c r="O77" s="432">
        <f>O15-'Sales 2025'!O15</f>
        <v>0</v>
      </c>
      <c r="P77" s="432">
        <f>P15-'Sales 2025'!P15</f>
        <v>-87.1</v>
      </c>
      <c r="Q77" s="432">
        <f>Q15-'Sales 2025'!Q15</f>
        <v>0</v>
      </c>
      <c r="R77" s="432">
        <f>R15-'Sales 2025'!R15</f>
        <v>0</v>
      </c>
      <c r="S77" s="432">
        <f>S15-'Sales 2025'!S15</f>
        <v>-14.48</v>
      </c>
      <c r="T77" s="432">
        <f>T15-'Sales 2025'!T15</f>
        <v>0</v>
      </c>
      <c r="U77" s="432">
        <f>U15-'Sales 2025'!U15</f>
        <v>-279.8</v>
      </c>
      <c r="V77" s="432">
        <f>V15-'Sales 2025'!V15</f>
        <v>-41.95</v>
      </c>
      <c r="W77" s="432">
        <f t="shared" si="45"/>
        <v>-231.57</v>
      </c>
      <c r="X77" s="445">
        <f>W77/'Sales 2023'!W14</f>
        <v>0.16576234788833213</v>
      </c>
    </row>
    <row r="78" spans="1:24" ht="13.5" customHeight="1" x14ac:dyDescent="0.35">
      <c r="A78" s="1113"/>
      <c r="B78" s="1119"/>
      <c r="C78" s="1114"/>
      <c r="D78" s="1115"/>
      <c r="E78" s="1116"/>
      <c r="F78" s="1117"/>
      <c r="G78" s="1113"/>
      <c r="H78" s="1118"/>
      <c r="I78" s="582" t="s">
        <v>59</v>
      </c>
      <c r="J78" s="431"/>
      <c r="K78" s="432">
        <f>K16-'Sales 2025'!K16</f>
        <v>450</v>
      </c>
      <c r="L78" s="432">
        <f>L16-'Sales 2025'!L16</f>
        <v>-185</v>
      </c>
      <c r="M78" s="432">
        <f>M16-'Sales 2025'!M16</f>
        <v>1295</v>
      </c>
      <c r="N78" s="432">
        <f>N16-'Sales 2025'!N16</f>
        <v>200</v>
      </c>
      <c r="O78" s="432">
        <f>O16-'Sales 2025'!O16</f>
        <v>-225</v>
      </c>
      <c r="P78" s="432">
        <f>P16-'Sales 2025'!P16</f>
        <v>-180</v>
      </c>
      <c r="Q78" s="432">
        <f>Q16-'Sales 2025'!Q16</f>
        <v>0</v>
      </c>
      <c r="R78" s="432">
        <f>R16-'Sales 2025'!R16</f>
        <v>-75</v>
      </c>
      <c r="S78" s="432">
        <f>S16-'Sales 2025'!S16</f>
        <v>0</v>
      </c>
      <c r="T78" s="432">
        <f>T16-'Sales 2025'!T16</f>
        <v>-695</v>
      </c>
      <c r="U78" s="432">
        <f>U16-'Sales 2025'!U16</f>
        <v>0</v>
      </c>
      <c r="V78" s="432">
        <f>V16-'Sales 2025'!V16</f>
        <v>-400</v>
      </c>
      <c r="W78" s="432">
        <f t="shared" si="45"/>
        <v>185</v>
      </c>
      <c r="X78" s="445">
        <f>W78/'Sales 2023'!W15</f>
        <v>8.1448282541890835E-2</v>
      </c>
    </row>
    <row r="79" spans="1:24" ht="13.9" customHeight="1" thickBot="1" x14ac:dyDescent="0.4">
      <c r="A79" s="1113"/>
      <c r="B79" s="1113"/>
      <c r="C79" s="1114"/>
      <c r="D79" s="1115"/>
      <c r="E79" s="1116"/>
      <c r="F79" s="1117"/>
      <c r="G79" s="1113"/>
      <c r="H79" s="1118"/>
      <c r="I79" s="984" t="s">
        <v>62</v>
      </c>
      <c r="J79" s="431"/>
      <c r="K79" s="432">
        <f>K17-'Sales 2025'!K17</f>
        <v>478</v>
      </c>
      <c r="L79" s="432">
        <f>L17-'Sales 2025'!L17</f>
        <v>133</v>
      </c>
      <c r="M79" s="432">
        <f>M17-'Sales 2025'!M17</f>
        <v>286</v>
      </c>
      <c r="N79" s="432">
        <f>N17-'Sales 2025'!N17</f>
        <v>34</v>
      </c>
      <c r="O79" s="432">
        <f>O17-'Sales 2025'!O17</f>
        <v>157</v>
      </c>
      <c r="P79" s="432">
        <f>P17-'Sales 2025'!P17</f>
        <v>63</v>
      </c>
      <c r="Q79" s="432">
        <f>Q17-'Sales 2025'!Q17</f>
        <v>-135</v>
      </c>
      <c r="R79" s="432">
        <f>R17-'Sales 2025'!R17</f>
        <v>-25</v>
      </c>
      <c r="S79" s="432">
        <f>S17-'Sales 2025'!S17</f>
        <v>-310</v>
      </c>
      <c r="T79" s="432">
        <f>T17-'Sales 2025'!T17</f>
        <v>-350</v>
      </c>
      <c r="U79" s="432">
        <f>U17-'Sales 2025'!U17</f>
        <v>-20</v>
      </c>
      <c r="V79" s="432">
        <f>V17-'Sales 2025'!V17</f>
        <v>-90</v>
      </c>
      <c r="W79" s="432">
        <f t="shared" si="45"/>
        <v>221</v>
      </c>
      <c r="X79" s="445">
        <f>W79/'Sales 2023'!W16</f>
        <v>6.3142857142857139E-2</v>
      </c>
    </row>
    <row r="80" spans="1:24" ht="14.65" customHeight="1" thickTop="1" thickBot="1" x14ac:dyDescent="0.45">
      <c r="A80" s="1113"/>
      <c r="B80" s="1113"/>
      <c r="C80" s="1114"/>
      <c r="D80" s="1115"/>
      <c r="E80" s="1116"/>
      <c r="F80" s="1117"/>
      <c r="G80" s="1113"/>
      <c r="H80" s="1118"/>
      <c r="I80" s="437" t="s">
        <v>63</v>
      </c>
      <c r="J80" s="438"/>
      <c r="K80" s="587">
        <f t="shared" ref="K80:V80" si="46">SUM(K68:K79)</f>
        <v>473.81</v>
      </c>
      <c r="L80" s="587">
        <f t="shared" si="46"/>
        <v>2230.16</v>
      </c>
      <c r="M80" s="587">
        <f t="shared" si="46"/>
        <v>1690.79</v>
      </c>
      <c r="N80" s="587">
        <f t="shared" si="46"/>
        <v>4097.75</v>
      </c>
      <c r="O80" s="587">
        <f t="shared" si="46"/>
        <v>-3285</v>
      </c>
      <c r="P80" s="587">
        <f t="shared" si="46"/>
        <v>-4629.3</v>
      </c>
      <c r="Q80" s="587">
        <f t="shared" si="46"/>
        <v>-5700</v>
      </c>
      <c r="R80" s="587">
        <f t="shared" si="46"/>
        <v>-1627.4</v>
      </c>
      <c r="S80" s="587">
        <f t="shared" si="46"/>
        <v>-5108.4799999999996</v>
      </c>
      <c r="T80" s="587">
        <f t="shared" si="46"/>
        <v>-3092</v>
      </c>
      <c r="U80" s="587">
        <f t="shared" si="46"/>
        <v>-4094.8</v>
      </c>
      <c r="V80" s="587">
        <f t="shared" si="46"/>
        <v>-5394.95</v>
      </c>
      <c r="W80" s="432">
        <f t="shared" si="45"/>
        <v>-24439.420000000002</v>
      </c>
      <c r="X80" s="445">
        <f>W80/'Sales 2023'!W17</f>
        <v>-53.368170502685949</v>
      </c>
    </row>
    <row r="81" spans="1:23" ht="13.9" customHeight="1" thickTop="1" x14ac:dyDescent="0.35">
      <c r="A81" s="1113"/>
      <c r="B81" s="1113"/>
      <c r="C81" s="1114"/>
      <c r="D81" s="1115"/>
      <c r="E81" s="1116"/>
      <c r="F81" s="1117"/>
      <c r="G81" s="1113"/>
      <c r="H81" s="1118"/>
    </row>
    <row r="82" spans="1:23" ht="13.9" customHeight="1" x14ac:dyDescent="0.4">
      <c r="A82" s="1113"/>
      <c r="B82" s="1113"/>
      <c r="C82" s="1114"/>
      <c r="D82" s="1115"/>
      <c r="E82" s="1116"/>
      <c r="F82" s="1117"/>
      <c r="G82" s="1113"/>
      <c r="H82" s="1118"/>
      <c r="I82" s="420" t="s">
        <v>140</v>
      </c>
      <c r="J82" s="557" t="s">
        <v>154</v>
      </c>
      <c r="K82" s="577" t="s">
        <v>142</v>
      </c>
      <c r="L82" s="577" t="s">
        <v>143</v>
      </c>
      <c r="M82" s="577" t="s">
        <v>144</v>
      </c>
      <c r="N82" s="577" t="s">
        <v>145</v>
      </c>
      <c r="O82" s="577" t="s">
        <v>146</v>
      </c>
      <c r="P82" s="577" t="s">
        <v>147</v>
      </c>
      <c r="Q82" s="577" t="s">
        <v>148</v>
      </c>
      <c r="R82" s="577" t="s">
        <v>149</v>
      </c>
      <c r="S82" s="577" t="s">
        <v>150</v>
      </c>
      <c r="T82" s="577" t="s">
        <v>151</v>
      </c>
      <c r="U82" s="577" t="s">
        <v>152</v>
      </c>
      <c r="V82" s="577" t="s">
        <v>153</v>
      </c>
      <c r="W82" s="577" t="s">
        <v>19</v>
      </c>
    </row>
    <row r="83" spans="1:23" ht="13.5" customHeight="1" x14ac:dyDescent="0.35">
      <c r="A83" s="1113"/>
      <c r="B83" s="1113"/>
      <c r="C83" s="1114"/>
      <c r="D83" s="1115"/>
      <c r="E83" s="1116"/>
      <c r="F83" s="1117"/>
      <c r="G83" s="1113"/>
      <c r="H83" s="1118"/>
      <c r="I83" s="581" t="s">
        <v>28</v>
      </c>
      <c r="J83" s="431"/>
      <c r="K83" s="432">
        <f t="shared" ref="K83:K94" si="47">COUNTIFS($A$192:$A$370,"&gt;31/12/2025",$A$192:$A$370,"&lt;1/2/2026",$C$192:$C$370,I83)</f>
        <v>4</v>
      </c>
      <c r="L83" s="432">
        <f t="shared" ref="L83:L94" si="48">COUNTIFS($A$192:$A$370,"&gt;31/1/2026",$A$192:$A$370,"&lt;1/3/2026",$C$192:$C$370,$I83)</f>
        <v>3</v>
      </c>
      <c r="M83" s="432">
        <f t="shared" ref="M83:M94" si="49">COUNTIFS($A$192:$A$370,"&gt;28/2/2026",$A$192:$A$370,"&lt;1/4/2026",$C$192:$C$370,$I83)</f>
        <v>1</v>
      </c>
      <c r="N83" s="432">
        <f t="shared" ref="N83:N94" si="50">COUNTIFS($A$192:$A$370,"&gt;31/3/2026",$A$192:$A$370,"&lt;1/5/2026",$C$192:$C$370,$I83)</f>
        <v>8</v>
      </c>
      <c r="O83" s="432">
        <f t="shared" ref="O83:O94" si="51">COUNTIFS($A$192:$A$370,"&gt;30/4/2026",$A$192:$A$370,"&lt;1/6/2026",$C$192:$C$370,$I83)</f>
        <v>3</v>
      </c>
      <c r="P83" s="432">
        <f t="shared" ref="P83:P94" si="52">COUNTIFS($A$192:$A$370,"&gt;31/5/2026",$A$192:$A$370,"&lt;1/7/2026",$C$192:$C$370,$I83)</f>
        <v>3</v>
      </c>
      <c r="Q83" s="432">
        <f t="shared" ref="Q83:Q94" si="53">COUNTIFS($A$192:$A$370,"&gt;30/6/2026",$A$192:$A$370,"&lt;1/8/2026",$C$192:$C$370,$I83)</f>
        <v>0</v>
      </c>
      <c r="R83" s="432">
        <f t="shared" ref="R83:R94" si="54">COUNTIFS($A$192:$A$370,"&gt;31/7/2026",$A$192:$A$370,"&lt;1/9/2026",$C$192:$C$370,$I83)</f>
        <v>0</v>
      </c>
      <c r="S83" s="432">
        <f t="shared" ref="S83:S94" si="55">COUNTIFS($A$192:$A$370,"&gt;31/8/2026",$A$192:$A$370,"&lt;1/10/2026",$C$192:$C$370,$I83)</f>
        <v>0</v>
      </c>
      <c r="T83" s="432">
        <f t="shared" ref="T83:T94" si="56">COUNTIFS($A$192:$A$370,"&gt;30/9/2026",$A$192:$A$370,"&lt;1/11/2026",$C$192:$C$370,$I83)</f>
        <v>0</v>
      </c>
      <c r="U83" s="432">
        <f t="shared" ref="U83:U94" si="57">COUNTIFS($A$192:$A$370,"&gt;31/10/2026",$A$192:$A$370,"&lt;1/12/2026",$C$192:$C$370,$I83)</f>
        <v>0</v>
      </c>
      <c r="V83" s="432">
        <f t="shared" ref="V83:V94" si="58">COUNTIFS($A$192:$A$370,"&gt;30/11/2026",$A$192:$A$370,"&lt;1/1/2027",$C$192:$C$370,$I83)</f>
        <v>0</v>
      </c>
      <c r="W83" s="431">
        <f t="shared" ref="W83:W94" si="59">SUM(K83:V83)</f>
        <v>22</v>
      </c>
    </row>
    <row r="84" spans="1:23" ht="13.5" customHeight="1" x14ac:dyDescent="0.35">
      <c r="A84" s="1113"/>
      <c r="B84" s="1113"/>
      <c r="C84" s="1114"/>
      <c r="D84" s="1115"/>
      <c r="E84" s="1116"/>
      <c r="F84" s="1117"/>
      <c r="G84" s="1113"/>
      <c r="H84" s="1118"/>
      <c r="I84" s="581" t="s">
        <v>31</v>
      </c>
      <c r="J84" s="431"/>
      <c r="K84" s="432">
        <f t="shared" si="47"/>
        <v>21</v>
      </c>
      <c r="L84" s="432">
        <f t="shared" si="48"/>
        <v>7</v>
      </c>
      <c r="M84" s="432">
        <f t="shared" si="49"/>
        <v>10</v>
      </c>
      <c r="N84" s="432">
        <f t="shared" si="50"/>
        <v>19</v>
      </c>
      <c r="O84" s="432">
        <f t="shared" si="51"/>
        <v>0</v>
      </c>
      <c r="P84" s="432">
        <f t="shared" si="52"/>
        <v>8</v>
      </c>
      <c r="Q84" s="432">
        <f t="shared" si="53"/>
        <v>0</v>
      </c>
      <c r="R84" s="432">
        <f t="shared" si="54"/>
        <v>0</v>
      </c>
      <c r="S84" s="432">
        <f t="shared" si="55"/>
        <v>0</v>
      </c>
      <c r="T84" s="432">
        <f t="shared" si="56"/>
        <v>0</v>
      </c>
      <c r="U84" s="432">
        <f t="shared" si="57"/>
        <v>0</v>
      </c>
      <c r="V84" s="432">
        <f t="shared" si="58"/>
        <v>0</v>
      </c>
      <c r="W84" s="431">
        <f t="shared" si="59"/>
        <v>65</v>
      </c>
    </row>
    <row r="85" spans="1:23" ht="13.5" customHeight="1" x14ac:dyDescent="0.35">
      <c r="A85" s="1113"/>
      <c r="B85" s="1113"/>
      <c r="C85" s="1114"/>
      <c r="D85" s="1115"/>
      <c r="E85" s="1116"/>
      <c r="F85" s="1117"/>
      <c r="G85" s="1113"/>
      <c r="H85" s="1118"/>
      <c r="I85" s="582" t="s">
        <v>35</v>
      </c>
      <c r="J85" s="431"/>
      <c r="K85" s="432">
        <f t="shared" si="47"/>
        <v>3</v>
      </c>
      <c r="L85" s="432">
        <f t="shared" si="48"/>
        <v>2</v>
      </c>
      <c r="M85" s="432">
        <f t="shared" si="49"/>
        <v>0</v>
      </c>
      <c r="N85" s="432">
        <f t="shared" si="50"/>
        <v>5</v>
      </c>
      <c r="O85" s="432">
        <f t="shared" si="51"/>
        <v>0</v>
      </c>
      <c r="P85" s="432">
        <f t="shared" si="52"/>
        <v>1</v>
      </c>
      <c r="Q85" s="432">
        <f t="shared" si="53"/>
        <v>0</v>
      </c>
      <c r="R85" s="432">
        <f t="shared" si="54"/>
        <v>0</v>
      </c>
      <c r="S85" s="432">
        <f t="shared" si="55"/>
        <v>0</v>
      </c>
      <c r="T85" s="432">
        <f t="shared" si="56"/>
        <v>0</v>
      </c>
      <c r="U85" s="432">
        <f t="shared" si="57"/>
        <v>0</v>
      </c>
      <c r="V85" s="432">
        <f t="shared" si="58"/>
        <v>0</v>
      </c>
      <c r="W85" s="431">
        <f t="shared" si="59"/>
        <v>11</v>
      </c>
    </row>
    <row r="86" spans="1:23" ht="13.5" customHeight="1" x14ac:dyDescent="0.35">
      <c r="A86" s="1113"/>
      <c r="B86" s="1113"/>
      <c r="C86" s="1114"/>
      <c r="D86" s="1115"/>
      <c r="E86" s="1116"/>
      <c r="F86" s="1117"/>
      <c r="G86" s="1113"/>
      <c r="H86" s="1118"/>
      <c r="I86" s="581" t="s">
        <v>37</v>
      </c>
      <c r="J86" s="431"/>
      <c r="K86" s="432">
        <f t="shared" si="47"/>
        <v>0</v>
      </c>
      <c r="L86" s="432">
        <f t="shared" si="48"/>
        <v>1</v>
      </c>
      <c r="M86" s="432">
        <f t="shared" si="49"/>
        <v>0</v>
      </c>
      <c r="N86" s="432">
        <f t="shared" si="50"/>
        <v>0</v>
      </c>
      <c r="O86" s="432">
        <f t="shared" si="51"/>
        <v>0</v>
      </c>
      <c r="P86" s="432">
        <f t="shared" si="52"/>
        <v>0</v>
      </c>
      <c r="Q86" s="432">
        <f t="shared" si="53"/>
        <v>0</v>
      </c>
      <c r="R86" s="432">
        <f t="shared" si="54"/>
        <v>0</v>
      </c>
      <c r="S86" s="432">
        <f t="shared" si="55"/>
        <v>0</v>
      </c>
      <c r="T86" s="432">
        <f t="shared" si="56"/>
        <v>0</v>
      </c>
      <c r="U86" s="432">
        <f t="shared" si="57"/>
        <v>0</v>
      </c>
      <c r="V86" s="432">
        <f t="shared" si="58"/>
        <v>0</v>
      </c>
      <c r="W86" s="431">
        <f t="shared" si="59"/>
        <v>1</v>
      </c>
    </row>
    <row r="87" spans="1:23" ht="13.5" customHeight="1" x14ac:dyDescent="0.35">
      <c r="A87" s="1113"/>
      <c r="B87" s="1113"/>
      <c r="C87" s="1114"/>
      <c r="D87" s="1115"/>
      <c r="E87" s="1116"/>
      <c r="F87" s="1117"/>
      <c r="G87" s="1113"/>
      <c r="H87" s="1118"/>
      <c r="I87" s="581" t="s">
        <v>41</v>
      </c>
      <c r="J87" s="431"/>
      <c r="K87" s="432">
        <f t="shared" si="47"/>
        <v>5</v>
      </c>
      <c r="L87" s="432">
        <f t="shared" si="48"/>
        <v>0</v>
      </c>
      <c r="M87" s="432">
        <f t="shared" si="49"/>
        <v>0</v>
      </c>
      <c r="N87" s="432">
        <f t="shared" si="50"/>
        <v>0</v>
      </c>
      <c r="O87" s="432">
        <f t="shared" si="51"/>
        <v>0</v>
      </c>
      <c r="P87" s="432">
        <f t="shared" si="52"/>
        <v>0</v>
      </c>
      <c r="Q87" s="432">
        <f t="shared" si="53"/>
        <v>0</v>
      </c>
      <c r="R87" s="432">
        <f t="shared" si="54"/>
        <v>0</v>
      </c>
      <c r="S87" s="432">
        <f t="shared" si="55"/>
        <v>0</v>
      </c>
      <c r="T87" s="432">
        <f t="shared" si="56"/>
        <v>0</v>
      </c>
      <c r="U87" s="432">
        <f t="shared" si="57"/>
        <v>0</v>
      </c>
      <c r="V87" s="432">
        <f t="shared" si="58"/>
        <v>0</v>
      </c>
      <c r="W87" s="431">
        <f t="shared" si="59"/>
        <v>5</v>
      </c>
    </row>
    <row r="88" spans="1:23" ht="13.5" customHeight="1" x14ac:dyDescent="0.35">
      <c r="A88" s="1113"/>
      <c r="B88" s="1113"/>
      <c r="C88" s="1114"/>
      <c r="D88" s="1115"/>
      <c r="E88" s="1116"/>
      <c r="F88" s="1117"/>
      <c r="G88" s="1113"/>
      <c r="H88" s="1118"/>
      <c r="I88" s="581" t="s">
        <v>44</v>
      </c>
      <c r="J88" s="431"/>
      <c r="K88" s="432">
        <f t="shared" si="47"/>
        <v>1</v>
      </c>
      <c r="L88" s="432">
        <f t="shared" si="48"/>
        <v>1</v>
      </c>
      <c r="M88" s="432">
        <f t="shared" si="49"/>
        <v>1</v>
      </c>
      <c r="N88" s="432">
        <f t="shared" si="50"/>
        <v>1</v>
      </c>
      <c r="O88" s="432">
        <f t="shared" si="51"/>
        <v>1</v>
      </c>
      <c r="P88" s="432">
        <f t="shared" si="52"/>
        <v>0</v>
      </c>
      <c r="Q88" s="432">
        <f t="shared" si="53"/>
        <v>0</v>
      </c>
      <c r="R88" s="432">
        <f t="shared" si="54"/>
        <v>0</v>
      </c>
      <c r="S88" s="432">
        <f t="shared" si="55"/>
        <v>0</v>
      </c>
      <c r="T88" s="432">
        <f t="shared" si="56"/>
        <v>0</v>
      </c>
      <c r="U88" s="432">
        <f t="shared" si="57"/>
        <v>0</v>
      </c>
      <c r="V88" s="432">
        <f t="shared" si="58"/>
        <v>0</v>
      </c>
      <c r="W88" s="431">
        <f t="shared" si="59"/>
        <v>5</v>
      </c>
    </row>
    <row r="89" spans="1:23" ht="13.5" customHeight="1" x14ac:dyDescent="0.35">
      <c r="A89" s="1113"/>
      <c r="B89" s="1113"/>
      <c r="C89" s="1114"/>
      <c r="D89" s="1115"/>
      <c r="E89" s="1116"/>
      <c r="F89" s="1117"/>
      <c r="G89" s="1113"/>
      <c r="H89" s="1118"/>
      <c r="I89" s="582" t="s">
        <v>47</v>
      </c>
      <c r="J89" s="431"/>
      <c r="K89" s="432">
        <f t="shared" si="47"/>
        <v>1</v>
      </c>
      <c r="L89" s="432">
        <f t="shared" si="48"/>
        <v>1</v>
      </c>
      <c r="M89" s="432">
        <f t="shared" si="49"/>
        <v>4</v>
      </c>
      <c r="N89" s="432">
        <f t="shared" si="50"/>
        <v>3</v>
      </c>
      <c r="O89" s="432">
        <f t="shared" si="51"/>
        <v>2</v>
      </c>
      <c r="P89" s="432">
        <f t="shared" si="52"/>
        <v>3</v>
      </c>
      <c r="Q89" s="432">
        <f t="shared" si="53"/>
        <v>0</v>
      </c>
      <c r="R89" s="432">
        <f t="shared" si="54"/>
        <v>0</v>
      </c>
      <c r="S89" s="432">
        <f t="shared" si="55"/>
        <v>0</v>
      </c>
      <c r="T89" s="432">
        <f t="shared" si="56"/>
        <v>0</v>
      </c>
      <c r="U89" s="432">
        <f t="shared" si="57"/>
        <v>0</v>
      </c>
      <c r="V89" s="432">
        <f t="shared" si="58"/>
        <v>0</v>
      </c>
      <c r="W89" s="431">
        <f t="shared" si="59"/>
        <v>14</v>
      </c>
    </row>
    <row r="90" spans="1:23" ht="13.5" customHeight="1" x14ac:dyDescent="0.35">
      <c r="A90" s="1113"/>
      <c r="B90" s="1113"/>
      <c r="C90" s="1114"/>
      <c r="D90" s="1115"/>
      <c r="E90" s="1116"/>
      <c r="F90" s="1117"/>
      <c r="G90" s="1113"/>
      <c r="H90" s="1118"/>
      <c r="I90" s="582" t="s">
        <v>50</v>
      </c>
      <c r="J90" s="431"/>
      <c r="K90" s="432">
        <f t="shared" si="47"/>
        <v>0</v>
      </c>
      <c r="L90" s="432">
        <f t="shared" si="48"/>
        <v>3</v>
      </c>
      <c r="M90" s="432">
        <f t="shared" si="49"/>
        <v>0</v>
      </c>
      <c r="N90" s="432">
        <f t="shared" si="50"/>
        <v>2</v>
      </c>
      <c r="O90" s="432">
        <f t="shared" si="51"/>
        <v>1</v>
      </c>
      <c r="P90" s="432">
        <f t="shared" si="52"/>
        <v>0</v>
      </c>
      <c r="Q90" s="432">
        <f t="shared" si="53"/>
        <v>0</v>
      </c>
      <c r="R90" s="432">
        <f t="shared" si="54"/>
        <v>0</v>
      </c>
      <c r="S90" s="432">
        <f t="shared" si="55"/>
        <v>0</v>
      </c>
      <c r="T90" s="432">
        <f t="shared" si="56"/>
        <v>0</v>
      </c>
      <c r="U90" s="432">
        <f t="shared" si="57"/>
        <v>0</v>
      </c>
      <c r="V90" s="432">
        <f t="shared" si="58"/>
        <v>0</v>
      </c>
      <c r="W90" s="431">
        <f t="shared" si="59"/>
        <v>6</v>
      </c>
    </row>
    <row r="91" spans="1:23" ht="13.5" customHeight="1" x14ac:dyDescent="0.35">
      <c r="A91" s="1113"/>
      <c r="B91" s="1113"/>
      <c r="C91" s="1114"/>
      <c r="D91" s="1115"/>
      <c r="E91" s="1116"/>
      <c r="F91" s="1117"/>
      <c r="G91" s="1113"/>
      <c r="H91" s="1118"/>
      <c r="I91" s="582" t="s">
        <v>53</v>
      </c>
      <c r="J91" s="431"/>
      <c r="K91" s="432">
        <f t="shared" si="47"/>
        <v>0</v>
      </c>
      <c r="L91" s="432">
        <f t="shared" si="48"/>
        <v>0</v>
      </c>
      <c r="M91" s="432">
        <f t="shared" si="49"/>
        <v>0</v>
      </c>
      <c r="N91" s="432">
        <f t="shared" si="50"/>
        <v>3</v>
      </c>
      <c r="O91" s="432">
        <f t="shared" si="51"/>
        <v>0</v>
      </c>
      <c r="P91" s="432">
        <f t="shared" si="52"/>
        <v>0</v>
      </c>
      <c r="Q91" s="432">
        <f t="shared" si="53"/>
        <v>0</v>
      </c>
      <c r="R91" s="432">
        <f t="shared" si="54"/>
        <v>0</v>
      </c>
      <c r="S91" s="432">
        <f t="shared" si="55"/>
        <v>0</v>
      </c>
      <c r="T91" s="432">
        <f t="shared" si="56"/>
        <v>0</v>
      </c>
      <c r="U91" s="432">
        <f t="shared" si="57"/>
        <v>0</v>
      </c>
      <c r="V91" s="432">
        <f t="shared" si="58"/>
        <v>0</v>
      </c>
      <c r="W91" s="431">
        <f t="shared" si="59"/>
        <v>3</v>
      </c>
    </row>
    <row r="92" spans="1:23" ht="13.5" customHeight="1" x14ac:dyDescent="0.35">
      <c r="A92" s="1113"/>
      <c r="B92" s="1113"/>
      <c r="C92" s="1114"/>
      <c r="D92" s="1115"/>
      <c r="E92" s="1116"/>
      <c r="F92" s="1117"/>
      <c r="G92" s="1113"/>
      <c r="H92" s="1118"/>
      <c r="I92" s="582" t="s">
        <v>56</v>
      </c>
      <c r="J92" s="431"/>
      <c r="K92" s="432">
        <f t="shared" si="47"/>
        <v>1</v>
      </c>
      <c r="L92" s="432">
        <f t="shared" si="48"/>
        <v>0</v>
      </c>
      <c r="M92" s="432">
        <f t="shared" si="49"/>
        <v>2</v>
      </c>
      <c r="N92" s="432">
        <f t="shared" si="50"/>
        <v>1</v>
      </c>
      <c r="O92" s="432">
        <f t="shared" si="51"/>
        <v>0</v>
      </c>
      <c r="P92" s="432">
        <f t="shared" si="52"/>
        <v>0</v>
      </c>
      <c r="Q92" s="432">
        <f t="shared" si="53"/>
        <v>0</v>
      </c>
      <c r="R92" s="432">
        <f t="shared" si="54"/>
        <v>0</v>
      </c>
      <c r="S92" s="432">
        <f t="shared" si="55"/>
        <v>0</v>
      </c>
      <c r="T92" s="432">
        <f t="shared" si="56"/>
        <v>0</v>
      </c>
      <c r="U92" s="432">
        <f t="shared" si="57"/>
        <v>0</v>
      </c>
      <c r="V92" s="432">
        <f t="shared" si="58"/>
        <v>0</v>
      </c>
      <c r="W92" s="431">
        <f t="shared" si="59"/>
        <v>4</v>
      </c>
    </row>
    <row r="93" spans="1:23" ht="13.5" customHeight="1" x14ac:dyDescent="0.35">
      <c r="A93" s="1113"/>
      <c r="B93" s="1113"/>
      <c r="C93" s="1114"/>
      <c r="D93" s="1115"/>
      <c r="E93" s="1116"/>
      <c r="F93" s="1117"/>
      <c r="G93" s="1113"/>
      <c r="H93" s="1118"/>
      <c r="I93" s="582" t="s">
        <v>59</v>
      </c>
      <c r="J93" s="431"/>
      <c r="K93" s="432">
        <f t="shared" si="47"/>
        <v>3</v>
      </c>
      <c r="L93" s="432">
        <f t="shared" si="48"/>
        <v>2</v>
      </c>
      <c r="M93" s="432">
        <f t="shared" si="49"/>
        <v>6</v>
      </c>
      <c r="N93" s="432">
        <f t="shared" si="50"/>
        <v>1</v>
      </c>
      <c r="O93" s="432">
        <f t="shared" si="51"/>
        <v>0</v>
      </c>
      <c r="P93" s="432">
        <f t="shared" si="52"/>
        <v>2</v>
      </c>
      <c r="Q93" s="432">
        <f t="shared" si="53"/>
        <v>0</v>
      </c>
      <c r="R93" s="432">
        <f t="shared" si="54"/>
        <v>0</v>
      </c>
      <c r="S93" s="432">
        <f t="shared" si="55"/>
        <v>0</v>
      </c>
      <c r="T93" s="432">
        <f t="shared" si="56"/>
        <v>0</v>
      </c>
      <c r="U93" s="432">
        <f t="shared" si="57"/>
        <v>0</v>
      </c>
      <c r="V93" s="432">
        <f t="shared" si="58"/>
        <v>0</v>
      </c>
      <c r="W93" s="431">
        <f t="shared" si="59"/>
        <v>14</v>
      </c>
    </row>
    <row r="94" spans="1:23" ht="13.5" customHeight="1" x14ac:dyDescent="0.35">
      <c r="A94" s="1113"/>
      <c r="B94" s="1113"/>
      <c r="C94" s="1114"/>
      <c r="D94" s="1115"/>
      <c r="E94" s="1116"/>
      <c r="F94" s="1117"/>
      <c r="G94" s="1113"/>
      <c r="H94" s="1118"/>
      <c r="I94" s="984" t="s">
        <v>62</v>
      </c>
      <c r="J94" s="431"/>
      <c r="K94" s="432">
        <f t="shared" si="47"/>
        <v>8</v>
      </c>
      <c r="L94" s="432">
        <f t="shared" si="48"/>
        <v>2</v>
      </c>
      <c r="M94" s="432">
        <f t="shared" si="49"/>
        <v>4</v>
      </c>
      <c r="N94" s="432">
        <f t="shared" si="50"/>
        <v>1</v>
      </c>
      <c r="O94" s="432">
        <f t="shared" si="51"/>
        <v>3</v>
      </c>
      <c r="P94" s="432">
        <f t="shared" si="52"/>
        <v>2</v>
      </c>
      <c r="Q94" s="432">
        <f t="shared" si="53"/>
        <v>0</v>
      </c>
      <c r="R94" s="432">
        <f t="shared" si="54"/>
        <v>0</v>
      </c>
      <c r="S94" s="432">
        <f t="shared" si="55"/>
        <v>0</v>
      </c>
      <c r="T94" s="432">
        <f t="shared" si="56"/>
        <v>0</v>
      </c>
      <c r="U94" s="432">
        <f t="shared" si="57"/>
        <v>0</v>
      </c>
      <c r="V94" s="432">
        <f t="shared" si="58"/>
        <v>0</v>
      </c>
      <c r="W94" s="431">
        <f t="shared" si="59"/>
        <v>20</v>
      </c>
    </row>
    <row r="95" spans="1:23" ht="14.25" customHeight="1" thickBot="1" x14ac:dyDescent="0.45">
      <c r="A95" s="1113"/>
      <c r="B95" s="1119"/>
      <c r="C95" s="1114"/>
      <c r="D95" s="1115"/>
      <c r="E95" s="1116"/>
      <c r="F95" s="1117"/>
      <c r="G95" s="1113"/>
      <c r="H95" s="1118"/>
      <c r="I95" s="824" t="s">
        <v>63</v>
      </c>
      <c r="J95" s="825"/>
      <c r="K95" s="909">
        <f t="shared" ref="K95:W95" si="60">SUM(K83:K94)</f>
        <v>47</v>
      </c>
      <c r="L95" s="909">
        <f t="shared" si="60"/>
        <v>22</v>
      </c>
      <c r="M95" s="909">
        <f t="shared" si="60"/>
        <v>28</v>
      </c>
      <c r="N95" s="909">
        <f t="shared" si="60"/>
        <v>44</v>
      </c>
      <c r="O95" s="909">
        <f t="shared" si="60"/>
        <v>10</v>
      </c>
      <c r="P95" s="909">
        <f t="shared" si="60"/>
        <v>19</v>
      </c>
      <c r="Q95" s="909">
        <f t="shared" si="60"/>
        <v>0</v>
      </c>
      <c r="R95" s="909">
        <f t="shared" si="60"/>
        <v>0</v>
      </c>
      <c r="S95" s="909">
        <f t="shared" si="60"/>
        <v>0</v>
      </c>
      <c r="T95" s="909">
        <f t="shared" si="60"/>
        <v>0</v>
      </c>
      <c r="U95" s="909">
        <f t="shared" si="60"/>
        <v>0</v>
      </c>
      <c r="V95" s="909">
        <f t="shared" si="60"/>
        <v>0</v>
      </c>
      <c r="W95" s="825">
        <f t="shared" si="60"/>
        <v>170</v>
      </c>
    </row>
    <row r="96" spans="1:23" ht="13.9" customHeight="1" thickTop="1" x14ac:dyDescent="0.35">
      <c r="A96" s="1113"/>
      <c r="B96" s="1113"/>
      <c r="C96" s="1114"/>
      <c r="D96" s="1115"/>
      <c r="E96" s="1116"/>
      <c r="F96" s="1117"/>
      <c r="G96" s="1113"/>
      <c r="H96" s="1118"/>
    </row>
    <row r="97" spans="1:26" ht="13.9" customHeight="1" x14ac:dyDescent="0.4">
      <c r="A97" s="1113"/>
      <c r="B97" s="1113"/>
      <c r="C97" s="1114"/>
      <c r="D97" s="1115"/>
      <c r="E97" s="1116"/>
      <c r="F97" s="1117"/>
      <c r="G97" s="1113"/>
      <c r="H97" s="1118"/>
      <c r="I97" s="420" t="s">
        <v>140</v>
      </c>
      <c r="J97" s="557" t="s">
        <v>155</v>
      </c>
      <c r="K97" s="577" t="s">
        <v>142</v>
      </c>
      <c r="L97" s="577" t="s">
        <v>143</v>
      </c>
      <c r="M97" s="577" t="s">
        <v>144</v>
      </c>
      <c r="N97" s="577" t="s">
        <v>145</v>
      </c>
      <c r="O97" s="577" t="s">
        <v>146</v>
      </c>
      <c r="P97" s="577" t="s">
        <v>147</v>
      </c>
      <c r="Q97" s="577" t="s">
        <v>148</v>
      </c>
      <c r="R97" s="577" t="s">
        <v>149</v>
      </c>
      <c r="S97" s="577" t="s">
        <v>150</v>
      </c>
      <c r="T97" s="577" t="s">
        <v>151</v>
      </c>
      <c r="U97" s="577" t="s">
        <v>152</v>
      </c>
      <c r="V97" s="577" t="s">
        <v>153</v>
      </c>
      <c r="W97" s="577" t="s">
        <v>19</v>
      </c>
    </row>
    <row r="98" spans="1:26" ht="13.5" customHeight="1" x14ac:dyDescent="0.35">
      <c r="A98" s="1113"/>
      <c r="B98" s="1113"/>
      <c r="C98" s="1114"/>
      <c r="D98" s="1115"/>
      <c r="E98" s="1116"/>
      <c r="F98" s="1117"/>
      <c r="G98" s="1113"/>
      <c r="H98" s="1118"/>
      <c r="I98" s="581" t="s">
        <v>28</v>
      </c>
      <c r="J98" s="431"/>
      <c r="K98" s="432">
        <f t="shared" ref="K98:W98" si="61">IFERROR(K6/K83,0)</f>
        <v>187.5</v>
      </c>
      <c r="L98" s="432">
        <f t="shared" si="61"/>
        <v>150</v>
      </c>
      <c r="M98" s="432">
        <f t="shared" si="61"/>
        <v>150</v>
      </c>
      <c r="N98" s="432">
        <f t="shared" si="61"/>
        <v>93.75</v>
      </c>
      <c r="O98" s="432">
        <f t="shared" si="61"/>
        <v>96.666666666666671</v>
      </c>
      <c r="P98" s="432">
        <f t="shared" si="61"/>
        <v>100</v>
      </c>
      <c r="Q98" s="432">
        <f t="shared" si="61"/>
        <v>0</v>
      </c>
      <c r="R98" s="432">
        <f t="shared" si="61"/>
        <v>0</v>
      </c>
      <c r="S98" s="432">
        <f t="shared" si="61"/>
        <v>0</v>
      </c>
      <c r="T98" s="432">
        <f t="shared" si="61"/>
        <v>0</v>
      </c>
      <c r="U98" s="432">
        <f t="shared" si="61"/>
        <v>0</v>
      </c>
      <c r="V98" s="432">
        <f t="shared" si="61"/>
        <v>0</v>
      </c>
      <c r="W98" s="431">
        <f t="shared" si="61"/>
        <v>122.27272727272727</v>
      </c>
    </row>
    <row r="99" spans="1:26" ht="13.5" customHeight="1" x14ac:dyDescent="0.35">
      <c r="A99" s="1113"/>
      <c r="B99" s="1113"/>
      <c r="C99" s="1114"/>
      <c r="D99" s="1115"/>
      <c r="E99" s="1116"/>
      <c r="F99" s="1117"/>
      <c r="G99" s="1113"/>
      <c r="H99" s="1118"/>
      <c r="I99" s="581" t="s">
        <v>31</v>
      </c>
      <c r="J99" s="431"/>
      <c r="K99" s="432">
        <f t="shared" ref="K99:W99" si="62">IFERROR(K7/K84,0)</f>
        <v>55.142857142857146</v>
      </c>
      <c r="L99" s="432">
        <f t="shared" si="62"/>
        <v>85</v>
      </c>
      <c r="M99" s="432">
        <f t="shared" si="62"/>
        <v>70.599999999999994</v>
      </c>
      <c r="N99" s="432">
        <f t="shared" si="62"/>
        <v>116.78947368421052</v>
      </c>
      <c r="O99" s="432">
        <f t="shared" si="62"/>
        <v>0</v>
      </c>
      <c r="P99" s="432">
        <f t="shared" si="62"/>
        <v>85.875</v>
      </c>
      <c r="Q99" s="432">
        <f t="shared" si="62"/>
        <v>0</v>
      </c>
      <c r="R99" s="432">
        <f t="shared" si="62"/>
        <v>0</v>
      </c>
      <c r="S99" s="432">
        <f t="shared" si="62"/>
        <v>0</v>
      </c>
      <c r="T99" s="432">
        <f t="shared" si="62"/>
        <v>0</v>
      </c>
      <c r="U99" s="432">
        <f t="shared" si="62"/>
        <v>0</v>
      </c>
      <c r="V99" s="432">
        <f t="shared" si="62"/>
        <v>0</v>
      </c>
      <c r="W99" s="431">
        <f t="shared" si="62"/>
        <v>82.538461538461533</v>
      </c>
    </row>
    <row r="100" spans="1:26" ht="13.5" customHeight="1" x14ac:dyDescent="0.35">
      <c r="A100" s="1113"/>
      <c r="B100" s="1113"/>
      <c r="C100" s="1114"/>
      <c r="D100" s="1115"/>
      <c r="E100" s="1116"/>
      <c r="F100" s="1117"/>
      <c r="G100" s="1113"/>
      <c r="H100" s="1118"/>
      <c r="I100" s="582" t="s">
        <v>35</v>
      </c>
      <c r="J100" s="431"/>
      <c r="K100" s="432">
        <f t="shared" ref="K100:W100" si="63">IFERROR(K8/K85,0)</f>
        <v>725</v>
      </c>
      <c r="L100" s="432">
        <f t="shared" si="63"/>
        <v>1207.5</v>
      </c>
      <c r="M100" s="432">
        <f t="shared" si="63"/>
        <v>0</v>
      </c>
      <c r="N100" s="432">
        <f t="shared" si="63"/>
        <v>544</v>
      </c>
      <c r="O100" s="432">
        <f t="shared" si="63"/>
        <v>0</v>
      </c>
      <c r="P100" s="432">
        <f t="shared" si="63"/>
        <v>575</v>
      </c>
      <c r="Q100" s="432">
        <f t="shared" si="63"/>
        <v>0</v>
      </c>
      <c r="R100" s="432">
        <f t="shared" si="63"/>
        <v>0</v>
      </c>
      <c r="S100" s="432">
        <f t="shared" si="63"/>
        <v>0</v>
      </c>
      <c r="T100" s="432">
        <f t="shared" si="63"/>
        <v>0</v>
      </c>
      <c r="U100" s="432">
        <f t="shared" si="63"/>
        <v>0</v>
      </c>
      <c r="V100" s="432">
        <f t="shared" si="63"/>
        <v>0</v>
      </c>
      <c r="W100" s="431">
        <f t="shared" si="63"/>
        <v>716.81818181818187</v>
      </c>
    </row>
    <row r="101" spans="1:26" ht="13.5" customHeight="1" x14ac:dyDescent="0.35">
      <c r="A101" s="1113"/>
      <c r="B101" s="1113"/>
      <c r="C101" s="1114"/>
      <c r="D101" s="1115"/>
      <c r="E101" s="1116"/>
      <c r="F101" s="1117"/>
      <c r="G101" s="1113"/>
      <c r="H101" s="1118"/>
      <c r="I101" s="581" t="s">
        <v>37</v>
      </c>
      <c r="J101" s="431"/>
      <c r="K101" s="432">
        <f t="shared" ref="K101:W101" si="64">IFERROR(K9/K86,0)</f>
        <v>0</v>
      </c>
      <c r="L101" s="432">
        <f t="shared" si="64"/>
        <v>286</v>
      </c>
      <c r="M101" s="432">
        <f t="shared" si="64"/>
        <v>0</v>
      </c>
      <c r="N101" s="432">
        <f t="shared" si="64"/>
        <v>0</v>
      </c>
      <c r="O101" s="432">
        <f t="shared" si="64"/>
        <v>0</v>
      </c>
      <c r="P101" s="432">
        <f t="shared" si="64"/>
        <v>0</v>
      </c>
      <c r="Q101" s="432">
        <f t="shared" si="64"/>
        <v>0</v>
      </c>
      <c r="R101" s="432">
        <f t="shared" si="64"/>
        <v>0</v>
      </c>
      <c r="S101" s="432">
        <f t="shared" si="64"/>
        <v>0</v>
      </c>
      <c r="T101" s="432">
        <f t="shared" si="64"/>
        <v>0</v>
      </c>
      <c r="U101" s="432">
        <f t="shared" si="64"/>
        <v>0</v>
      </c>
      <c r="V101" s="432">
        <f t="shared" si="64"/>
        <v>0</v>
      </c>
      <c r="W101" s="431">
        <f t="shared" si="64"/>
        <v>286</v>
      </c>
    </row>
    <row r="102" spans="1:26" ht="13.5" customHeight="1" x14ac:dyDescent="0.35">
      <c r="A102" s="1113"/>
      <c r="B102" s="1113"/>
      <c r="C102" s="1114"/>
      <c r="D102" s="1115"/>
      <c r="E102" s="1116"/>
      <c r="F102" s="1117"/>
      <c r="G102" s="1113"/>
      <c r="H102" s="1118"/>
      <c r="I102" s="581" t="s">
        <v>41</v>
      </c>
      <c r="J102" s="431"/>
      <c r="K102" s="432">
        <f t="shared" ref="K102:W102" si="65">IFERROR(K10/K87,0)</f>
        <v>-204</v>
      </c>
      <c r="L102" s="432">
        <f t="shared" si="65"/>
        <v>0</v>
      </c>
      <c r="M102" s="432">
        <f t="shared" si="65"/>
        <v>0</v>
      </c>
      <c r="N102" s="432">
        <f t="shared" si="65"/>
        <v>0</v>
      </c>
      <c r="O102" s="432">
        <f t="shared" si="65"/>
        <v>0</v>
      </c>
      <c r="P102" s="432">
        <f t="shared" si="65"/>
        <v>0</v>
      </c>
      <c r="Q102" s="432">
        <f t="shared" si="65"/>
        <v>0</v>
      </c>
      <c r="R102" s="432">
        <f t="shared" si="65"/>
        <v>0</v>
      </c>
      <c r="S102" s="432">
        <f t="shared" si="65"/>
        <v>0</v>
      </c>
      <c r="T102" s="432">
        <f t="shared" si="65"/>
        <v>0</v>
      </c>
      <c r="U102" s="432">
        <f t="shared" si="65"/>
        <v>0</v>
      </c>
      <c r="V102" s="432">
        <f t="shared" si="65"/>
        <v>0</v>
      </c>
      <c r="W102" s="431">
        <f t="shared" si="65"/>
        <v>-204</v>
      </c>
    </row>
    <row r="103" spans="1:26" ht="13.5" customHeight="1" x14ac:dyDescent="0.35">
      <c r="A103" s="1113"/>
      <c r="B103" s="1113"/>
      <c r="C103" s="1114"/>
      <c r="D103" s="1115"/>
      <c r="E103" s="1116"/>
      <c r="F103" s="1117"/>
      <c r="G103" s="1113"/>
      <c r="H103" s="1118"/>
      <c r="I103" s="581" t="s">
        <v>44</v>
      </c>
      <c r="J103" s="431"/>
      <c r="K103" s="432">
        <f t="shared" ref="K103:W103" si="66">IFERROR(K11/K88,0)</f>
        <v>20</v>
      </c>
      <c r="L103" s="432">
        <f t="shared" si="66"/>
        <v>20</v>
      </c>
      <c r="M103" s="432">
        <f t="shared" si="66"/>
        <v>20</v>
      </c>
      <c r="N103" s="432">
        <f t="shared" si="66"/>
        <v>20</v>
      </c>
      <c r="O103" s="432">
        <f t="shared" si="66"/>
        <v>20</v>
      </c>
      <c r="P103" s="432">
        <f t="shared" si="66"/>
        <v>0</v>
      </c>
      <c r="Q103" s="432">
        <f t="shared" si="66"/>
        <v>0</v>
      </c>
      <c r="R103" s="432">
        <f t="shared" si="66"/>
        <v>0</v>
      </c>
      <c r="S103" s="432">
        <f t="shared" si="66"/>
        <v>0</v>
      </c>
      <c r="T103" s="432">
        <f t="shared" si="66"/>
        <v>0</v>
      </c>
      <c r="U103" s="432">
        <f t="shared" si="66"/>
        <v>0</v>
      </c>
      <c r="V103" s="432">
        <f t="shared" si="66"/>
        <v>0</v>
      </c>
      <c r="W103" s="431">
        <f t="shared" si="66"/>
        <v>20</v>
      </c>
    </row>
    <row r="104" spans="1:26" ht="13.5" customHeight="1" x14ac:dyDescent="0.35">
      <c r="A104" s="1113"/>
      <c r="B104" s="1113"/>
      <c r="C104" s="1114"/>
      <c r="D104" s="1115"/>
      <c r="E104" s="1116"/>
      <c r="F104" s="1117"/>
      <c r="G104" s="1113"/>
      <c r="H104" s="1118"/>
      <c r="I104" s="582" t="s">
        <v>47</v>
      </c>
      <c r="J104" s="431"/>
      <c r="K104" s="432">
        <f t="shared" ref="K104:W104" si="67">IFERROR(K12/K89,0)</f>
        <v>300</v>
      </c>
      <c r="L104" s="432">
        <f t="shared" si="67"/>
        <v>50</v>
      </c>
      <c r="M104" s="432">
        <f t="shared" si="67"/>
        <v>192.5</v>
      </c>
      <c r="N104" s="432">
        <f t="shared" si="67"/>
        <v>63.333333333333336</v>
      </c>
      <c r="O104" s="432">
        <f t="shared" si="67"/>
        <v>65</v>
      </c>
      <c r="P104" s="432">
        <f t="shared" si="67"/>
        <v>71.666666666666671</v>
      </c>
      <c r="Q104" s="432">
        <f t="shared" si="67"/>
        <v>0</v>
      </c>
      <c r="R104" s="432">
        <f t="shared" si="67"/>
        <v>0</v>
      </c>
      <c r="S104" s="432">
        <f t="shared" si="67"/>
        <v>0</v>
      </c>
      <c r="T104" s="432">
        <f t="shared" si="67"/>
        <v>0</v>
      </c>
      <c r="U104" s="432">
        <f t="shared" si="67"/>
        <v>0</v>
      </c>
      <c r="V104" s="432">
        <f t="shared" si="67"/>
        <v>0</v>
      </c>
      <c r="W104" s="431">
        <f t="shared" si="67"/>
        <v>118.21428571428571</v>
      </c>
    </row>
    <row r="105" spans="1:26" ht="13.5" customHeight="1" x14ac:dyDescent="0.35">
      <c r="A105" s="1113"/>
      <c r="B105" s="1113"/>
      <c r="C105" s="1114"/>
      <c r="D105" s="1115"/>
      <c r="E105" s="1116"/>
      <c r="F105" s="1117"/>
      <c r="G105" s="1113"/>
      <c r="H105" s="1118"/>
      <c r="I105" s="582" t="s">
        <v>50</v>
      </c>
      <c r="J105" s="431"/>
      <c r="K105" s="432">
        <f t="shared" ref="K105:W105" si="68">IFERROR(K13/K90,0)</f>
        <v>0</v>
      </c>
      <c r="L105" s="432">
        <f t="shared" si="68"/>
        <v>150</v>
      </c>
      <c r="M105" s="432">
        <f t="shared" si="68"/>
        <v>0</v>
      </c>
      <c r="N105" s="432">
        <f t="shared" si="68"/>
        <v>100</v>
      </c>
      <c r="O105" s="432">
        <f t="shared" si="68"/>
        <v>150</v>
      </c>
      <c r="P105" s="432">
        <f t="shared" si="68"/>
        <v>0</v>
      </c>
      <c r="Q105" s="432">
        <f t="shared" si="68"/>
        <v>0</v>
      </c>
      <c r="R105" s="432">
        <f t="shared" si="68"/>
        <v>0</v>
      </c>
      <c r="S105" s="432">
        <f t="shared" si="68"/>
        <v>0</v>
      </c>
      <c r="T105" s="432">
        <f t="shared" si="68"/>
        <v>0</v>
      </c>
      <c r="U105" s="432">
        <f t="shared" si="68"/>
        <v>0</v>
      </c>
      <c r="V105" s="432">
        <f t="shared" si="68"/>
        <v>0</v>
      </c>
      <c r="W105" s="431">
        <f t="shared" si="68"/>
        <v>133.33333333333334</v>
      </c>
    </row>
    <row r="106" spans="1:26" ht="13.5" customHeight="1" x14ac:dyDescent="0.35">
      <c r="A106" s="1113"/>
      <c r="B106" s="1113"/>
      <c r="C106" s="1114"/>
      <c r="D106" s="1115"/>
      <c r="E106" s="1116"/>
      <c r="F106" s="1117"/>
      <c r="G106" s="1113"/>
      <c r="H106" s="1118"/>
      <c r="I106" s="582" t="s">
        <v>53</v>
      </c>
      <c r="J106" s="431"/>
      <c r="K106" s="432">
        <f t="shared" ref="K106:W106" si="69">IFERROR(K14/K91,0)</f>
        <v>0</v>
      </c>
      <c r="L106" s="432">
        <f t="shared" si="69"/>
        <v>0</v>
      </c>
      <c r="M106" s="432">
        <f t="shared" si="69"/>
        <v>0</v>
      </c>
      <c r="N106" s="432">
        <f t="shared" si="69"/>
        <v>-108.33333333333333</v>
      </c>
      <c r="O106" s="432">
        <f t="shared" si="69"/>
        <v>0</v>
      </c>
      <c r="P106" s="432">
        <f t="shared" si="69"/>
        <v>0</v>
      </c>
      <c r="Q106" s="432">
        <f t="shared" si="69"/>
        <v>0</v>
      </c>
      <c r="R106" s="432">
        <f t="shared" si="69"/>
        <v>0</v>
      </c>
      <c r="S106" s="432">
        <f t="shared" si="69"/>
        <v>0</v>
      </c>
      <c r="T106" s="432">
        <f t="shared" si="69"/>
        <v>0</v>
      </c>
      <c r="U106" s="432">
        <f t="shared" si="69"/>
        <v>0</v>
      </c>
      <c r="V106" s="432">
        <f t="shared" si="69"/>
        <v>0</v>
      </c>
      <c r="W106" s="431">
        <f t="shared" si="69"/>
        <v>-108.33333333333333</v>
      </c>
    </row>
    <row r="107" spans="1:26" ht="13.5" customHeight="1" x14ac:dyDescent="0.35">
      <c r="A107" s="1113"/>
      <c r="B107" s="1113"/>
      <c r="C107" s="1114"/>
      <c r="D107" s="1115"/>
      <c r="E107" s="1116"/>
      <c r="F107" s="1117"/>
      <c r="G107" s="1113"/>
      <c r="H107" s="1118"/>
      <c r="I107" s="582" t="s">
        <v>56</v>
      </c>
      <c r="J107" s="431"/>
      <c r="K107" s="432">
        <f t="shared" ref="K107:W107" si="70">IFERROR(K15/K92,0)</f>
        <v>236.67</v>
      </c>
      <c r="L107" s="432">
        <f t="shared" si="70"/>
        <v>0</v>
      </c>
      <c r="M107" s="432">
        <f t="shared" si="70"/>
        <v>70.81</v>
      </c>
      <c r="N107" s="432">
        <f t="shared" si="70"/>
        <v>32.75</v>
      </c>
      <c r="O107" s="432">
        <f t="shared" si="70"/>
        <v>0</v>
      </c>
      <c r="P107" s="432">
        <f t="shared" si="70"/>
        <v>0</v>
      </c>
      <c r="Q107" s="432">
        <f t="shared" si="70"/>
        <v>0</v>
      </c>
      <c r="R107" s="432">
        <f t="shared" si="70"/>
        <v>0</v>
      </c>
      <c r="S107" s="432">
        <f t="shared" si="70"/>
        <v>0</v>
      </c>
      <c r="T107" s="432">
        <f t="shared" si="70"/>
        <v>0</v>
      </c>
      <c r="U107" s="432">
        <f t="shared" si="70"/>
        <v>0</v>
      </c>
      <c r="V107" s="432">
        <f t="shared" si="70"/>
        <v>0</v>
      </c>
      <c r="W107" s="431">
        <f t="shared" si="70"/>
        <v>102.75999999999999</v>
      </c>
    </row>
    <row r="108" spans="1:26" ht="13.5" customHeight="1" x14ac:dyDescent="0.35">
      <c r="A108" s="1113"/>
      <c r="B108" s="1113"/>
      <c r="C108" s="1114"/>
      <c r="D108" s="1115"/>
      <c r="E108" s="1116"/>
      <c r="F108" s="1117"/>
      <c r="G108" s="1113"/>
      <c r="H108" s="1118"/>
      <c r="I108" s="582" t="s">
        <v>59</v>
      </c>
      <c r="J108" s="431"/>
      <c r="K108" s="432">
        <f t="shared" ref="K108:W108" si="71">IFERROR(K16/K93,0)</f>
        <v>200</v>
      </c>
      <c r="L108" s="432">
        <f t="shared" si="71"/>
        <v>75</v>
      </c>
      <c r="M108" s="432">
        <f t="shared" si="71"/>
        <v>215.83333333333334</v>
      </c>
      <c r="N108" s="432">
        <f t="shared" si="71"/>
        <v>200</v>
      </c>
      <c r="O108" s="432">
        <f t="shared" si="71"/>
        <v>0</v>
      </c>
      <c r="P108" s="432">
        <f t="shared" si="71"/>
        <v>310</v>
      </c>
      <c r="Q108" s="432">
        <f t="shared" si="71"/>
        <v>0</v>
      </c>
      <c r="R108" s="432">
        <f t="shared" si="71"/>
        <v>0</v>
      </c>
      <c r="S108" s="432">
        <f t="shared" si="71"/>
        <v>0</v>
      </c>
      <c r="T108" s="432">
        <f t="shared" si="71"/>
        <v>0</v>
      </c>
      <c r="U108" s="432">
        <f t="shared" si="71"/>
        <v>0</v>
      </c>
      <c r="V108" s="432">
        <f t="shared" si="71"/>
        <v>0</v>
      </c>
      <c r="W108" s="431">
        <f t="shared" si="71"/>
        <v>204.64285714285714</v>
      </c>
    </row>
    <row r="109" spans="1:26" ht="13.5" customHeight="1" x14ac:dyDescent="0.35">
      <c r="A109" s="1113"/>
      <c r="B109" s="1113"/>
      <c r="C109" s="1114"/>
      <c r="D109" s="1115"/>
      <c r="E109" s="1116"/>
      <c r="F109" s="1117"/>
      <c r="G109" s="1113"/>
      <c r="H109" s="1118"/>
      <c r="I109" s="984" t="s">
        <v>62</v>
      </c>
      <c r="J109" s="431"/>
      <c r="K109" s="432">
        <f t="shared" ref="K109:W109" si="72">IFERROR(K17/K94,0)</f>
        <v>69.125</v>
      </c>
      <c r="L109" s="432">
        <f t="shared" si="72"/>
        <v>79</v>
      </c>
      <c r="M109" s="432">
        <f t="shared" si="72"/>
        <v>79</v>
      </c>
      <c r="N109" s="432">
        <f t="shared" si="72"/>
        <v>59</v>
      </c>
      <c r="O109" s="432">
        <f t="shared" si="72"/>
        <v>72.333333333333329</v>
      </c>
      <c r="P109" s="432">
        <f t="shared" si="72"/>
        <v>59</v>
      </c>
      <c r="Q109" s="432">
        <f t="shared" si="72"/>
        <v>0</v>
      </c>
      <c r="R109" s="432">
        <f t="shared" si="72"/>
        <v>0</v>
      </c>
      <c r="S109" s="432">
        <f t="shared" si="72"/>
        <v>0</v>
      </c>
      <c r="T109" s="432">
        <f t="shared" si="72"/>
        <v>0</v>
      </c>
      <c r="U109" s="432">
        <f t="shared" si="72"/>
        <v>0</v>
      </c>
      <c r="V109" s="432">
        <f t="shared" si="72"/>
        <v>0</v>
      </c>
      <c r="W109" s="431">
        <f t="shared" si="72"/>
        <v>71.05</v>
      </c>
    </row>
    <row r="110" spans="1:26" ht="14.25" customHeight="1" thickBot="1" x14ac:dyDescent="0.45">
      <c r="A110" s="1113"/>
      <c r="B110" s="1113"/>
      <c r="C110" s="1114"/>
      <c r="D110" s="1115"/>
      <c r="E110" s="1116"/>
      <c r="F110" s="1117"/>
      <c r="G110" s="1113"/>
      <c r="H110" s="1118"/>
      <c r="I110" s="824" t="s">
        <v>63</v>
      </c>
      <c r="J110" s="825"/>
      <c r="K110" s="910">
        <f t="shared" ref="K110:W110" si="73">IFERROR(K18/K95,0)</f>
        <v>101.54617021276596</v>
      </c>
      <c r="L110" s="910">
        <f t="shared" si="73"/>
        <v>207.90909090909091</v>
      </c>
      <c r="M110" s="910">
        <f t="shared" si="73"/>
        <v>121.37928571428571</v>
      </c>
      <c r="N110" s="910">
        <f t="shared" si="73"/>
        <v>137.85795454545453</v>
      </c>
      <c r="O110" s="910">
        <f t="shared" si="73"/>
        <v>80.7</v>
      </c>
      <c r="P110" s="910">
        <f t="shared" si="73"/>
        <v>132.36842105263159</v>
      </c>
      <c r="Q110" s="910">
        <f t="shared" si="73"/>
        <v>0</v>
      </c>
      <c r="R110" s="910">
        <f t="shared" si="73"/>
        <v>0</v>
      </c>
      <c r="S110" s="910">
        <f t="shared" si="73"/>
        <v>0</v>
      </c>
      <c r="T110" s="910">
        <f t="shared" si="73"/>
        <v>0</v>
      </c>
      <c r="U110" s="910">
        <f t="shared" si="73"/>
        <v>0</v>
      </c>
      <c r="V110" s="910">
        <f t="shared" si="73"/>
        <v>0</v>
      </c>
      <c r="W110" s="825">
        <f t="shared" si="73"/>
        <v>130.19435294117648</v>
      </c>
      <c r="Z110" s="434"/>
    </row>
    <row r="111" spans="1:26" ht="13.9" customHeight="1" thickTop="1" x14ac:dyDescent="0.35">
      <c r="A111" s="1113"/>
      <c r="B111" s="1113"/>
      <c r="C111" s="1114"/>
      <c r="D111" s="1115"/>
      <c r="E111" s="1116"/>
      <c r="F111" s="1117"/>
      <c r="G111" s="1113"/>
      <c r="H111" s="1118"/>
      <c r="Z111" s="434">
        <f>W126-Y126</f>
        <v>15257.193030888844</v>
      </c>
    </row>
    <row r="112" spans="1:26" ht="13.5" customHeight="1" x14ac:dyDescent="0.35">
      <c r="A112" s="1113"/>
      <c r="B112" s="1113"/>
      <c r="C112" s="1114"/>
      <c r="D112" s="1115"/>
      <c r="E112" s="1116"/>
      <c r="F112" s="1117"/>
      <c r="G112" s="1113"/>
      <c r="H112" s="1118"/>
    </row>
    <row r="113" spans="1:25" ht="13.9" customHeight="1" x14ac:dyDescent="0.4">
      <c r="A113" s="1113"/>
      <c r="B113" s="1113"/>
      <c r="C113" s="1114"/>
      <c r="D113" s="1115"/>
      <c r="E113" s="1116"/>
      <c r="F113" s="1117"/>
      <c r="G113" s="1113"/>
      <c r="H113" s="1118"/>
      <c r="I113" s="420" t="s">
        <v>140</v>
      </c>
      <c r="J113" s="557" t="s">
        <v>156</v>
      </c>
      <c r="K113" s="577" t="s">
        <v>142</v>
      </c>
      <c r="L113" s="577" t="s">
        <v>143</v>
      </c>
      <c r="M113" s="577" t="s">
        <v>144</v>
      </c>
      <c r="N113" s="577" t="s">
        <v>145</v>
      </c>
      <c r="O113" s="577" t="s">
        <v>146</v>
      </c>
      <c r="P113" s="577" t="s">
        <v>147</v>
      </c>
      <c r="Q113" s="577" t="s">
        <v>148</v>
      </c>
      <c r="R113" s="577" t="s">
        <v>149</v>
      </c>
      <c r="S113" s="577" t="s">
        <v>150</v>
      </c>
      <c r="T113" s="577" t="s">
        <v>151</v>
      </c>
      <c r="U113" s="577" t="s">
        <v>152</v>
      </c>
      <c r="V113" s="577" t="s">
        <v>153</v>
      </c>
      <c r="W113" s="577" t="s">
        <v>19</v>
      </c>
    </row>
    <row r="114" spans="1:25" ht="13.5" customHeight="1" x14ac:dyDescent="0.35">
      <c r="A114" s="1113"/>
      <c r="B114" s="1113"/>
      <c r="C114" s="1114"/>
      <c r="D114" s="1115"/>
      <c r="E114" s="1116"/>
      <c r="F114" s="1117"/>
      <c r="G114" s="1113"/>
      <c r="H114" s="1118"/>
      <c r="I114" s="581" t="s">
        <v>28</v>
      </c>
      <c r="J114" s="835">
        <v>0.9</v>
      </c>
      <c r="K114" s="432">
        <f t="shared" ref="K114:V114" si="74">K6*$J114</f>
        <v>675</v>
      </c>
      <c r="L114" s="432">
        <f t="shared" si="74"/>
        <v>405</v>
      </c>
      <c r="M114" s="432">
        <f t="shared" si="74"/>
        <v>135</v>
      </c>
      <c r="N114" s="432">
        <f t="shared" si="74"/>
        <v>675</v>
      </c>
      <c r="O114" s="432">
        <f t="shared" si="74"/>
        <v>261</v>
      </c>
      <c r="P114" s="432">
        <f t="shared" si="74"/>
        <v>270</v>
      </c>
      <c r="Q114" s="432">
        <f t="shared" si="74"/>
        <v>0</v>
      </c>
      <c r="R114" s="432">
        <f t="shared" si="74"/>
        <v>0</v>
      </c>
      <c r="S114" s="432">
        <f t="shared" si="74"/>
        <v>0</v>
      </c>
      <c r="T114" s="432">
        <f t="shared" si="74"/>
        <v>0</v>
      </c>
      <c r="U114" s="432">
        <f t="shared" si="74"/>
        <v>0</v>
      </c>
      <c r="V114" s="432">
        <f t="shared" si="74"/>
        <v>0</v>
      </c>
      <c r="W114" s="431">
        <f t="shared" ref="W114:W126" si="75">SUM(K114:V114)</f>
        <v>2421</v>
      </c>
    </row>
    <row r="115" spans="1:25" ht="13.5" customHeight="1" x14ac:dyDescent="0.35">
      <c r="A115" s="1113"/>
      <c r="B115" s="1113"/>
      <c r="C115" s="1114"/>
      <c r="D115" s="1115"/>
      <c r="E115" s="1116"/>
      <c r="F115" s="1117"/>
      <c r="G115" s="1113"/>
      <c r="H115" s="1118"/>
      <c r="I115" s="581" t="s">
        <v>31</v>
      </c>
      <c r="J115" s="835">
        <v>0.75</v>
      </c>
      <c r="K115" s="432">
        <f t="shared" ref="K115:V115" si="76">K7*$J115</f>
        <v>868.5</v>
      </c>
      <c r="L115" s="432">
        <f t="shared" si="76"/>
        <v>446.25</v>
      </c>
      <c r="M115" s="432">
        <f t="shared" si="76"/>
        <v>529.5</v>
      </c>
      <c r="N115" s="432">
        <f t="shared" si="76"/>
        <v>1664.25</v>
      </c>
      <c r="O115" s="432">
        <f t="shared" si="76"/>
        <v>0</v>
      </c>
      <c r="P115" s="432">
        <f t="shared" si="76"/>
        <v>515.25</v>
      </c>
      <c r="Q115" s="432">
        <f t="shared" si="76"/>
        <v>0</v>
      </c>
      <c r="R115" s="432">
        <f t="shared" si="76"/>
        <v>0</v>
      </c>
      <c r="S115" s="432">
        <f t="shared" si="76"/>
        <v>0</v>
      </c>
      <c r="T115" s="432">
        <f t="shared" si="76"/>
        <v>0</v>
      </c>
      <c r="U115" s="432">
        <f t="shared" si="76"/>
        <v>0</v>
      </c>
      <c r="V115" s="432">
        <f t="shared" si="76"/>
        <v>0</v>
      </c>
      <c r="W115" s="431">
        <f t="shared" si="75"/>
        <v>4023.75</v>
      </c>
    </row>
    <row r="116" spans="1:25" ht="13.5" customHeight="1" x14ac:dyDescent="0.35">
      <c r="A116" s="1113"/>
      <c r="B116" s="1113"/>
      <c r="C116" s="1114"/>
      <c r="D116" s="1115"/>
      <c r="E116" s="1116"/>
      <c r="F116" s="1117"/>
      <c r="G116" s="1113"/>
      <c r="H116" s="1118"/>
      <c r="I116" s="582" t="s">
        <v>35</v>
      </c>
      <c r="J116" s="835">
        <v>0.35</v>
      </c>
      <c r="K116" s="432">
        <f t="shared" ref="K116:V116" si="77">K8*$J116</f>
        <v>761.25</v>
      </c>
      <c r="L116" s="432">
        <f t="shared" si="77"/>
        <v>845.25</v>
      </c>
      <c r="M116" s="432">
        <f t="shared" si="77"/>
        <v>0</v>
      </c>
      <c r="N116" s="432">
        <f t="shared" si="77"/>
        <v>951.99999999999989</v>
      </c>
      <c r="O116" s="432">
        <f t="shared" si="77"/>
        <v>0</v>
      </c>
      <c r="P116" s="432">
        <f t="shared" si="77"/>
        <v>201.25</v>
      </c>
      <c r="Q116" s="432">
        <f t="shared" si="77"/>
        <v>0</v>
      </c>
      <c r="R116" s="432">
        <f t="shared" si="77"/>
        <v>0</v>
      </c>
      <c r="S116" s="432">
        <f t="shared" si="77"/>
        <v>0</v>
      </c>
      <c r="T116" s="432">
        <f t="shared" si="77"/>
        <v>0</v>
      </c>
      <c r="U116" s="432">
        <f t="shared" si="77"/>
        <v>0</v>
      </c>
      <c r="V116" s="432">
        <f t="shared" si="77"/>
        <v>0</v>
      </c>
      <c r="W116" s="431">
        <f t="shared" si="75"/>
        <v>2759.75</v>
      </c>
    </row>
    <row r="117" spans="1:25" ht="13.5" customHeight="1" x14ac:dyDescent="0.35">
      <c r="A117" s="1113"/>
      <c r="B117" s="1113"/>
      <c r="C117" s="1114"/>
      <c r="D117" s="1115"/>
      <c r="E117" s="1116"/>
      <c r="F117" s="1117"/>
      <c r="G117" s="1113"/>
      <c r="H117" s="1118"/>
      <c r="I117" s="581" t="s">
        <v>37</v>
      </c>
      <c r="J117" s="835">
        <v>0.5</v>
      </c>
      <c r="K117" s="432">
        <f t="shared" ref="K117:V117" si="78">K9*$J117</f>
        <v>0</v>
      </c>
      <c r="L117" s="432">
        <f t="shared" si="78"/>
        <v>143</v>
      </c>
      <c r="M117" s="432">
        <f t="shared" si="78"/>
        <v>0</v>
      </c>
      <c r="N117" s="432">
        <f t="shared" si="78"/>
        <v>0</v>
      </c>
      <c r="O117" s="432">
        <f t="shared" si="78"/>
        <v>0</v>
      </c>
      <c r="P117" s="432">
        <f t="shared" si="78"/>
        <v>0</v>
      </c>
      <c r="Q117" s="432">
        <f t="shared" si="78"/>
        <v>0</v>
      </c>
      <c r="R117" s="432">
        <f t="shared" si="78"/>
        <v>0</v>
      </c>
      <c r="S117" s="432">
        <f t="shared" si="78"/>
        <v>0</v>
      </c>
      <c r="T117" s="432">
        <f t="shared" si="78"/>
        <v>0</v>
      </c>
      <c r="U117" s="432">
        <f t="shared" si="78"/>
        <v>0</v>
      </c>
      <c r="V117" s="432">
        <f t="shared" si="78"/>
        <v>0</v>
      </c>
      <c r="W117" s="431">
        <f t="shared" si="75"/>
        <v>143</v>
      </c>
    </row>
    <row r="118" spans="1:25" ht="13.5" customHeight="1" x14ac:dyDescent="0.35">
      <c r="A118" s="1113"/>
      <c r="B118" s="1113"/>
      <c r="C118" s="1114"/>
      <c r="D118" s="1115"/>
      <c r="E118" s="1116"/>
      <c r="F118" s="1117"/>
      <c r="G118" s="1113"/>
      <c r="H118" s="1118"/>
      <c r="I118" s="581" t="s">
        <v>41</v>
      </c>
      <c r="J118" s="835">
        <v>0.45</v>
      </c>
      <c r="K118" s="432">
        <f t="shared" ref="K118:V118" si="79">K10*$J118</f>
        <v>-459</v>
      </c>
      <c r="L118" s="432">
        <f t="shared" si="79"/>
        <v>0</v>
      </c>
      <c r="M118" s="432">
        <f t="shared" si="79"/>
        <v>0</v>
      </c>
      <c r="N118" s="432">
        <f t="shared" si="79"/>
        <v>0</v>
      </c>
      <c r="O118" s="432">
        <f t="shared" si="79"/>
        <v>0</v>
      </c>
      <c r="P118" s="432">
        <f t="shared" si="79"/>
        <v>0</v>
      </c>
      <c r="Q118" s="432">
        <f t="shared" si="79"/>
        <v>0</v>
      </c>
      <c r="R118" s="432">
        <f t="shared" si="79"/>
        <v>0</v>
      </c>
      <c r="S118" s="432">
        <f t="shared" si="79"/>
        <v>0</v>
      </c>
      <c r="T118" s="432">
        <f t="shared" si="79"/>
        <v>0</v>
      </c>
      <c r="U118" s="432">
        <f t="shared" si="79"/>
        <v>0</v>
      </c>
      <c r="V118" s="432">
        <f t="shared" si="79"/>
        <v>0</v>
      </c>
      <c r="W118" s="431">
        <f t="shared" si="75"/>
        <v>-459</v>
      </c>
    </row>
    <row r="119" spans="1:25" ht="13.5" customHeight="1" x14ac:dyDescent="0.35">
      <c r="A119" s="1113"/>
      <c r="B119" s="1113"/>
      <c r="C119" s="1114"/>
      <c r="D119" s="1115"/>
      <c r="E119" s="1116"/>
      <c r="F119" s="1117"/>
      <c r="G119" s="1113"/>
      <c r="H119" s="1118"/>
      <c r="I119" s="581" t="s">
        <v>44</v>
      </c>
      <c r="J119" s="835">
        <v>0.95</v>
      </c>
      <c r="K119" s="432">
        <f t="shared" ref="K119:V119" si="80">K11*$J119</f>
        <v>19</v>
      </c>
      <c r="L119" s="432">
        <f t="shared" si="80"/>
        <v>19</v>
      </c>
      <c r="M119" s="432">
        <f t="shared" si="80"/>
        <v>19</v>
      </c>
      <c r="N119" s="432">
        <f t="shared" si="80"/>
        <v>19</v>
      </c>
      <c r="O119" s="432">
        <f t="shared" si="80"/>
        <v>19</v>
      </c>
      <c r="P119" s="432">
        <f t="shared" si="80"/>
        <v>0</v>
      </c>
      <c r="Q119" s="432">
        <f t="shared" si="80"/>
        <v>0</v>
      </c>
      <c r="R119" s="432">
        <f t="shared" si="80"/>
        <v>0</v>
      </c>
      <c r="S119" s="432">
        <f t="shared" si="80"/>
        <v>0</v>
      </c>
      <c r="T119" s="432">
        <f t="shared" si="80"/>
        <v>0</v>
      </c>
      <c r="U119" s="432">
        <f t="shared" si="80"/>
        <v>0</v>
      </c>
      <c r="V119" s="432">
        <f t="shared" si="80"/>
        <v>0</v>
      </c>
      <c r="W119" s="431">
        <f t="shared" si="75"/>
        <v>95</v>
      </c>
    </row>
    <row r="120" spans="1:25" ht="13.5" customHeight="1" x14ac:dyDescent="0.35">
      <c r="A120" s="1113"/>
      <c r="B120" s="1113"/>
      <c r="C120" s="1114"/>
      <c r="D120" s="1115"/>
      <c r="E120" s="1116"/>
      <c r="F120" s="1117"/>
      <c r="G120" s="1113"/>
      <c r="H120" s="1118"/>
      <c r="I120" s="582" t="s">
        <v>47</v>
      </c>
      <c r="J120" s="835">
        <v>0.95</v>
      </c>
      <c r="K120" s="432">
        <f t="shared" ref="K120:V120" si="81">K12*$J120</f>
        <v>285</v>
      </c>
      <c r="L120" s="432">
        <f t="shared" si="81"/>
        <v>47.5</v>
      </c>
      <c r="M120" s="432">
        <f t="shared" si="81"/>
        <v>731.5</v>
      </c>
      <c r="N120" s="432">
        <f t="shared" si="81"/>
        <v>180.5</v>
      </c>
      <c r="O120" s="432">
        <f t="shared" si="81"/>
        <v>123.5</v>
      </c>
      <c r="P120" s="432">
        <f t="shared" si="81"/>
        <v>204.25</v>
      </c>
      <c r="Q120" s="432">
        <f t="shared" si="81"/>
        <v>0</v>
      </c>
      <c r="R120" s="432">
        <f t="shared" si="81"/>
        <v>0</v>
      </c>
      <c r="S120" s="432">
        <f t="shared" si="81"/>
        <v>0</v>
      </c>
      <c r="T120" s="432">
        <f t="shared" si="81"/>
        <v>0</v>
      </c>
      <c r="U120" s="432">
        <f t="shared" si="81"/>
        <v>0</v>
      </c>
      <c r="V120" s="432">
        <f t="shared" si="81"/>
        <v>0</v>
      </c>
      <c r="W120" s="431">
        <f t="shared" si="75"/>
        <v>1572.25</v>
      </c>
    </row>
    <row r="121" spans="1:25" ht="13.5" customHeight="1" x14ac:dyDescent="0.35">
      <c r="A121" s="1113"/>
      <c r="B121" s="1113"/>
      <c r="C121" s="1114"/>
      <c r="D121" s="1115"/>
      <c r="E121" s="1116"/>
      <c r="F121" s="1117"/>
      <c r="G121" s="1113"/>
      <c r="H121" s="1118"/>
      <c r="I121" s="582" t="s">
        <v>50</v>
      </c>
      <c r="J121" s="835">
        <v>0.6</v>
      </c>
      <c r="K121" s="432">
        <f t="shared" ref="K121:V121" si="82">K13*$J121</f>
        <v>0</v>
      </c>
      <c r="L121" s="432">
        <f t="shared" si="82"/>
        <v>270</v>
      </c>
      <c r="M121" s="432">
        <f t="shared" si="82"/>
        <v>0</v>
      </c>
      <c r="N121" s="432">
        <f t="shared" si="82"/>
        <v>120</v>
      </c>
      <c r="O121" s="432">
        <f t="shared" si="82"/>
        <v>90</v>
      </c>
      <c r="P121" s="432">
        <f t="shared" si="82"/>
        <v>0</v>
      </c>
      <c r="Q121" s="432">
        <f t="shared" si="82"/>
        <v>0</v>
      </c>
      <c r="R121" s="432">
        <f t="shared" si="82"/>
        <v>0</v>
      </c>
      <c r="S121" s="432">
        <f t="shared" si="82"/>
        <v>0</v>
      </c>
      <c r="T121" s="432">
        <f t="shared" si="82"/>
        <v>0</v>
      </c>
      <c r="U121" s="432">
        <f t="shared" si="82"/>
        <v>0</v>
      </c>
      <c r="V121" s="432">
        <f t="shared" si="82"/>
        <v>0</v>
      </c>
      <c r="W121" s="431">
        <f t="shared" si="75"/>
        <v>480</v>
      </c>
    </row>
    <row r="122" spans="1:25" ht="13.5" customHeight="1" x14ac:dyDescent="0.35">
      <c r="A122" s="1113"/>
      <c r="B122" s="1113"/>
      <c r="C122" s="1114"/>
      <c r="D122" s="1115"/>
      <c r="E122" s="1116"/>
      <c r="F122" s="1117"/>
      <c r="G122" s="1113"/>
      <c r="H122" s="1118"/>
      <c r="I122" s="582" t="s">
        <v>53</v>
      </c>
      <c r="J122" s="835">
        <v>0.5</v>
      </c>
      <c r="K122" s="432">
        <f t="shared" ref="K122:V122" si="83">K14*$J122</f>
        <v>0</v>
      </c>
      <c r="L122" s="432">
        <f t="shared" si="83"/>
        <v>0</v>
      </c>
      <c r="M122" s="432">
        <f t="shared" si="83"/>
        <v>0</v>
      </c>
      <c r="N122" s="432">
        <f t="shared" si="83"/>
        <v>-162.5</v>
      </c>
      <c r="O122" s="432">
        <f t="shared" si="83"/>
        <v>0</v>
      </c>
      <c r="P122" s="432">
        <f t="shared" si="83"/>
        <v>0</v>
      </c>
      <c r="Q122" s="432">
        <f t="shared" si="83"/>
        <v>0</v>
      </c>
      <c r="R122" s="432">
        <f t="shared" si="83"/>
        <v>0</v>
      </c>
      <c r="S122" s="432">
        <f t="shared" si="83"/>
        <v>0</v>
      </c>
      <c r="T122" s="432">
        <f t="shared" si="83"/>
        <v>0</v>
      </c>
      <c r="U122" s="432">
        <f t="shared" si="83"/>
        <v>0</v>
      </c>
      <c r="V122" s="432">
        <f t="shared" si="83"/>
        <v>0</v>
      </c>
      <c r="W122" s="431">
        <f t="shared" si="75"/>
        <v>-162.5</v>
      </c>
    </row>
    <row r="123" spans="1:25" ht="13.5" customHeight="1" x14ac:dyDescent="0.35">
      <c r="A123" s="1113"/>
      <c r="B123" s="1113"/>
      <c r="C123" s="1114"/>
      <c r="D123" s="1115"/>
      <c r="E123" s="1116"/>
      <c r="F123" s="1117"/>
      <c r="G123" s="1113"/>
      <c r="H123" s="1118"/>
      <c r="I123" s="582" t="s">
        <v>56</v>
      </c>
      <c r="J123" s="835">
        <v>0.99</v>
      </c>
      <c r="K123" s="432">
        <f t="shared" ref="K123:V123" si="84">K15*$J123</f>
        <v>234.30329999999998</v>
      </c>
      <c r="L123" s="432">
        <f t="shared" si="84"/>
        <v>0</v>
      </c>
      <c r="M123" s="432">
        <f t="shared" si="84"/>
        <v>140.2038</v>
      </c>
      <c r="N123" s="432">
        <f t="shared" si="84"/>
        <v>32.422499999999999</v>
      </c>
      <c r="O123" s="432">
        <f t="shared" si="84"/>
        <v>0</v>
      </c>
      <c r="P123" s="432">
        <f t="shared" si="84"/>
        <v>0</v>
      </c>
      <c r="Q123" s="432">
        <f t="shared" si="84"/>
        <v>0</v>
      </c>
      <c r="R123" s="432">
        <f t="shared" si="84"/>
        <v>0</v>
      </c>
      <c r="S123" s="432">
        <f t="shared" si="84"/>
        <v>0</v>
      </c>
      <c r="T123" s="432">
        <f t="shared" si="84"/>
        <v>0</v>
      </c>
      <c r="U123" s="432">
        <f t="shared" si="84"/>
        <v>0</v>
      </c>
      <c r="V123" s="432">
        <f t="shared" si="84"/>
        <v>0</v>
      </c>
      <c r="W123" s="431">
        <f t="shared" si="75"/>
        <v>406.92959999999999</v>
      </c>
    </row>
    <row r="124" spans="1:25" ht="13.5" customHeight="1" x14ac:dyDescent="0.35">
      <c r="A124" s="1113"/>
      <c r="B124" s="1113"/>
      <c r="C124" s="1114"/>
      <c r="D124" s="1115"/>
      <c r="E124" s="1116"/>
      <c r="F124" s="1117"/>
      <c r="G124" s="1113"/>
      <c r="H124" s="1118"/>
      <c r="I124" s="582" t="s">
        <v>59</v>
      </c>
      <c r="J124" s="835">
        <v>0.9</v>
      </c>
      <c r="K124" s="432">
        <f t="shared" ref="K124:V124" si="85">K16*$J124</f>
        <v>540</v>
      </c>
      <c r="L124" s="432">
        <f t="shared" si="85"/>
        <v>135</v>
      </c>
      <c r="M124" s="432">
        <f t="shared" si="85"/>
        <v>1165.5</v>
      </c>
      <c r="N124" s="432">
        <f t="shared" si="85"/>
        <v>180</v>
      </c>
      <c r="O124" s="432">
        <f t="shared" si="85"/>
        <v>0</v>
      </c>
      <c r="P124" s="432">
        <f t="shared" si="85"/>
        <v>558</v>
      </c>
      <c r="Q124" s="432">
        <f t="shared" si="85"/>
        <v>0</v>
      </c>
      <c r="R124" s="432">
        <f t="shared" si="85"/>
        <v>0</v>
      </c>
      <c r="S124" s="432">
        <f t="shared" si="85"/>
        <v>0</v>
      </c>
      <c r="T124" s="432">
        <f t="shared" si="85"/>
        <v>0</v>
      </c>
      <c r="U124" s="432">
        <f t="shared" si="85"/>
        <v>0</v>
      </c>
      <c r="V124" s="432">
        <f t="shared" si="85"/>
        <v>0</v>
      </c>
      <c r="W124" s="431">
        <f t="shared" si="75"/>
        <v>2578.5</v>
      </c>
    </row>
    <row r="125" spans="1:25" ht="13.5" customHeight="1" x14ac:dyDescent="0.35">
      <c r="A125" s="1113"/>
      <c r="B125" s="1113"/>
      <c r="C125" s="1114"/>
      <c r="D125" s="1115"/>
      <c r="E125" s="1116"/>
      <c r="F125" s="1117"/>
      <c r="G125" s="1113"/>
      <c r="H125" s="1118"/>
      <c r="I125" s="984" t="s">
        <v>62</v>
      </c>
      <c r="J125" s="835">
        <v>0.99</v>
      </c>
      <c r="K125" s="432">
        <f t="shared" ref="K125:V125" si="86">K17*$J125</f>
        <v>547.47</v>
      </c>
      <c r="L125" s="432">
        <f t="shared" si="86"/>
        <v>156.41999999999999</v>
      </c>
      <c r="M125" s="432">
        <f t="shared" si="86"/>
        <v>312.83999999999997</v>
      </c>
      <c r="N125" s="432">
        <f t="shared" si="86"/>
        <v>58.41</v>
      </c>
      <c r="O125" s="432">
        <f t="shared" si="86"/>
        <v>214.82999999999998</v>
      </c>
      <c r="P125" s="432">
        <f t="shared" si="86"/>
        <v>116.82</v>
      </c>
      <c r="Q125" s="432">
        <f t="shared" si="86"/>
        <v>0</v>
      </c>
      <c r="R125" s="432">
        <f t="shared" si="86"/>
        <v>0</v>
      </c>
      <c r="S125" s="432">
        <f t="shared" si="86"/>
        <v>0</v>
      </c>
      <c r="T125" s="432">
        <f t="shared" si="86"/>
        <v>0</v>
      </c>
      <c r="U125" s="432">
        <f t="shared" si="86"/>
        <v>0</v>
      </c>
      <c r="V125" s="432">
        <f t="shared" si="86"/>
        <v>0</v>
      </c>
      <c r="W125" s="431">
        <f t="shared" si="75"/>
        <v>1406.79</v>
      </c>
      <c r="X125" s="445"/>
      <c r="Y125" s="558"/>
    </row>
    <row r="126" spans="1:25" ht="14.25" customHeight="1" thickBot="1" x14ac:dyDescent="0.45">
      <c r="A126" s="1113"/>
      <c r="B126" s="1113"/>
      <c r="C126" s="1114"/>
      <c r="D126" s="1115"/>
      <c r="E126" s="1116"/>
      <c r="F126" s="1117"/>
      <c r="G126" s="1113"/>
      <c r="H126" s="1118"/>
      <c r="I126" s="821" t="s">
        <v>63</v>
      </c>
      <c r="J126" s="936">
        <f>W126/W18</f>
        <v>0.68971409259640792</v>
      </c>
      <c r="K126" s="911">
        <f t="shared" ref="K126:V126" si="87">SUM(K114:K125)</f>
        <v>3471.5232999999998</v>
      </c>
      <c r="L126" s="911">
        <f t="shared" si="87"/>
        <v>2467.42</v>
      </c>
      <c r="M126" s="911">
        <f t="shared" si="87"/>
        <v>3033.5438000000004</v>
      </c>
      <c r="N126" s="911">
        <f t="shared" si="87"/>
        <v>3719.0825</v>
      </c>
      <c r="O126" s="911">
        <f t="shared" si="87"/>
        <v>708.32999999999993</v>
      </c>
      <c r="P126" s="911">
        <f t="shared" si="87"/>
        <v>1865.57</v>
      </c>
      <c r="Q126" s="911">
        <f t="shared" si="87"/>
        <v>0</v>
      </c>
      <c r="R126" s="911">
        <f t="shared" si="87"/>
        <v>0</v>
      </c>
      <c r="S126" s="911">
        <f t="shared" si="87"/>
        <v>0</v>
      </c>
      <c r="T126" s="911">
        <f t="shared" si="87"/>
        <v>0</v>
      </c>
      <c r="U126" s="911">
        <f t="shared" si="87"/>
        <v>0</v>
      </c>
      <c r="V126" s="911">
        <f t="shared" si="87"/>
        <v>0</v>
      </c>
      <c r="W126" s="431">
        <f t="shared" si="75"/>
        <v>15265.4696</v>
      </c>
      <c r="X126" s="445">
        <f>IFERROR(W126/W18,0)</f>
        <v>0.68971409259640792</v>
      </c>
      <c r="Y126" s="558">
        <f>J126*12</f>
        <v>8.2765691111568955</v>
      </c>
    </row>
    <row r="127" spans="1:25" ht="13.5" customHeight="1" x14ac:dyDescent="0.35">
      <c r="A127" s="1113"/>
      <c r="B127" s="1113"/>
      <c r="C127" s="1114"/>
      <c r="D127" s="1115"/>
      <c r="E127" s="1116"/>
      <c r="F127" s="1117"/>
      <c r="G127" s="1113"/>
      <c r="H127" s="1118"/>
      <c r="K127" s="445">
        <f t="shared" ref="K127:W127" si="88">K126/K18</f>
        <v>0.72737551517284871</v>
      </c>
      <c r="L127" s="445">
        <f t="shared" si="88"/>
        <v>0.53944468736335816</v>
      </c>
      <c r="M127" s="445">
        <f t="shared" si="88"/>
        <v>0.89258104760167378</v>
      </c>
      <c r="N127" s="445">
        <f t="shared" si="88"/>
        <v>0.6131282199233401</v>
      </c>
      <c r="O127" s="445">
        <f t="shared" si="88"/>
        <v>0.87773234200743488</v>
      </c>
      <c r="P127" s="445">
        <f t="shared" si="88"/>
        <v>0.74177733598409545</v>
      </c>
      <c r="Q127" s="445" t="e">
        <f t="shared" si="88"/>
        <v>#DIV/0!</v>
      </c>
      <c r="R127" s="445" t="e">
        <f t="shared" si="88"/>
        <v>#DIV/0!</v>
      </c>
      <c r="S127" s="445" t="e">
        <f t="shared" si="88"/>
        <v>#DIV/0!</v>
      </c>
      <c r="T127" s="445" t="e">
        <f t="shared" si="88"/>
        <v>#DIV/0!</v>
      </c>
      <c r="U127" s="445" t="e">
        <f t="shared" si="88"/>
        <v>#DIV/0!</v>
      </c>
      <c r="V127" s="445" t="e">
        <f t="shared" si="88"/>
        <v>#DIV/0!</v>
      </c>
      <c r="W127" s="445">
        <f t="shared" si="88"/>
        <v>0.68971409259640792</v>
      </c>
    </row>
    <row r="128" spans="1:25" ht="13.9" customHeight="1" x14ac:dyDescent="0.4">
      <c r="A128" s="1113"/>
      <c r="B128" s="1113"/>
      <c r="C128" s="1114"/>
      <c r="D128" s="1115"/>
      <c r="E128" s="1116"/>
      <c r="F128" s="1117"/>
      <c r="G128" s="1113"/>
      <c r="H128" s="1118"/>
      <c r="I128" s="566" t="s">
        <v>157</v>
      </c>
      <c r="K128" s="577" t="s">
        <v>142</v>
      </c>
      <c r="L128" s="577" t="s">
        <v>143</v>
      </c>
      <c r="M128" s="577" t="s">
        <v>144</v>
      </c>
      <c r="N128" s="577" t="s">
        <v>145</v>
      </c>
      <c r="O128" s="577" t="s">
        <v>146</v>
      </c>
      <c r="P128" s="577" t="s">
        <v>147</v>
      </c>
      <c r="Q128" s="577" t="s">
        <v>148</v>
      </c>
      <c r="R128" s="577" t="s">
        <v>149</v>
      </c>
      <c r="S128" s="577" t="s">
        <v>150</v>
      </c>
      <c r="T128" s="577" t="s">
        <v>151</v>
      </c>
      <c r="U128" s="577" t="s">
        <v>152</v>
      </c>
      <c r="V128" s="577" t="s">
        <v>153</v>
      </c>
      <c r="W128" s="577" t="s">
        <v>19</v>
      </c>
      <c r="X128" s="423" t="s">
        <v>158</v>
      </c>
      <c r="Y128" s="423" t="s">
        <v>22</v>
      </c>
    </row>
    <row r="129" spans="1:25" ht="13.5" customHeight="1" x14ac:dyDescent="0.35">
      <c r="A129" s="1113"/>
      <c r="B129" s="1113"/>
      <c r="C129" s="1114"/>
      <c r="D129" s="1115"/>
      <c r="E129" s="1116"/>
      <c r="F129" s="1117"/>
      <c r="G129" s="1113"/>
      <c r="H129" s="1118"/>
      <c r="I129" s="426" t="s">
        <v>159</v>
      </c>
      <c r="K129" s="432">
        <f t="shared" ref="K129:K137" si="89">SUMIFS($E$192:$E$370,$A$192:$A$370,"&gt;31/12/2025",$A$192:$A$370,"&lt;1/2/2026",$D$192:$D$370,$I129)</f>
        <v>4171</v>
      </c>
      <c r="L129" s="432">
        <f t="shared" ref="L129:L137" si="90">SUMIFS($E$192:$E$370,$A$192:$A$370,"&gt;31/1/2026",$A$192:$A$370,"&lt;1/3/2026",$D$192:$D$370,$I129)</f>
        <v>4118</v>
      </c>
      <c r="M129" s="432">
        <f t="shared" ref="M129:M137" si="91">SUMIFS($E$192:$E$370,$A$192:$A$370,"&gt;28/2/2026",$A$192:$A$370,"&lt;1/4/2026",$D$192:$D$370,$I129)</f>
        <v>2697</v>
      </c>
      <c r="N129" s="432">
        <f t="shared" ref="N129:N137" si="92">SUMIFS($E$192:$E$370,$A$192:$A$370,"&gt;31/3/2026",$A$192:$A$370,"&lt;1/5/2026",$D$192:$D$370,$I129)</f>
        <v>4993</v>
      </c>
      <c r="O129" s="432">
        <f t="shared" ref="O129:O137" si="93">SUMIFS($E$192:$E$370,$A$192:$A$370,"&gt;30/4/2026",$A$192:$A$370,"&lt;1/6/2026",$D$192:$D$370,$I129)</f>
        <v>567</v>
      </c>
      <c r="P129" s="432">
        <f t="shared" ref="P129:P137" si="94">SUMIFS($E$192:$E$370,$A$192:$A$370,"&gt;31/5/2026",$A$192:$A$370,"&lt;1/7/2026",$D$192:$D$370,$I129)</f>
        <v>953</v>
      </c>
      <c r="Q129" s="432">
        <f t="shared" ref="Q129:Q137" si="95">SUMIFS($E$192:$E$370,$A$192:$A$370,"&gt;30/6/2026",$A$192:$A$370,"&lt;1/8/2026",$D$192:$D$370,$I129)</f>
        <v>0</v>
      </c>
      <c r="R129" s="432">
        <f t="shared" ref="R129:R137" si="96">SUMIFS($E$192:$E$370,$A$192:$A$370,"&gt;31/7/2026",$A$192:$A$370,"&lt;1/9/2026",$D$192:$D$370,$I129)</f>
        <v>0</v>
      </c>
      <c r="S129" s="432">
        <f t="shared" ref="S129:S137" si="97">SUMIFS($E$192:$E$370,$A$192:$A$370,"&gt;31/8/2026",$A$192:$A$370,"&lt;1/10/2026",$D$192:$D$370,$I129)</f>
        <v>0</v>
      </c>
      <c r="T129" s="432">
        <f t="shared" ref="T129:T137" si="98">SUMIFS($E$192:$E$370,$A$192:$A$370,"&gt;30/9/2026",$A$192:$A$370,"&lt;1/11/2026",$D$192:$D$370,$I129)</f>
        <v>0</v>
      </c>
      <c r="U129" s="432">
        <f t="shared" ref="U129:U137" si="99">SUMIFS($E$192:$E$370,$A$192:$A$370,"&gt;31/10/2026",$A$192:$A$370,"&lt;1/12/2026",$D$192:$D$370,$I129)</f>
        <v>0</v>
      </c>
      <c r="V129" s="432">
        <f t="shared" ref="V129:V137" si="100">SUMIFS($E$192:$E$370,$A$192:$A$370,"&gt;30/11/2026",$A$192:$A$370,"&lt;1/1/2027",$D$192:$D$370,$I129)</f>
        <v>0</v>
      </c>
      <c r="W129" s="432">
        <f t="shared" ref="W129:W137" si="101">SUM(K129:V129)</f>
        <v>17499</v>
      </c>
      <c r="X129" s="460">
        <f t="shared" ref="X129:X134" si="102">L129/$L$138</f>
        <v>0.90030607783121996</v>
      </c>
      <c r="Y129" s="460">
        <f>W129/W138</f>
        <v>0.7906279480812396</v>
      </c>
    </row>
    <row r="130" spans="1:25" ht="13.5" customHeight="1" x14ac:dyDescent="0.35">
      <c r="A130" s="1113"/>
      <c r="B130" s="1113"/>
      <c r="C130" s="1114"/>
      <c r="D130" s="1115"/>
      <c r="E130" s="1116"/>
      <c r="F130" s="1117"/>
      <c r="G130" s="1113"/>
      <c r="H130" s="1118"/>
      <c r="I130" s="426" t="s">
        <v>160</v>
      </c>
      <c r="K130" s="432">
        <f t="shared" si="89"/>
        <v>436.66999999999996</v>
      </c>
      <c r="L130" s="432">
        <f t="shared" si="90"/>
        <v>0</v>
      </c>
      <c r="M130" s="432">
        <f t="shared" si="91"/>
        <v>538.91</v>
      </c>
      <c r="N130" s="432">
        <f t="shared" si="92"/>
        <v>32.75</v>
      </c>
      <c r="O130" s="432">
        <f t="shared" si="93"/>
        <v>0</v>
      </c>
      <c r="P130" s="432">
        <f t="shared" si="94"/>
        <v>250</v>
      </c>
      <c r="Q130" s="432">
        <f t="shared" si="95"/>
        <v>0</v>
      </c>
      <c r="R130" s="432">
        <f t="shared" si="96"/>
        <v>0</v>
      </c>
      <c r="S130" s="432">
        <f t="shared" si="97"/>
        <v>0</v>
      </c>
      <c r="T130" s="432">
        <f t="shared" si="98"/>
        <v>0</v>
      </c>
      <c r="U130" s="432">
        <f t="shared" si="99"/>
        <v>0</v>
      </c>
      <c r="V130" s="432">
        <f t="shared" si="100"/>
        <v>0</v>
      </c>
      <c r="W130" s="432">
        <f t="shared" si="101"/>
        <v>1258.33</v>
      </c>
      <c r="X130" s="460">
        <f t="shared" si="102"/>
        <v>0</v>
      </c>
      <c r="Y130" s="460">
        <f>W130/W138</f>
        <v>5.6853012509804339E-2</v>
      </c>
    </row>
    <row r="131" spans="1:25" ht="13.5" customHeight="1" x14ac:dyDescent="0.35">
      <c r="A131" s="1113"/>
      <c r="B131" s="1113"/>
      <c r="C131" s="1114"/>
      <c r="D131" s="1115"/>
      <c r="E131" s="1116"/>
      <c r="F131" s="1117"/>
      <c r="G131" s="1113"/>
      <c r="H131" s="1118"/>
      <c r="I131" s="426" t="s">
        <v>161</v>
      </c>
      <c r="K131" s="432">
        <f t="shared" si="89"/>
        <v>0</v>
      </c>
      <c r="L131" s="432">
        <f t="shared" si="90"/>
        <v>0</v>
      </c>
      <c r="M131" s="432">
        <f t="shared" si="91"/>
        <v>0</v>
      </c>
      <c r="N131" s="432">
        <f t="shared" si="92"/>
        <v>0</v>
      </c>
      <c r="O131" s="432">
        <f t="shared" si="93"/>
        <v>0</v>
      </c>
      <c r="P131" s="432">
        <f t="shared" si="94"/>
        <v>0</v>
      </c>
      <c r="Q131" s="432">
        <f t="shared" si="95"/>
        <v>0</v>
      </c>
      <c r="R131" s="432">
        <f t="shared" si="96"/>
        <v>0</v>
      </c>
      <c r="S131" s="432">
        <f t="shared" si="97"/>
        <v>0</v>
      </c>
      <c r="T131" s="432">
        <f t="shared" si="98"/>
        <v>0</v>
      </c>
      <c r="U131" s="432">
        <f t="shared" si="99"/>
        <v>0</v>
      </c>
      <c r="V131" s="432">
        <f t="shared" si="100"/>
        <v>0</v>
      </c>
      <c r="W131" s="432">
        <f t="shared" si="101"/>
        <v>0</v>
      </c>
      <c r="X131" s="460">
        <f t="shared" si="102"/>
        <v>0</v>
      </c>
      <c r="Y131" s="460">
        <f>W131/W138</f>
        <v>0</v>
      </c>
    </row>
    <row r="132" spans="1:25" ht="13.5" customHeight="1" x14ac:dyDescent="0.35">
      <c r="A132" s="1113"/>
      <c r="B132" s="1113"/>
      <c r="C132" s="1114"/>
      <c r="D132" s="1115"/>
      <c r="E132" s="1116"/>
      <c r="F132" s="1117"/>
      <c r="G132" s="1113"/>
      <c r="H132" s="1118"/>
      <c r="I132" s="426" t="s">
        <v>162</v>
      </c>
      <c r="K132" s="432">
        <f t="shared" si="89"/>
        <v>165</v>
      </c>
      <c r="L132" s="432">
        <f t="shared" si="90"/>
        <v>456</v>
      </c>
      <c r="M132" s="432">
        <f t="shared" si="91"/>
        <v>162.71</v>
      </c>
      <c r="N132" s="432">
        <f t="shared" si="92"/>
        <v>1040</v>
      </c>
      <c r="O132" s="432">
        <f t="shared" si="93"/>
        <v>240</v>
      </c>
      <c r="P132" s="432">
        <f t="shared" si="94"/>
        <v>1312</v>
      </c>
      <c r="Q132" s="432">
        <f t="shared" si="95"/>
        <v>0</v>
      </c>
      <c r="R132" s="432">
        <f t="shared" si="96"/>
        <v>0</v>
      </c>
      <c r="S132" s="432">
        <f t="shared" si="97"/>
        <v>0</v>
      </c>
      <c r="T132" s="432">
        <f t="shared" si="98"/>
        <v>0</v>
      </c>
      <c r="U132" s="432">
        <f t="shared" si="99"/>
        <v>0</v>
      </c>
      <c r="V132" s="432">
        <f t="shared" si="100"/>
        <v>0</v>
      </c>
      <c r="W132" s="432">
        <f t="shared" si="101"/>
        <v>3375.71</v>
      </c>
      <c r="X132" s="460">
        <f t="shared" si="102"/>
        <v>9.9693922168780064E-2</v>
      </c>
      <c r="Y132" s="460">
        <f>W132/W138</f>
        <v>0.15251903940895603</v>
      </c>
    </row>
    <row r="133" spans="1:25" ht="13.5" customHeight="1" x14ac:dyDescent="0.35">
      <c r="A133" s="1113"/>
      <c r="B133" s="1113"/>
      <c r="C133" s="1114"/>
      <c r="D133" s="1115"/>
      <c r="E133" s="1116"/>
      <c r="F133" s="1117"/>
      <c r="G133" s="1113"/>
      <c r="H133" s="1118"/>
      <c r="I133" s="426" t="s">
        <v>163</v>
      </c>
      <c r="K133" s="432">
        <f t="shared" si="89"/>
        <v>0</v>
      </c>
      <c r="L133" s="432">
        <f t="shared" si="90"/>
        <v>0</v>
      </c>
      <c r="M133" s="432">
        <f t="shared" si="91"/>
        <v>0</v>
      </c>
      <c r="N133" s="432">
        <f t="shared" si="92"/>
        <v>0</v>
      </c>
      <c r="O133" s="432">
        <f t="shared" si="93"/>
        <v>0</v>
      </c>
      <c r="P133" s="432">
        <f t="shared" si="94"/>
        <v>0</v>
      </c>
      <c r="Q133" s="432">
        <f t="shared" si="95"/>
        <v>0</v>
      </c>
      <c r="R133" s="432">
        <f t="shared" si="96"/>
        <v>0</v>
      </c>
      <c r="S133" s="432">
        <f t="shared" si="97"/>
        <v>0</v>
      </c>
      <c r="T133" s="432">
        <f t="shared" si="98"/>
        <v>0</v>
      </c>
      <c r="U133" s="432">
        <f t="shared" si="99"/>
        <v>0</v>
      </c>
      <c r="V133" s="432">
        <f t="shared" si="100"/>
        <v>0</v>
      </c>
      <c r="W133" s="432">
        <f t="shared" si="101"/>
        <v>0</v>
      </c>
      <c r="X133" s="460">
        <f t="shared" si="102"/>
        <v>0</v>
      </c>
      <c r="Y133" s="460">
        <f>W133/W138</f>
        <v>0</v>
      </c>
    </row>
    <row r="134" spans="1:25" ht="13.5" customHeight="1" x14ac:dyDescent="0.35">
      <c r="A134" s="1113"/>
      <c r="B134" s="1113"/>
      <c r="C134" s="1114"/>
      <c r="D134" s="1115"/>
      <c r="E134" s="1116"/>
      <c r="F134" s="1117"/>
      <c r="G134" s="1113"/>
      <c r="H134" s="1118"/>
      <c r="I134" s="426" t="s">
        <v>164</v>
      </c>
      <c r="K134" s="432">
        <f t="shared" si="89"/>
        <v>0</v>
      </c>
      <c r="L134" s="432">
        <f t="shared" si="90"/>
        <v>0</v>
      </c>
      <c r="M134" s="432">
        <f t="shared" si="91"/>
        <v>0</v>
      </c>
      <c r="N134" s="432">
        <f t="shared" si="92"/>
        <v>0</v>
      </c>
      <c r="O134" s="432">
        <f t="shared" si="93"/>
        <v>0</v>
      </c>
      <c r="P134" s="432">
        <f t="shared" si="94"/>
        <v>0</v>
      </c>
      <c r="Q134" s="432">
        <f t="shared" si="95"/>
        <v>0</v>
      </c>
      <c r="R134" s="432">
        <f t="shared" si="96"/>
        <v>0</v>
      </c>
      <c r="S134" s="432">
        <f t="shared" si="97"/>
        <v>0</v>
      </c>
      <c r="T134" s="432">
        <f t="shared" si="98"/>
        <v>0</v>
      </c>
      <c r="U134" s="432">
        <f t="shared" si="99"/>
        <v>0</v>
      </c>
      <c r="V134" s="432">
        <f t="shared" si="100"/>
        <v>0</v>
      </c>
      <c r="W134" s="432">
        <f t="shared" si="101"/>
        <v>0</v>
      </c>
      <c r="X134" s="460">
        <f t="shared" si="102"/>
        <v>0</v>
      </c>
      <c r="Y134" s="460">
        <f>W134/W138</f>
        <v>0</v>
      </c>
    </row>
    <row r="135" spans="1:25" ht="13.5" customHeight="1" x14ac:dyDescent="0.35">
      <c r="A135" s="1113"/>
      <c r="B135" s="1113"/>
      <c r="C135" s="1114"/>
      <c r="D135" s="1115"/>
      <c r="E135" s="1116"/>
      <c r="F135" s="1117"/>
      <c r="G135" s="1113"/>
      <c r="H135" s="1118"/>
      <c r="I135" s="45" t="s">
        <v>165</v>
      </c>
      <c r="K135" s="432">
        <f t="shared" si="89"/>
        <v>0</v>
      </c>
      <c r="L135" s="432">
        <f t="shared" si="90"/>
        <v>0</v>
      </c>
      <c r="M135" s="432">
        <f t="shared" si="91"/>
        <v>0</v>
      </c>
      <c r="N135" s="432">
        <f t="shared" si="92"/>
        <v>0</v>
      </c>
      <c r="O135" s="432">
        <f t="shared" si="93"/>
        <v>0</v>
      </c>
      <c r="P135" s="432">
        <f t="shared" si="94"/>
        <v>0</v>
      </c>
      <c r="Q135" s="432">
        <f t="shared" si="95"/>
        <v>0</v>
      </c>
      <c r="R135" s="432">
        <f t="shared" si="96"/>
        <v>0</v>
      </c>
      <c r="S135" s="432">
        <f t="shared" si="97"/>
        <v>0</v>
      </c>
      <c r="T135" s="432">
        <f t="shared" si="98"/>
        <v>0</v>
      </c>
      <c r="U135" s="432">
        <f t="shared" si="99"/>
        <v>0</v>
      </c>
      <c r="V135" s="432">
        <f t="shared" si="100"/>
        <v>0</v>
      </c>
      <c r="W135" s="432">
        <f t="shared" si="101"/>
        <v>0</v>
      </c>
      <c r="X135" s="460"/>
      <c r="Y135" s="460"/>
    </row>
    <row r="136" spans="1:25" ht="13.5" customHeight="1" x14ac:dyDescent="0.35">
      <c r="A136" s="1113"/>
      <c r="B136" s="1113"/>
      <c r="C136" s="1114"/>
      <c r="D136" s="1115"/>
      <c r="E136" s="1116"/>
      <c r="F136" s="1117"/>
      <c r="G136" s="1113"/>
      <c r="H136" s="1118"/>
      <c r="I136" s="45" t="s">
        <v>166</v>
      </c>
      <c r="K136" s="432">
        <f t="shared" si="89"/>
        <v>0</v>
      </c>
      <c r="L136" s="432">
        <f t="shared" si="90"/>
        <v>0</v>
      </c>
      <c r="M136" s="432">
        <f t="shared" si="91"/>
        <v>0</v>
      </c>
      <c r="N136" s="432">
        <f t="shared" si="92"/>
        <v>0</v>
      </c>
      <c r="O136" s="432">
        <f t="shared" si="93"/>
        <v>0</v>
      </c>
      <c r="P136" s="432">
        <f t="shared" si="94"/>
        <v>0</v>
      </c>
      <c r="Q136" s="432">
        <f t="shared" si="95"/>
        <v>0</v>
      </c>
      <c r="R136" s="432">
        <f t="shared" si="96"/>
        <v>0</v>
      </c>
      <c r="S136" s="432">
        <f t="shared" si="97"/>
        <v>0</v>
      </c>
      <c r="T136" s="432">
        <f t="shared" si="98"/>
        <v>0</v>
      </c>
      <c r="U136" s="432">
        <f t="shared" si="99"/>
        <v>0</v>
      </c>
      <c r="V136" s="432">
        <f t="shared" si="100"/>
        <v>0</v>
      </c>
      <c r="W136" s="432">
        <f t="shared" si="101"/>
        <v>0</v>
      </c>
      <c r="X136" s="460">
        <f>L136/$L$138</f>
        <v>0</v>
      </c>
      <c r="Y136" s="460">
        <f>W136/W138</f>
        <v>0</v>
      </c>
    </row>
    <row r="137" spans="1:25" ht="13.5" customHeight="1" x14ac:dyDescent="0.35">
      <c r="A137" s="1113"/>
      <c r="B137" s="1113"/>
      <c r="C137" s="1114"/>
      <c r="D137" s="1115"/>
      <c r="E137" s="1116"/>
      <c r="F137" s="1117"/>
      <c r="G137" s="1113"/>
      <c r="H137" s="1118"/>
      <c r="I137" s="45" t="s">
        <v>167</v>
      </c>
      <c r="K137" s="432">
        <f t="shared" si="89"/>
        <v>0</v>
      </c>
      <c r="L137" s="432">
        <f t="shared" si="90"/>
        <v>0</v>
      </c>
      <c r="M137" s="432">
        <f t="shared" si="91"/>
        <v>0</v>
      </c>
      <c r="N137" s="432">
        <f t="shared" si="92"/>
        <v>0</v>
      </c>
      <c r="O137" s="432">
        <f t="shared" si="93"/>
        <v>0</v>
      </c>
      <c r="P137" s="432">
        <f t="shared" si="94"/>
        <v>0</v>
      </c>
      <c r="Q137" s="432">
        <f t="shared" si="95"/>
        <v>0</v>
      </c>
      <c r="R137" s="432">
        <f t="shared" si="96"/>
        <v>0</v>
      </c>
      <c r="S137" s="432">
        <f t="shared" si="97"/>
        <v>0</v>
      </c>
      <c r="T137" s="432">
        <f t="shared" si="98"/>
        <v>0</v>
      </c>
      <c r="U137" s="432">
        <f t="shared" si="99"/>
        <v>0</v>
      </c>
      <c r="V137" s="432">
        <f t="shared" si="100"/>
        <v>0</v>
      </c>
      <c r="W137" s="432">
        <f t="shared" si="101"/>
        <v>0</v>
      </c>
      <c r="X137" s="460">
        <f>L137/$L$138</f>
        <v>0</v>
      </c>
      <c r="Y137" s="460">
        <f>W137/W138</f>
        <v>0</v>
      </c>
    </row>
    <row r="138" spans="1:25" ht="14.25" customHeight="1" thickBot="1" x14ac:dyDescent="0.45">
      <c r="A138" s="1113"/>
      <c r="B138" s="1113"/>
      <c r="C138" s="1114"/>
      <c r="D138" s="1115"/>
      <c r="E138" s="1116"/>
      <c r="F138" s="1117"/>
      <c r="G138" s="1113"/>
      <c r="H138" s="1118"/>
      <c r="I138" s="454"/>
      <c r="K138" s="797">
        <f t="shared" ref="K138:W138" si="103">SUM(K129:K137)</f>
        <v>4772.67</v>
      </c>
      <c r="L138" s="797">
        <f t="shared" si="103"/>
        <v>4574</v>
      </c>
      <c r="M138" s="797">
        <f t="shared" si="103"/>
        <v>3398.62</v>
      </c>
      <c r="N138" s="797">
        <f t="shared" si="103"/>
        <v>6065.75</v>
      </c>
      <c r="O138" s="797">
        <f t="shared" si="103"/>
        <v>807</v>
      </c>
      <c r="P138" s="797">
        <f t="shared" si="103"/>
        <v>2515</v>
      </c>
      <c r="Q138" s="797">
        <f t="shared" si="103"/>
        <v>0</v>
      </c>
      <c r="R138" s="797">
        <f t="shared" si="103"/>
        <v>0</v>
      </c>
      <c r="S138" s="797">
        <f t="shared" si="103"/>
        <v>0</v>
      </c>
      <c r="T138" s="797">
        <f t="shared" si="103"/>
        <v>0</v>
      </c>
      <c r="U138" s="797">
        <f t="shared" si="103"/>
        <v>0</v>
      </c>
      <c r="V138" s="797">
        <f t="shared" si="103"/>
        <v>0</v>
      </c>
      <c r="W138" s="797">
        <f t="shared" si="103"/>
        <v>22133.040000000001</v>
      </c>
      <c r="X138" s="454"/>
      <c r="Y138" s="466"/>
    </row>
    <row r="139" spans="1:25" ht="13.9" customHeight="1" thickTop="1" x14ac:dyDescent="0.35">
      <c r="A139" s="1113"/>
      <c r="B139" s="1113"/>
      <c r="C139" s="1114"/>
      <c r="D139" s="1115"/>
      <c r="E139" s="1116"/>
      <c r="F139" s="1117"/>
      <c r="G139" s="1113"/>
      <c r="H139" s="1118"/>
      <c r="I139" s="454"/>
      <c r="K139" s="434">
        <f t="shared" ref="K139:W139" si="104">K138-K18</f>
        <v>0</v>
      </c>
      <c r="L139" s="434">
        <f t="shared" si="104"/>
        <v>0</v>
      </c>
      <c r="M139" s="434">
        <f t="shared" si="104"/>
        <v>0</v>
      </c>
      <c r="N139" s="434">
        <f t="shared" si="104"/>
        <v>0</v>
      </c>
      <c r="O139" s="434">
        <f t="shared" si="104"/>
        <v>0</v>
      </c>
      <c r="P139" s="434">
        <f t="shared" si="104"/>
        <v>0</v>
      </c>
      <c r="Q139" s="434">
        <f t="shared" si="104"/>
        <v>0</v>
      </c>
      <c r="R139" s="434">
        <f t="shared" si="104"/>
        <v>0</v>
      </c>
      <c r="S139" s="434">
        <f t="shared" si="104"/>
        <v>0</v>
      </c>
      <c r="T139" s="434">
        <f t="shared" si="104"/>
        <v>0</v>
      </c>
      <c r="U139" s="434">
        <f t="shared" si="104"/>
        <v>0</v>
      </c>
      <c r="V139" s="434">
        <f t="shared" si="104"/>
        <v>0</v>
      </c>
      <c r="W139" s="434">
        <f t="shared" si="104"/>
        <v>0</v>
      </c>
      <c r="X139" s="454"/>
    </row>
    <row r="140" spans="1:25" ht="13.9" customHeight="1" x14ac:dyDescent="0.4">
      <c r="A140" s="1113"/>
      <c r="B140" s="1113"/>
      <c r="C140" s="1114"/>
      <c r="D140" s="1115"/>
      <c r="E140" s="1116"/>
      <c r="F140" s="1117"/>
      <c r="G140" s="1113"/>
      <c r="H140" s="1118"/>
      <c r="I140" s="556" t="s">
        <v>168</v>
      </c>
      <c r="K140" s="577" t="s">
        <v>142</v>
      </c>
      <c r="L140" s="577" t="s">
        <v>143</v>
      </c>
      <c r="M140" s="577" t="s">
        <v>144</v>
      </c>
      <c r="N140" s="577" t="s">
        <v>145</v>
      </c>
      <c r="O140" s="577" t="s">
        <v>146</v>
      </c>
      <c r="P140" s="577" t="s">
        <v>147</v>
      </c>
      <c r="Q140" s="577" t="s">
        <v>148</v>
      </c>
      <c r="R140" s="577" t="s">
        <v>149</v>
      </c>
      <c r="S140" s="577" t="s">
        <v>150</v>
      </c>
      <c r="T140" s="577" t="s">
        <v>151</v>
      </c>
      <c r="U140" s="577" t="s">
        <v>152</v>
      </c>
      <c r="V140" s="577" t="s">
        <v>153</v>
      </c>
      <c r="W140" s="577" t="s">
        <v>19</v>
      </c>
      <c r="X140" s="454"/>
    </row>
    <row r="141" spans="1:25" ht="13.9" customHeight="1" x14ac:dyDescent="0.4">
      <c r="A141" s="1113"/>
      <c r="B141" s="1113"/>
      <c r="C141" s="1114"/>
      <c r="D141" s="1115"/>
      <c r="E141" s="1116"/>
      <c r="F141" s="1117"/>
      <c r="G141" s="1113"/>
      <c r="H141" s="1118"/>
      <c r="I141" s="613" t="s">
        <v>169</v>
      </c>
      <c r="J141" s="1046">
        <v>1.6E-2</v>
      </c>
      <c r="K141" s="567">
        <f t="shared" ref="K141:V141" si="105">K129*$J141</f>
        <v>66.736000000000004</v>
      </c>
      <c r="L141" s="567">
        <f t="shared" si="105"/>
        <v>65.888000000000005</v>
      </c>
      <c r="M141" s="567">
        <f t="shared" si="105"/>
        <v>43.152000000000001</v>
      </c>
      <c r="N141" s="567">
        <f t="shared" si="105"/>
        <v>79.888000000000005</v>
      </c>
      <c r="O141" s="567">
        <f t="shared" si="105"/>
        <v>9.072000000000001</v>
      </c>
      <c r="P141" s="567">
        <f t="shared" si="105"/>
        <v>15.248000000000001</v>
      </c>
      <c r="Q141" s="567">
        <f t="shared" si="105"/>
        <v>0</v>
      </c>
      <c r="R141" s="567">
        <f t="shared" si="105"/>
        <v>0</v>
      </c>
      <c r="S141" s="567">
        <f t="shared" si="105"/>
        <v>0</v>
      </c>
      <c r="T141" s="567">
        <f t="shared" si="105"/>
        <v>0</v>
      </c>
      <c r="U141" s="567">
        <f t="shared" si="105"/>
        <v>0</v>
      </c>
      <c r="V141" s="567">
        <f t="shared" si="105"/>
        <v>0</v>
      </c>
      <c r="W141" s="432">
        <f t="shared" ref="W141:W146" si="106">SUM(K141:V141)</f>
        <v>279.98399999999998</v>
      </c>
      <c r="X141" s="454"/>
      <c r="Y141" s="466"/>
    </row>
    <row r="142" spans="1:25" ht="13.9" customHeight="1" x14ac:dyDescent="0.4">
      <c r="A142" s="1113"/>
      <c r="B142" s="1113"/>
      <c r="C142" s="1114"/>
      <c r="D142" s="1115"/>
      <c r="E142" s="1116"/>
      <c r="F142" s="1117"/>
      <c r="G142" s="1113"/>
      <c r="H142" s="1118"/>
      <c r="I142" s="613" t="s">
        <v>170</v>
      </c>
      <c r="K142" s="567">
        <f t="shared" ref="K142:V142" si="107">K130*3.5%</f>
        <v>15.28345</v>
      </c>
      <c r="L142" s="567">
        <f t="shared" si="107"/>
        <v>0</v>
      </c>
      <c r="M142" s="567">
        <f t="shared" si="107"/>
        <v>18.86185</v>
      </c>
      <c r="N142" s="567">
        <f t="shared" si="107"/>
        <v>1.1462500000000002</v>
      </c>
      <c r="O142" s="567">
        <f t="shared" si="107"/>
        <v>0</v>
      </c>
      <c r="P142" s="567">
        <f t="shared" si="107"/>
        <v>8.75</v>
      </c>
      <c r="Q142" s="567">
        <f t="shared" si="107"/>
        <v>0</v>
      </c>
      <c r="R142" s="567">
        <f t="shared" si="107"/>
        <v>0</v>
      </c>
      <c r="S142" s="567">
        <f t="shared" si="107"/>
        <v>0</v>
      </c>
      <c r="T142" s="567">
        <f t="shared" si="107"/>
        <v>0</v>
      </c>
      <c r="U142" s="567">
        <f t="shared" si="107"/>
        <v>0</v>
      </c>
      <c r="V142" s="567">
        <f t="shared" si="107"/>
        <v>0</v>
      </c>
      <c r="W142" s="432">
        <f t="shared" si="106"/>
        <v>44.041550000000001</v>
      </c>
      <c r="X142" s="454"/>
      <c r="Y142" s="466"/>
    </row>
    <row r="143" spans="1:25" ht="13.9" customHeight="1" x14ac:dyDescent="0.4">
      <c r="A143" s="1113"/>
      <c r="B143" s="1113"/>
      <c r="C143" s="1114"/>
      <c r="D143" s="1115"/>
      <c r="E143" s="1116"/>
      <c r="F143" s="1117"/>
      <c r="G143" s="1113"/>
      <c r="H143" s="1118"/>
      <c r="I143" s="613" t="s">
        <v>167</v>
      </c>
      <c r="K143" s="567">
        <f t="shared" ref="K143:V143" si="108">K137*3.5%</f>
        <v>0</v>
      </c>
      <c r="L143" s="567">
        <f t="shared" si="108"/>
        <v>0</v>
      </c>
      <c r="M143" s="567">
        <f t="shared" si="108"/>
        <v>0</v>
      </c>
      <c r="N143" s="567">
        <f t="shared" si="108"/>
        <v>0</v>
      </c>
      <c r="O143" s="567">
        <f t="shared" si="108"/>
        <v>0</v>
      </c>
      <c r="P143" s="567">
        <f t="shared" si="108"/>
        <v>0</v>
      </c>
      <c r="Q143" s="567">
        <f t="shared" si="108"/>
        <v>0</v>
      </c>
      <c r="R143" s="567">
        <f t="shared" si="108"/>
        <v>0</v>
      </c>
      <c r="S143" s="567">
        <f t="shared" si="108"/>
        <v>0</v>
      </c>
      <c r="T143" s="567">
        <f t="shared" si="108"/>
        <v>0</v>
      </c>
      <c r="U143" s="567">
        <f t="shared" si="108"/>
        <v>0</v>
      </c>
      <c r="V143" s="567">
        <f t="shared" si="108"/>
        <v>0</v>
      </c>
      <c r="W143" s="586">
        <f t="shared" si="106"/>
        <v>0</v>
      </c>
      <c r="X143" s="454"/>
      <c r="Y143" s="466"/>
    </row>
    <row r="144" spans="1:25" ht="14.25" customHeight="1" thickBot="1" x14ac:dyDescent="0.45">
      <c r="A144" s="1113"/>
      <c r="B144" s="1113"/>
      <c r="C144" s="1114"/>
      <c r="D144" s="1115"/>
      <c r="E144" s="1116"/>
      <c r="F144" s="1117"/>
      <c r="G144" s="1113"/>
      <c r="H144" s="1118"/>
      <c r="I144" s="818" t="s">
        <v>171</v>
      </c>
      <c r="J144" s="819"/>
      <c r="K144" s="818">
        <f t="shared" ref="K144:V144" si="109">SUM(K140:K143)</f>
        <v>82.019450000000006</v>
      </c>
      <c r="L144" s="818">
        <f t="shared" si="109"/>
        <v>65.888000000000005</v>
      </c>
      <c r="M144" s="818">
        <f t="shared" si="109"/>
        <v>62.013850000000005</v>
      </c>
      <c r="N144" s="818">
        <f t="shared" si="109"/>
        <v>81.03425</v>
      </c>
      <c r="O144" s="818">
        <f t="shared" si="109"/>
        <v>9.072000000000001</v>
      </c>
      <c r="P144" s="818">
        <f t="shared" si="109"/>
        <v>23.998000000000001</v>
      </c>
      <c r="Q144" s="818">
        <f t="shared" si="109"/>
        <v>0</v>
      </c>
      <c r="R144" s="818">
        <f t="shared" si="109"/>
        <v>0</v>
      </c>
      <c r="S144" s="818">
        <f t="shared" si="109"/>
        <v>0</v>
      </c>
      <c r="T144" s="818">
        <f t="shared" si="109"/>
        <v>0</v>
      </c>
      <c r="U144" s="818">
        <f t="shared" si="109"/>
        <v>0</v>
      </c>
      <c r="V144" s="818">
        <f t="shared" si="109"/>
        <v>0</v>
      </c>
      <c r="W144" s="820">
        <f t="shared" si="106"/>
        <v>324.02555000000001</v>
      </c>
      <c r="X144" s="454"/>
      <c r="Y144" s="466"/>
    </row>
    <row r="145" spans="1:25" ht="13.9" customHeight="1" x14ac:dyDescent="0.4">
      <c r="A145" s="1113"/>
      <c r="B145" s="1113"/>
      <c r="C145" s="1114"/>
      <c r="D145" s="1115"/>
      <c r="E145" s="1116"/>
      <c r="F145" s="1117"/>
      <c r="G145" s="1113"/>
      <c r="H145" s="1118"/>
      <c r="I145" s="454"/>
      <c r="K145" s="454"/>
      <c r="L145" s="454"/>
      <c r="M145" s="454"/>
      <c r="N145" s="454"/>
      <c r="O145" s="454"/>
      <c r="P145" s="454"/>
      <c r="Q145" s="454"/>
      <c r="R145" s="454"/>
      <c r="S145" s="454"/>
      <c r="T145" s="454"/>
      <c r="U145" s="454"/>
      <c r="V145" s="454"/>
      <c r="W145" s="461">
        <f t="shared" si="106"/>
        <v>0</v>
      </c>
      <c r="X145" s="454"/>
      <c r="Y145" s="466"/>
    </row>
    <row r="146" spans="1:25" ht="14.25" customHeight="1" thickBot="1" x14ac:dyDescent="0.45">
      <c r="A146" s="1113"/>
      <c r="B146" s="1113"/>
      <c r="C146" s="1114"/>
      <c r="D146" s="1115"/>
      <c r="E146" s="1116"/>
      <c r="F146" s="1117"/>
      <c r="G146" s="1113"/>
      <c r="H146" s="1118"/>
      <c r="I146" s="561" t="s">
        <v>172</v>
      </c>
      <c r="K146" s="797">
        <f t="shared" ref="K146:V146" si="110">K138-K144</f>
        <v>4690.6505500000003</v>
      </c>
      <c r="L146" s="797">
        <f t="shared" si="110"/>
        <v>4508.1120000000001</v>
      </c>
      <c r="M146" s="797">
        <f t="shared" si="110"/>
        <v>3336.6061500000001</v>
      </c>
      <c r="N146" s="797">
        <f t="shared" si="110"/>
        <v>5984.7157500000003</v>
      </c>
      <c r="O146" s="797">
        <f t="shared" si="110"/>
        <v>797.928</v>
      </c>
      <c r="P146" s="797">
        <f t="shared" si="110"/>
        <v>2491.002</v>
      </c>
      <c r="Q146" s="797">
        <f t="shared" si="110"/>
        <v>0</v>
      </c>
      <c r="R146" s="797">
        <f t="shared" si="110"/>
        <v>0</v>
      </c>
      <c r="S146" s="797">
        <f t="shared" si="110"/>
        <v>0</v>
      </c>
      <c r="T146" s="797">
        <f t="shared" si="110"/>
        <v>0</v>
      </c>
      <c r="U146" s="797">
        <f t="shared" si="110"/>
        <v>0</v>
      </c>
      <c r="V146" s="797">
        <f t="shared" si="110"/>
        <v>0</v>
      </c>
      <c r="W146" s="798">
        <f t="shared" si="106"/>
        <v>21809.014449999999</v>
      </c>
      <c r="X146" s="454"/>
      <c r="Y146" s="466"/>
    </row>
    <row r="147" spans="1:25" ht="13.9" customHeight="1" thickTop="1" x14ac:dyDescent="0.35">
      <c r="A147" s="1121"/>
      <c r="B147" s="1113"/>
      <c r="C147" s="1113"/>
      <c r="D147" s="1113"/>
      <c r="E147" s="1121"/>
      <c r="F147" s="1113"/>
      <c r="G147" s="1113"/>
      <c r="H147" s="1113"/>
      <c r="I147" s="454"/>
      <c r="K147" s="454"/>
      <c r="L147" s="454"/>
      <c r="M147" s="454"/>
      <c r="N147" s="454"/>
      <c r="O147" s="454"/>
      <c r="P147" s="454"/>
      <c r="Q147" s="454"/>
      <c r="R147" s="454"/>
      <c r="S147" s="454"/>
      <c r="T147" s="454"/>
      <c r="U147" s="454"/>
      <c r="V147" s="454"/>
      <c r="W147" s="454"/>
      <c r="X147" s="454"/>
    </row>
    <row r="148" spans="1:25" x14ac:dyDescent="0.35">
      <c r="K148" s="454"/>
      <c r="L148" s="454"/>
      <c r="M148" s="454"/>
      <c r="N148" s="454"/>
      <c r="O148" s="454"/>
      <c r="P148" s="454"/>
      <c r="Q148" s="454"/>
      <c r="R148" s="454"/>
      <c r="S148" s="454"/>
      <c r="T148" s="454"/>
      <c r="U148" s="454"/>
      <c r="V148" s="454"/>
      <c r="W148" s="454"/>
      <c r="X148" s="454"/>
    </row>
    <row r="149" spans="1:25" ht="13.15" customHeight="1" x14ac:dyDescent="0.4">
      <c r="I149" s="556" t="s">
        <v>173</v>
      </c>
      <c r="K149" s="577" t="s">
        <v>142</v>
      </c>
      <c r="L149" s="577" t="s">
        <v>143</v>
      </c>
      <c r="M149" s="577" t="s">
        <v>144</v>
      </c>
      <c r="N149" s="577" t="s">
        <v>145</v>
      </c>
      <c r="O149" s="577" t="s">
        <v>146</v>
      </c>
      <c r="P149" s="577" t="s">
        <v>147</v>
      </c>
      <c r="Q149" s="577" t="s">
        <v>148</v>
      </c>
      <c r="R149" s="577" t="s">
        <v>149</v>
      </c>
      <c r="S149" s="577" t="s">
        <v>150</v>
      </c>
      <c r="T149" s="577" t="s">
        <v>151</v>
      </c>
      <c r="U149" s="577" t="s">
        <v>152</v>
      </c>
      <c r="V149" s="577" t="s">
        <v>153</v>
      </c>
      <c r="W149" s="577" t="s">
        <v>19</v>
      </c>
      <c r="X149" s="423" t="s">
        <v>158</v>
      </c>
    </row>
    <row r="150" spans="1:25" x14ac:dyDescent="0.35">
      <c r="I150" s="426" t="s">
        <v>174</v>
      </c>
      <c r="K150" s="432">
        <f t="shared" ref="K150:K160" si="111">SUMIFS($E$192:$E$370,$A$192:$A$370,"&gt;31/12/2025",$A$192:$A$370,"&lt;1/2/2026",$G$192:$G$370,$I150)</f>
        <v>2667</v>
      </c>
      <c r="L150" s="432">
        <f t="shared" ref="L150:L160" si="112">SUMIFS($E$192:$E$370,$A$192:$A$370,"&gt;31/1/2026",$A$192:$A$370,"&lt;1/3/2026",$G$192:$G$370,$I150)</f>
        <v>2690</v>
      </c>
      <c r="M150" s="432">
        <f t="shared" ref="M150:M160" si="113">SUMIFS($E$192:$E$370,$A$192:$A$370,"&gt;28/2/2026",$A$192:$A$370,"&lt;1/4/2026",$G$192:$G$370,$I150)</f>
        <v>1883</v>
      </c>
      <c r="N150" s="432">
        <f t="shared" ref="N150:N160" si="114">SUMIFS($E$192:$E$370,$A$192:$A$370,"&gt;31/3/2026",$A$192:$A$370,"&lt;1/5/2026",$G$192:$G$370,$I150)</f>
        <v>3651</v>
      </c>
      <c r="O150" s="432">
        <f t="shared" ref="O150:O160" si="115">SUMIFS($E$192:$E$370,$A$192:$A$370,"&gt;30/4/2026",$A$192:$A$370,"&lt;1/6/2026",$G$192:$G$370,$I150)</f>
        <v>308</v>
      </c>
      <c r="P150" s="432">
        <f t="shared" ref="P150:P160" si="116">SUMIFS($E$192:$E$370,$A$192:$A$370,"&gt;31/5/2026",$A$192:$A$370,"&lt;1/7/2026",$G$192:$G$370,$I150)</f>
        <v>460</v>
      </c>
      <c r="Q150" s="432">
        <f t="shared" ref="Q150:Q160" si="117">SUMIFS($E$192:$E$370,$A$192:$A$370,"&gt;30/6/2026",$A$192:$A$370,"&lt;1/8/2026",$G$192:$G$370,$I150)</f>
        <v>0</v>
      </c>
      <c r="R150" s="432">
        <f t="shared" ref="R150:R160" si="118">SUMIFS($E$192:$E$370,$A$192:$A$370,"&gt;31/7/2026",$A$192:$A$370,"&lt;1/9/2026",$G$192:$G$370,$I150)</f>
        <v>0</v>
      </c>
      <c r="S150" s="432">
        <f t="shared" ref="S150:S160" si="119">SUMIFS($E$192:$E$370,$A$192:$A$370,"&gt;31/8/2026",$A$192:$A$370,"&lt;1/10/2026",$G$192:$G$370,$I150)</f>
        <v>0</v>
      </c>
      <c r="T150" s="432">
        <f t="shared" ref="T150:T160" si="120">SUMIFS($E$192:$E$370,$A$192:$A$370,"&gt;30/9/2026",$A$192:$A$370,"&lt;1/11/2026",$G$192:$G$370,$I150)</f>
        <v>0</v>
      </c>
      <c r="U150" s="432">
        <f t="shared" ref="U150:U160" si="121">SUMIFS($E$192:$E$370,$A$192:$A$370,"&gt;31/10/2026",$A$192:$A$370,"&lt;1/12/2026",$G$192:$G$370,$I150)</f>
        <v>0</v>
      </c>
      <c r="V150" s="432">
        <f t="shared" ref="V150:V160" si="122">SUMIFS($E$192:$E$370,$A$192:$A$370,"&gt;30/11/2026",$A$192:$A$370,"&lt;1/1/2027",$G$192:$G$370,$I150)</f>
        <v>0</v>
      </c>
      <c r="W150" s="432">
        <f t="shared" ref="W150:W160" si="123">SUM(K150:V150)</f>
        <v>11659</v>
      </c>
      <c r="X150" s="460">
        <f t="shared" ref="X150:X161" si="124">IFERROR(W150/$W$161,0)</f>
        <v>0.52676902946906534</v>
      </c>
    </row>
    <row r="151" spans="1:25" x14ac:dyDescent="0.35">
      <c r="I151" s="426" t="s">
        <v>175</v>
      </c>
      <c r="K151" s="432">
        <f t="shared" si="111"/>
        <v>929</v>
      </c>
      <c r="L151" s="432">
        <f t="shared" si="112"/>
        <v>889</v>
      </c>
      <c r="M151" s="432">
        <f t="shared" si="113"/>
        <v>1316.71</v>
      </c>
      <c r="N151" s="432">
        <f t="shared" si="114"/>
        <v>1393</v>
      </c>
      <c r="O151" s="432">
        <f t="shared" si="115"/>
        <v>259</v>
      </c>
      <c r="P151" s="432">
        <f t="shared" si="116"/>
        <v>1113</v>
      </c>
      <c r="Q151" s="432">
        <f t="shared" si="117"/>
        <v>0</v>
      </c>
      <c r="R151" s="432">
        <f t="shared" si="118"/>
        <v>0</v>
      </c>
      <c r="S151" s="432">
        <f t="shared" si="119"/>
        <v>0</v>
      </c>
      <c r="T151" s="432">
        <f t="shared" si="120"/>
        <v>0</v>
      </c>
      <c r="U151" s="432">
        <f t="shared" si="121"/>
        <v>0</v>
      </c>
      <c r="V151" s="432">
        <f t="shared" si="122"/>
        <v>0</v>
      </c>
      <c r="W151" s="432">
        <f t="shared" si="123"/>
        <v>5899.71</v>
      </c>
      <c r="X151" s="460">
        <f t="shared" si="124"/>
        <v>0.26655669532969717</v>
      </c>
    </row>
    <row r="152" spans="1:25" x14ac:dyDescent="0.35">
      <c r="I152" s="45" t="s">
        <v>126</v>
      </c>
      <c r="K152" s="432">
        <f t="shared" si="111"/>
        <v>165</v>
      </c>
      <c r="L152" s="432">
        <f t="shared" si="112"/>
        <v>170</v>
      </c>
      <c r="M152" s="432">
        <f t="shared" si="113"/>
        <v>30</v>
      </c>
      <c r="N152" s="432">
        <f t="shared" si="114"/>
        <v>0</v>
      </c>
      <c r="O152" s="432">
        <f t="shared" si="115"/>
        <v>0</v>
      </c>
      <c r="P152" s="432">
        <f t="shared" si="116"/>
        <v>942</v>
      </c>
      <c r="Q152" s="432">
        <f t="shared" si="117"/>
        <v>0</v>
      </c>
      <c r="R152" s="432">
        <f t="shared" si="118"/>
        <v>0</v>
      </c>
      <c r="S152" s="432">
        <f t="shared" si="119"/>
        <v>0</v>
      </c>
      <c r="T152" s="432">
        <f t="shared" si="120"/>
        <v>0</v>
      </c>
      <c r="U152" s="432">
        <f t="shared" si="121"/>
        <v>0</v>
      </c>
      <c r="V152" s="432">
        <f t="shared" si="122"/>
        <v>0</v>
      </c>
      <c r="W152" s="432">
        <f t="shared" si="123"/>
        <v>1307</v>
      </c>
      <c r="X152" s="460">
        <f t="shared" si="124"/>
        <v>5.9051987435978073E-2</v>
      </c>
    </row>
    <row r="153" spans="1:25" x14ac:dyDescent="0.35">
      <c r="I153" s="45" t="s">
        <v>176</v>
      </c>
      <c r="K153" s="432">
        <f t="shared" si="111"/>
        <v>775</v>
      </c>
      <c r="L153" s="432">
        <f t="shared" si="112"/>
        <v>0</v>
      </c>
      <c r="M153" s="432">
        <f t="shared" si="113"/>
        <v>0</v>
      </c>
      <c r="N153" s="432">
        <f t="shared" si="114"/>
        <v>149</v>
      </c>
      <c r="O153" s="432">
        <f t="shared" si="115"/>
        <v>0</v>
      </c>
      <c r="P153" s="432">
        <f t="shared" si="116"/>
        <v>0</v>
      </c>
      <c r="Q153" s="432">
        <f t="shared" si="117"/>
        <v>0</v>
      </c>
      <c r="R153" s="432">
        <f t="shared" si="118"/>
        <v>0</v>
      </c>
      <c r="S153" s="432">
        <f t="shared" si="119"/>
        <v>0</v>
      </c>
      <c r="T153" s="432">
        <f t="shared" si="120"/>
        <v>0</v>
      </c>
      <c r="U153" s="432">
        <f t="shared" si="121"/>
        <v>0</v>
      </c>
      <c r="V153" s="432">
        <f t="shared" si="122"/>
        <v>0</v>
      </c>
      <c r="W153" s="432">
        <f t="shared" si="123"/>
        <v>924</v>
      </c>
      <c r="X153" s="460">
        <f t="shared" si="124"/>
        <v>4.1747541232474171E-2</v>
      </c>
    </row>
    <row r="154" spans="1:25" x14ac:dyDescent="0.35">
      <c r="I154" s="426" t="s">
        <v>177</v>
      </c>
      <c r="K154" s="432">
        <f t="shared" si="111"/>
        <v>0</v>
      </c>
      <c r="L154" s="432">
        <f t="shared" si="112"/>
        <v>0</v>
      </c>
      <c r="M154" s="432">
        <f t="shared" si="113"/>
        <v>0</v>
      </c>
      <c r="N154" s="432">
        <f t="shared" si="114"/>
        <v>0</v>
      </c>
      <c r="O154" s="432">
        <f t="shared" si="115"/>
        <v>0</v>
      </c>
      <c r="P154" s="432">
        <f t="shared" si="116"/>
        <v>0</v>
      </c>
      <c r="Q154" s="432">
        <f t="shared" si="117"/>
        <v>0</v>
      </c>
      <c r="R154" s="432">
        <f t="shared" si="118"/>
        <v>0</v>
      </c>
      <c r="S154" s="432">
        <f t="shared" si="119"/>
        <v>0</v>
      </c>
      <c r="T154" s="432">
        <f t="shared" si="120"/>
        <v>0</v>
      </c>
      <c r="U154" s="432">
        <f t="shared" si="121"/>
        <v>0</v>
      </c>
      <c r="V154" s="432">
        <f t="shared" si="122"/>
        <v>0</v>
      </c>
      <c r="W154" s="432">
        <f t="shared" si="123"/>
        <v>0</v>
      </c>
      <c r="X154" s="460">
        <f t="shared" si="124"/>
        <v>0</v>
      </c>
    </row>
    <row r="155" spans="1:25" x14ac:dyDescent="0.35">
      <c r="I155" s="45" t="s">
        <v>178</v>
      </c>
      <c r="K155" s="432">
        <f t="shared" si="111"/>
        <v>0</v>
      </c>
      <c r="L155" s="432">
        <f t="shared" si="112"/>
        <v>825</v>
      </c>
      <c r="M155" s="432">
        <f t="shared" si="113"/>
        <v>0</v>
      </c>
      <c r="N155" s="432">
        <f t="shared" si="114"/>
        <v>0</v>
      </c>
      <c r="O155" s="432">
        <f t="shared" si="115"/>
        <v>0</v>
      </c>
      <c r="P155" s="432">
        <f t="shared" si="116"/>
        <v>0</v>
      </c>
      <c r="Q155" s="432">
        <f t="shared" si="117"/>
        <v>0</v>
      </c>
      <c r="R155" s="432">
        <f t="shared" si="118"/>
        <v>0</v>
      </c>
      <c r="S155" s="432">
        <f t="shared" si="119"/>
        <v>0</v>
      </c>
      <c r="T155" s="432">
        <f t="shared" si="120"/>
        <v>0</v>
      </c>
      <c r="U155" s="432">
        <f t="shared" si="121"/>
        <v>0</v>
      </c>
      <c r="V155" s="432">
        <f t="shared" si="122"/>
        <v>0</v>
      </c>
      <c r="W155" s="432">
        <f t="shared" si="123"/>
        <v>825</v>
      </c>
      <c r="X155" s="460">
        <f t="shared" si="124"/>
        <v>3.7274590386137653E-2</v>
      </c>
    </row>
    <row r="156" spans="1:25" x14ac:dyDescent="0.35">
      <c r="I156" s="45" t="s">
        <v>179</v>
      </c>
      <c r="K156" s="432">
        <f t="shared" si="111"/>
        <v>0</v>
      </c>
      <c r="L156" s="432">
        <f t="shared" si="112"/>
        <v>0</v>
      </c>
      <c r="M156" s="432">
        <f t="shared" si="113"/>
        <v>0</v>
      </c>
      <c r="N156" s="432">
        <f t="shared" si="114"/>
        <v>0</v>
      </c>
      <c r="O156" s="432">
        <f t="shared" si="115"/>
        <v>0</v>
      </c>
      <c r="P156" s="432">
        <f t="shared" si="116"/>
        <v>0</v>
      </c>
      <c r="Q156" s="432">
        <f t="shared" si="117"/>
        <v>0</v>
      </c>
      <c r="R156" s="432">
        <f t="shared" si="118"/>
        <v>0</v>
      </c>
      <c r="S156" s="432">
        <f t="shared" si="119"/>
        <v>0</v>
      </c>
      <c r="T156" s="432">
        <f t="shared" si="120"/>
        <v>0</v>
      </c>
      <c r="U156" s="432">
        <f t="shared" si="121"/>
        <v>0</v>
      </c>
      <c r="V156" s="432">
        <f t="shared" si="122"/>
        <v>0</v>
      </c>
      <c r="W156" s="432">
        <f t="shared" si="123"/>
        <v>0</v>
      </c>
      <c r="X156" s="460">
        <f t="shared" si="124"/>
        <v>0</v>
      </c>
    </row>
    <row r="157" spans="1:25" x14ac:dyDescent="0.35">
      <c r="I157" s="45" t="s">
        <v>87</v>
      </c>
      <c r="K157" s="432">
        <f t="shared" si="111"/>
        <v>236.67</v>
      </c>
      <c r="L157" s="432">
        <f t="shared" si="112"/>
        <v>0</v>
      </c>
      <c r="M157" s="432">
        <f t="shared" si="113"/>
        <v>0</v>
      </c>
      <c r="N157" s="432">
        <f t="shared" si="114"/>
        <v>0</v>
      </c>
      <c r="O157" s="432">
        <f t="shared" si="115"/>
        <v>0</v>
      </c>
      <c r="P157" s="432">
        <f t="shared" si="116"/>
        <v>0</v>
      </c>
      <c r="Q157" s="432">
        <f t="shared" si="117"/>
        <v>0</v>
      </c>
      <c r="R157" s="432">
        <f t="shared" si="118"/>
        <v>0</v>
      </c>
      <c r="S157" s="432">
        <f t="shared" si="119"/>
        <v>0</v>
      </c>
      <c r="T157" s="432">
        <f t="shared" si="120"/>
        <v>0</v>
      </c>
      <c r="U157" s="432">
        <f t="shared" si="121"/>
        <v>0</v>
      </c>
      <c r="V157" s="432">
        <f t="shared" si="122"/>
        <v>0</v>
      </c>
      <c r="W157" s="432">
        <f t="shared" si="123"/>
        <v>236.67</v>
      </c>
      <c r="X157" s="460">
        <f t="shared" si="124"/>
        <v>1.0693063402045087E-2</v>
      </c>
    </row>
    <row r="158" spans="1:25" x14ac:dyDescent="0.35">
      <c r="I158" s="45" t="s">
        <v>89</v>
      </c>
      <c r="K158" s="432">
        <f t="shared" si="111"/>
        <v>0</v>
      </c>
      <c r="L158" s="432">
        <f t="shared" si="112"/>
        <v>0</v>
      </c>
      <c r="M158" s="432">
        <f t="shared" si="113"/>
        <v>88.91</v>
      </c>
      <c r="N158" s="432">
        <f t="shared" si="114"/>
        <v>32.75</v>
      </c>
      <c r="O158" s="432">
        <f t="shared" si="115"/>
        <v>0</v>
      </c>
      <c r="P158" s="432">
        <f t="shared" si="116"/>
        <v>0</v>
      </c>
      <c r="Q158" s="432">
        <f t="shared" si="117"/>
        <v>0</v>
      </c>
      <c r="R158" s="432">
        <f t="shared" si="118"/>
        <v>0</v>
      </c>
      <c r="S158" s="432">
        <f t="shared" si="119"/>
        <v>0</v>
      </c>
      <c r="T158" s="432">
        <f t="shared" si="120"/>
        <v>0</v>
      </c>
      <c r="U158" s="432">
        <f t="shared" si="121"/>
        <v>0</v>
      </c>
      <c r="V158" s="432">
        <f t="shared" si="122"/>
        <v>0</v>
      </c>
      <c r="W158" s="432">
        <f t="shared" si="123"/>
        <v>121.66</v>
      </c>
      <c r="X158" s="460">
        <f t="shared" si="124"/>
        <v>5.4967595956090989E-3</v>
      </c>
    </row>
    <row r="159" spans="1:25" x14ac:dyDescent="0.35">
      <c r="I159" s="45" t="s">
        <v>180</v>
      </c>
      <c r="K159" s="432">
        <f t="shared" si="111"/>
        <v>0</v>
      </c>
      <c r="L159" s="432">
        <f t="shared" si="112"/>
        <v>0</v>
      </c>
      <c r="M159" s="432">
        <f t="shared" si="113"/>
        <v>80</v>
      </c>
      <c r="N159" s="432">
        <f t="shared" si="114"/>
        <v>840</v>
      </c>
      <c r="O159" s="432">
        <f t="shared" si="115"/>
        <v>240</v>
      </c>
      <c r="P159" s="432">
        <f t="shared" si="116"/>
        <v>0</v>
      </c>
      <c r="Q159" s="432">
        <f t="shared" si="117"/>
        <v>0</v>
      </c>
      <c r="R159" s="432">
        <f t="shared" si="118"/>
        <v>0</v>
      </c>
      <c r="S159" s="432">
        <f t="shared" si="119"/>
        <v>0</v>
      </c>
      <c r="T159" s="432">
        <f t="shared" si="120"/>
        <v>0</v>
      </c>
      <c r="U159" s="432">
        <f t="shared" si="121"/>
        <v>0</v>
      </c>
      <c r="V159" s="432">
        <f t="shared" si="122"/>
        <v>0</v>
      </c>
      <c r="W159" s="432">
        <f t="shared" si="123"/>
        <v>1160</v>
      </c>
      <c r="X159" s="460">
        <f t="shared" si="124"/>
        <v>5.241033314899355E-2</v>
      </c>
    </row>
    <row r="160" spans="1:25" x14ac:dyDescent="0.35">
      <c r="I160" s="426" t="s">
        <v>181</v>
      </c>
      <c r="K160" s="432">
        <f t="shared" si="111"/>
        <v>0</v>
      </c>
      <c r="L160" s="432">
        <f t="shared" si="112"/>
        <v>0</v>
      </c>
      <c r="M160" s="432">
        <f t="shared" si="113"/>
        <v>0</v>
      </c>
      <c r="N160" s="432">
        <f t="shared" si="114"/>
        <v>0</v>
      </c>
      <c r="O160" s="432">
        <f t="shared" si="115"/>
        <v>0</v>
      </c>
      <c r="P160" s="432">
        <f t="shared" si="116"/>
        <v>0</v>
      </c>
      <c r="Q160" s="432">
        <f t="shared" si="117"/>
        <v>0</v>
      </c>
      <c r="R160" s="432">
        <f t="shared" si="118"/>
        <v>0</v>
      </c>
      <c r="S160" s="432">
        <f t="shared" si="119"/>
        <v>0</v>
      </c>
      <c r="T160" s="432">
        <f t="shared" si="120"/>
        <v>0</v>
      </c>
      <c r="U160" s="432">
        <f t="shared" si="121"/>
        <v>0</v>
      </c>
      <c r="V160" s="432">
        <f t="shared" si="122"/>
        <v>0</v>
      </c>
      <c r="W160" s="432">
        <f t="shared" si="123"/>
        <v>0</v>
      </c>
      <c r="X160" s="460">
        <f t="shared" si="124"/>
        <v>0</v>
      </c>
    </row>
    <row r="161" spans="9:25" ht="13.15" customHeight="1" x14ac:dyDescent="0.4">
      <c r="I161" s="454"/>
      <c r="K161" s="444">
        <f t="shared" ref="K161:W161" si="125">SUM(K150:K160)</f>
        <v>4772.67</v>
      </c>
      <c r="L161" s="444">
        <f t="shared" si="125"/>
        <v>4574</v>
      </c>
      <c r="M161" s="444">
        <f t="shared" si="125"/>
        <v>3398.62</v>
      </c>
      <c r="N161" s="444">
        <f t="shared" si="125"/>
        <v>6065.75</v>
      </c>
      <c r="O161" s="444">
        <f t="shared" si="125"/>
        <v>807</v>
      </c>
      <c r="P161" s="444">
        <f t="shared" si="125"/>
        <v>2515</v>
      </c>
      <c r="Q161" s="444">
        <f t="shared" si="125"/>
        <v>0</v>
      </c>
      <c r="R161" s="444">
        <f t="shared" si="125"/>
        <v>0</v>
      </c>
      <c r="S161" s="444">
        <f t="shared" si="125"/>
        <v>0</v>
      </c>
      <c r="T161" s="444">
        <f t="shared" si="125"/>
        <v>0</v>
      </c>
      <c r="U161" s="444">
        <f t="shared" si="125"/>
        <v>0</v>
      </c>
      <c r="V161" s="444">
        <f t="shared" si="125"/>
        <v>0</v>
      </c>
      <c r="W161" s="444">
        <f t="shared" si="125"/>
        <v>22133.039999999997</v>
      </c>
      <c r="X161" s="460">
        <f t="shared" si="124"/>
        <v>1</v>
      </c>
      <c r="Y161" s="466"/>
    </row>
    <row r="162" spans="9:25" x14ac:dyDescent="0.35">
      <c r="J162" s="454"/>
      <c r="K162" s="454">
        <f t="shared" ref="K162:W162" si="126">K138-K161</f>
        <v>0</v>
      </c>
      <c r="L162" s="454">
        <f t="shared" si="126"/>
        <v>0</v>
      </c>
      <c r="M162" s="454">
        <f t="shared" si="126"/>
        <v>0</v>
      </c>
      <c r="N162" s="454">
        <f t="shared" si="126"/>
        <v>0</v>
      </c>
      <c r="O162" s="454">
        <f t="shared" si="126"/>
        <v>0</v>
      </c>
      <c r="P162" s="454">
        <f t="shared" si="126"/>
        <v>0</v>
      </c>
      <c r="Q162" s="454">
        <f t="shared" si="126"/>
        <v>0</v>
      </c>
      <c r="R162" s="454">
        <f t="shared" si="126"/>
        <v>0</v>
      </c>
      <c r="S162" s="454">
        <f t="shared" si="126"/>
        <v>0</v>
      </c>
      <c r="T162" s="454">
        <f t="shared" si="126"/>
        <v>0</v>
      </c>
      <c r="U162" s="454">
        <f t="shared" si="126"/>
        <v>0</v>
      </c>
      <c r="V162" s="454">
        <f t="shared" si="126"/>
        <v>0</v>
      </c>
      <c r="W162" s="454">
        <f t="shared" si="126"/>
        <v>0</v>
      </c>
      <c r="X162" s="454"/>
    </row>
    <row r="163" spans="9:25" ht="13.15" customHeight="1" x14ac:dyDescent="0.4">
      <c r="I163" s="556" t="s">
        <v>182</v>
      </c>
      <c r="K163" s="577" t="s">
        <v>142</v>
      </c>
      <c r="L163" s="577" t="s">
        <v>143</v>
      </c>
      <c r="M163" s="577" t="s">
        <v>144</v>
      </c>
      <c r="N163" s="577" t="s">
        <v>145</v>
      </c>
      <c r="O163" s="577" t="s">
        <v>146</v>
      </c>
      <c r="P163" s="577" t="s">
        <v>147</v>
      </c>
      <c r="Q163" s="577" t="s">
        <v>148</v>
      </c>
      <c r="R163" s="577" t="s">
        <v>149</v>
      </c>
      <c r="S163" s="577" t="s">
        <v>150</v>
      </c>
      <c r="T163" s="577" t="s">
        <v>151</v>
      </c>
      <c r="U163" s="577" t="s">
        <v>152</v>
      </c>
      <c r="V163" s="577" t="s">
        <v>153</v>
      </c>
      <c r="W163" s="577" t="s">
        <v>19</v>
      </c>
      <c r="X163" s="423" t="s">
        <v>158</v>
      </c>
    </row>
    <row r="164" spans="9:25" ht="13.15" customHeight="1" x14ac:dyDescent="0.4">
      <c r="I164" s="444" t="s">
        <v>183</v>
      </c>
      <c r="K164" s="454">
        <f t="shared" ref="K164:V164" si="127">SUM(K161-K151)</f>
        <v>3843.67</v>
      </c>
      <c r="L164" s="454">
        <f t="shared" si="127"/>
        <v>3685</v>
      </c>
      <c r="M164" s="454">
        <f t="shared" si="127"/>
        <v>2081.91</v>
      </c>
      <c r="N164" s="454">
        <f t="shared" si="127"/>
        <v>4672.75</v>
      </c>
      <c r="O164" s="454">
        <f t="shared" si="127"/>
        <v>548</v>
      </c>
      <c r="P164" s="454">
        <f t="shared" si="127"/>
        <v>1402</v>
      </c>
      <c r="Q164" s="454">
        <f t="shared" si="127"/>
        <v>0</v>
      </c>
      <c r="R164" s="454">
        <f t="shared" si="127"/>
        <v>0</v>
      </c>
      <c r="S164" s="454">
        <f t="shared" si="127"/>
        <v>0</v>
      </c>
      <c r="T164" s="454">
        <f t="shared" si="127"/>
        <v>0</v>
      </c>
      <c r="U164" s="454">
        <f t="shared" si="127"/>
        <v>0</v>
      </c>
      <c r="V164" s="454">
        <f t="shared" si="127"/>
        <v>0</v>
      </c>
      <c r="W164" s="554">
        <f>SUM(K164:V164)</f>
        <v>16233.33</v>
      </c>
      <c r="X164" s="475">
        <f>W164/W166</f>
        <v>0.73344330467030283</v>
      </c>
    </row>
    <row r="165" spans="9:25" ht="13.15" customHeight="1" x14ac:dyDescent="0.4">
      <c r="I165" s="444" t="s">
        <v>184</v>
      </c>
      <c r="K165" s="454">
        <f t="shared" ref="K165:V165" si="128">K151</f>
        <v>929</v>
      </c>
      <c r="L165" s="454">
        <f t="shared" si="128"/>
        <v>889</v>
      </c>
      <c r="M165" s="454">
        <f t="shared" si="128"/>
        <v>1316.71</v>
      </c>
      <c r="N165" s="454">
        <f t="shared" si="128"/>
        <v>1393</v>
      </c>
      <c r="O165" s="454">
        <f t="shared" si="128"/>
        <v>259</v>
      </c>
      <c r="P165" s="454">
        <f t="shared" si="128"/>
        <v>1113</v>
      </c>
      <c r="Q165" s="454">
        <f t="shared" si="128"/>
        <v>0</v>
      </c>
      <c r="R165" s="454">
        <f t="shared" si="128"/>
        <v>0</v>
      </c>
      <c r="S165" s="454">
        <f t="shared" si="128"/>
        <v>0</v>
      </c>
      <c r="T165" s="454">
        <f t="shared" si="128"/>
        <v>0</v>
      </c>
      <c r="U165" s="454">
        <f t="shared" si="128"/>
        <v>0</v>
      </c>
      <c r="V165" s="454">
        <f t="shared" si="128"/>
        <v>0</v>
      </c>
      <c r="W165" s="562">
        <f>SUM(K165:V165)</f>
        <v>5899.71</v>
      </c>
      <c r="X165" s="475">
        <f>W165/W166</f>
        <v>0.26655669532969711</v>
      </c>
    </row>
    <row r="166" spans="9:25" ht="13.15" customHeight="1" x14ac:dyDescent="0.4">
      <c r="I166" s="444"/>
      <c r="K166" s="563">
        <f t="shared" ref="K166:W166" si="129">K164+K165</f>
        <v>4772.67</v>
      </c>
      <c r="L166" s="563">
        <f t="shared" si="129"/>
        <v>4574</v>
      </c>
      <c r="M166" s="563">
        <f t="shared" si="129"/>
        <v>3398.62</v>
      </c>
      <c r="N166" s="563">
        <f t="shared" si="129"/>
        <v>6065.75</v>
      </c>
      <c r="O166" s="563">
        <f t="shared" si="129"/>
        <v>807</v>
      </c>
      <c r="P166" s="563">
        <f t="shared" si="129"/>
        <v>2515</v>
      </c>
      <c r="Q166" s="563">
        <f t="shared" si="129"/>
        <v>0</v>
      </c>
      <c r="R166" s="563">
        <f t="shared" si="129"/>
        <v>0</v>
      </c>
      <c r="S166" s="563">
        <f t="shared" si="129"/>
        <v>0</v>
      </c>
      <c r="T166" s="563">
        <f t="shared" si="129"/>
        <v>0</v>
      </c>
      <c r="U166" s="563">
        <f t="shared" si="129"/>
        <v>0</v>
      </c>
      <c r="V166" s="563">
        <f t="shared" si="129"/>
        <v>0</v>
      </c>
      <c r="W166" s="563">
        <f t="shared" si="129"/>
        <v>22133.040000000001</v>
      </c>
      <c r="X166" s="564"/>
    </row>
    <row r="167" spans="9:25" x14ac:dyDescent="0.35">
      <c r="J167" s="454"/>
      <c r="K167" s="454"/>
      <c r="L167" s="454"/>
      <c r="M167" s="454"/>
      <c r="N167" s="454"/>
      <c r="O167" s="454"/>
      <c r="P167" s="454"/>
      <c r="Q167" s="454"/>
      <c r="R167" s="454"/>
      <c r="S167" s="454"/>
      <c r="T167" s="454"/>
      <c r="U167" s="454"/>
      <c r="V167" s="454"/>
      <c r="W167" s="454"/>
      <c r="X167" s="454"/>
    </row>
    <row r="168" spans="9:25" ht="13.15" customHeight="1" x14ac:dyDescent="0.4">
      <c r="I168" s="556" t="s">
        <v>185</v>
      </c>
      <c r="K168" s="577" t="s">
        <v>142</v>
      </c>
      <c r="L168" s="577" t="s">
        <v>143</v>
      </c>
      <c r="M168" s="577" t="s">
        <v>144</v>
      </c>
      <c r="N168" s="577" t="s">
        <v>145</v>
      </c>
      <c r="O168" s="577" t="s">
        <v>146</v>
      </c>
      <c r="P168" s="577" t="s">
        <v>147</v>
      </c>
      <c r="Q168" s="577" t="s">
        <v>148</v>
      </c>
      <c r="R168" s="577" t="s">
        <v>149</v>
      </c>
      <c r="S168" s="577" t="s">
        <v>150</v>
      </c>
      <c r="T168" s="577" t="s">
        <v>151</v>
      </c>
      <c r="U168" s="577" t="s">
        <v>152</v>
      </c>
      <c r="V168" s="577" t="s">
        <v>153</v>
      </c>
      <c r="W168" s="577" t="s">
        <v>19</v>
      </c>
      <c r="X168" s="423" t="s">
        <v>158</v>
      </c>
    </row>
    <row r="169" spans="9:25" ht="13.15" customHeight="1" x14ac:dyDescent="0.4">
      <c r="I169" s="444" t="s">
        <v>183</v>
      </c>
      <c r="K169" s="454">
        <f t="shared" ref="K169:V169" si="130">K95-K170</f>
        <v>25</v>
      </c>
      <c r="L169" s="454">
        <f t="shared" si="130"/>
        <v>15</v>
      </c>
      <c r="M169" s="454">
        <f t="shared" si="130"/>
        <v>16</v>
      </c>
      <c r="N169" s="454">
        <f t="shared" si="130"/>
        <v>34</v>
      </c>
      <c r="O169" s="454">
        <f t="shared" si="130"/>
        <v>5</v>
      </c>
      <c r="P169" s="454">
        <f t="shared" si="130"/>
        <v>13</v>
      </c>
      <c r="Q169" s="454">
        <f t="shared" si="130"/>
        <v>0</v>
      </c>
      <c r="R169" s="454">
        <f t="shared" si="130"/>
        <v>0</v>
      </c>
      <c r="S169" s="454">
        <f t="shared" si="130"/>
        <v>0</v>
      </c>
      <c r="T169" s="454">
        <f t="shared" si="130"/>
        <v>0</v>
      </c>
      <c r="U169" s="454">
        <f t="shared" si="130"/>
        <v>0</v>
      </c>
      <c r="V169" s="454">
        <f t="shared" si="130"/>
        <v>0</v>
      </c>
      <c r="W169" s="554">
        <f>SUM(K169:V169)</f>
        <v>108</v>
      </c>
      <c r="X169" s="475">
        <f>W169/W171</f>
        <v>0.63529411764705879</v>
      </c>
    </row>
    <row r="170" spans="9:25" ht="13.15" customHeight="1" x14ac:dyDescent="0.4">
      <c r="I170" s="561" t="s">
        <v>175</v>
      </c>
      <c r="K170" s="454">
        <f>COUNTIFS($A$192:$A$370,"&gt;31/12/2025",$A$192:$A$370,"&lt;1/2/2026",$G$192:$G$370,"Existing")</f>
        <v>22</v>
      </c>
      <c r="L170" s="432">
        <f>COUNTIFS($A$192:$A$370,"&gt;31/1/2026",$A$192:$A$370,"&lt;1/3/2026",$G$192:$G$370,$I170)</f>
        <v>7</v>
      </c>
      <c r="M170" s="432">
        <f>COUNTIFS($A$192:$A$370,"&gt;28/2/2026",$A$192:$A$370,"&lt;1/4/2026",$G$192:$G$370,$I170)</f>
        <v>12</v>
      </c>
      <c r="N170" s="432">
        <f>COUNTIFS($A$192:$A$370,"&gt;31/3/2026",$A$192:$A$370,"&lt;1/5/2026",$G$192:$G$370,$I170)</f>
        <v>10</v>
      </c>
      <c r="O170" s="432">
        <f>COUNTIFS($A$192:$A$370,"&gt;30/4/2026",$A$192:$A$370,"&lt;1/6/2026",$G$192:$G$370,$I170)</f>
        <v>5</v>
      </c>
      <c r="P170" s="432">
        <f>COUNTIFS($A$192:$A$370,"&gt;31/5/2026",$A$192:$A$370,"&lt;1/7/2026",$G$192:$G$370,$I170)</f>
        <v>6</v>
      </c>
      <c r="Q170" s="432">
        <f>COUNTIFS($A$192:$A$370,"&gt;30/6/2026",$A$192:$A$370,"&lt;1/8/2026",$G$192:$G$370,$I170)</f>
        <v>0</v>
      </c>
      <c r="R170" s="432">
        <f>COUNTIFS($A$192:$A$370,"&gt;31/7/2026",$A$192:$A$370,"&lt;1/9/2026",$G$192:$G$370,$I170)</f>
        <v>0</v>
      </c>
      <c r="S170" s="432">
        <f>COUNTIFS($A$192:$A$370,"&gt;31/8/2026",$A$192:$A$370,"&lt;1/10/2026",$G$192:$G$370,$I170)</f>
        <v>0</v>
      </c>
      <c r="T170" s="432">
        <f>COUNTIFS($A$192:$A$370,"&gt;30/9/2026",$A$192:$A$370,"&lt;1/11/2026",$G$192:$G$370,$I170)</f>
        <v>0</v>
      </c>
      <c r="U170" s="432">
        <f>COUNTIFS($A$192:$A$370,"&gt;31/10/2026",$A$192:$A$370,"&lt;1/12/2026",$G$192:$G$370,$I170)</f>
        <v>0</v>
      </c>
      <c r="V170" s="432">
        <f>COUNTIFS($A$192:$A$370,"&gt;30/11/2026",$A$192:$A$370,"&lt;1/1/2027",$G$192:$G$370,$I170)</f>
        <v>0</v>
      </c>
      <c r="W170" s="554">
        <f>SUM(K170:V170)</f>
        <v>62</v>
      </c>
      <c r="X170" s="475">
        <f>W170/$W$171</f>
        <v>0.36470588235294116</v>
      </c>
    </row>
    <row r="171" spans="9:25" ht="13.15" customHeight="1" x14ac:dyDescent="0.4">
      <c r="J171" s="454"/>
      <c r="K171" s="563">
        <f t="shared" ref="K171:W171" si="131">K169+K170</f>
        <v>47</v>
      </c>
      <c r="L171" s="563">
        <f t="shared" si="131"/>
        <v>22</v>
      </c>
      <c r="M171" s="563">
        <f t="shared" si="131"/>
        <v>28</v>
      </c>
      <c r="N171" s="563">
        <f t="shared" si="131"/>
        <v>44</v>
      </c>
      <c r="O171" s="563">
        <f t="shared" si="131"/>
        <v>10</v>
      </c>
      <c r="P171" s="563">
        <f t="shared" si="131"/>
        <v>19</v>
      </c>
      <c r="Q171" s="563">
        <f t="shared" si="131"/>
        <v>0</v>
      </c>
      <c r="R171" s="563">
        <f t="shared" si="131"/>
        <v>0</v>
      </c>
      <c r="S171" s="563">
        <f t="shared" si="131"/>
        <v>0</v>
      </c>
      <c r="T171" s="563">
        <f t="shared" si="131"/>
        <v>0</v>
      </c>
      <c r="U171" s="563">
        <f t="shared" si="131"/>
        <v>0</v>
      </c>
      <c r="V171" s="563">
        <f t="shared" si="131"/>
        <v>0</v>
      </c>
      <c r="W171" s="563">
        <f t="shared" si="131"/>
        <v>170</v>
      </c>
      <c r="X171" s="564"/>
    </row>
    <row r="172" spans="9:25" ht="13.15" customHeight="1" x14ac:dyDescent="0.4">
      <c r="J172" s="454"/>
      <c r="K172" s="613">
        <f t="shared" ref="K172:W172" si="132">K95-K171</f>
        <v>0</v>
      </c>
      <c r="L172" s="613">
        <f t="shared" si="132"/>
        <v>0</v>
      </c>
      <c r="M172" s="613">
        <f t="shared" si="132"/>
        <v>0</v>
      </c>
      <c r="N172" s="613">
        <f t="shared" si="132"/>
        <v>0</v>
      </c>
      <c r="O172" s="613">
        <f t="shared" si="132"/>
        <v>0</v>
      </c>
      <c r="P172" s="613">
        <f t="shared" si="132"/>
        <v>0</v>
      </c>
      <c r="Q172" s="613">
        <f t="shared" si="132"/>
        <v>0</v>
      </c>
      <c r="R172" s="613">
        <f t="shared" si="132"/>
        <v>0</v>
      </c>
      <c r="S172" s="613">
        <f t="shared" si="132"/>
        <v>0</v>
      </c>
      <c r="T172" s="613">
        <f t="shared" si="132"/>
        <v>0</v>
      </c>
      <c r="U172" s="613">
        <f t="shared" si="132"/>
        <v>0</v>
      </c>
      <c r="V172" s="613">
        <f t="shared" si="132"/>
        <v>0</v>
      </c>
      <c r="W172" s="613">
        <f t="shared" si="132"/>
        <v>0</v>
      </c>
      <c r="X172" s="475"/>
    </row>
    <row r="173" spans="9:25" ht="13.15" customHeight="1" x14ac:dyDescent="0.4">
      <c r="I173" s="556" t="s">
        <v>186</v>
      </c>
      <c r="K173" s="577" t="s">
        <v>142</v>
      </c>
      <c r="L173" s="577" t="s">
        <v>143</v>
      </c>
      <c r="M173" s="577" t="s">
        <v>144</v>
      </c>
      <c r="N173" s="577" t="s">
        <v>145</v>
      </c>
      <c r="O173" s="577" t="s">
        <v>146</v>
      </c>
      <c r="P173" s="577" t="s">
        <v>147</v>
      </c>
      <c r="Q173" s="577" t="s">
        <v>148</v>
      </c>
      <c r="R173" s="577" t="s">
        <v>149</v>
      </c>
      <c r="S173" s="577" t="s">
        <v>150</v>
      </c>
      <c r="T173" s="577" t="s">
        <v>151</v>
      </c>
      <c r="U173" s="577" t="s">
        <v>152</v>
      </c>
      <c r="V173" s="577" t="s">
        <v>153</v>
      </c>
      <c r="W173" s="577" t="s">
        <v>19</v>
      </c>
      <c r="X173" s="423" t="s">
        <v>158</v>
      </c>
    </row>
    <row r="174" spans="9:25" ht="13.15" customHeight="1" x14ac:dyDescent="0.4">
      <c r="I174" s="444" t="s">
        <v>183</v>
      </c>
      <c r="K174" s="454">
        <f t="shared" ref="K174:V174" si="133">IFERROR(K164/K169,0)</f>
        <v>153.74680000000001</v>
      </c>
      <c r="L174" s="454">
        <f t="shared" si="133"/>
        <v>245.66666666666666</v>
      </c>
      <c r="M174" s="454">
        <f t="shared" si="133"/>
        <v>130.11937499999999</v>
      </c>
      <c r="N174" s="454">
        <f t="shared" si="133"/>
        <v>137.43382352941177</v>
      </c>
      <c r="O174" s="454">
        <f t="shared" si="133"/>
        <v>109.6</v>
      </c>
      <c r="P174" s="454">
        <f t="shared" si="133"/>
        <v>107.84615384615384</v>
      </c>
      <c r="Q174" s="454">
        <f t="shared" si="133"/>
        <v>0</v>
      </c>
      <c r="R174" s="454">
        <f t="shared" si="133"/>
        <v>0</v>
      </c>
      <c r="S174" s="454">
        <f t="shared" si="133"/>
        <v>0</v>
      </c>
      <c r="T174" s="454">
        <f t="shared" si="133"/>
        <v>0</v>
      </c>
      <c r="U174" s="454">
        <f t="shared" si="133"/>
        <v>0</v>
      </c>
      <c r="V174" s="454">
        <f t="shared" si="133"/>
        <v>0</v>
      </c>
      <c r="W174" s="554">
        <f>AVERAGE(K174:V174)</f>
        <v>73.701068253519352</v>
      </c>
      <c r="X174" s="475" t="e">
        <f>W174/#REF!</f>
        <v>#REF!</v>
      </c>
    </row>
    <row r="175" spans="9:25" ht="13.15" customHeight="1" x14ac:dyDescent="0.4">
      <c r="I175" s="444" t="s">
        <v>184</v>
      </c>
      <c r="K175" s="454">
        <f t="shared" ref="K175:V175" si="134">IFERROR(K165/K170,0)</f>
        <v>42.227272727272727</v>
      </c>
      <c r="L175" s="454">
        <f t="shared" si="134"/>
        <v>127</v>
      </c>
      <c r="M175" s="454">
        <f t="shared" si="134"/>
        <v>109.72583333333334</v>
      </c>
      <c r="N175" s="454">
        <f t="shared" si="134"/>
        <v>139.30000000000001</v>
      </c>
      <c r="O175" s="454">
        <f t="shared" si="134"/>
        <v>51.8</v>
      </c>
      <c r="P175" s="454">
        <f t="shared" si="134"/>
        <v>185.5</v>
      </c>
      <c r="Q175" s="454">
        <f t="shared" si="134"/>
        <v>0</v>
      </c>
      <c r="R175" s="454">
        <f t="shared" si="134"/>
        <v>0</v>
      </c>
      <c r="S175" s="454">
        <f t="shared" si="134"/>
        <v>0</v>
      </c>
      <c r="T175" s="454">
        <f t="shared" si="134"/>
        <v>0</v>
      </c>
      <c r="U175" s="454">
        <f t="shared" si="134"/>
        <v>0</v>
      </c>
      <c r="V175" s="454">
        <f t="shared" si="134"/>
        <v>0</v>
      </c>
      <c r="W175" s="554">
        <f>AVERAGE(K175:V175)</f>
        <v>54.629425505050506</v>
      </c>
      <c r="X175" s="475" t="e">
        <f>W175/#REF!</f>
        <v>#REF!</v>
      </c>
    </row>
    <row r="186" spans="1:10" ht="13.15" customHeight="1" x14ac:dyDescent="0.4">
      <c r="E186" s="605">
        <f>SUM(E192:E370)</f>
        <v>22133.039999999997</v>
      </c>
    </row>
    <row r="187" spans="1:10" ht="13.9" customHeight="1" x14ac:dyDescent="0.4">
      <c r="A187" s="482" t="s">
        <v>187</v>
      </c>
      <c r="B187" s="459" t="s">
        <v>188</v>
      </c>
      <c r="C187" s="459" t="s">
        <v>189</v>
      </c>
      <c r="D187" s="459" t="s">
        <v>190</v>
      </c>
      <c r="E187" s="483" t="s">
        <v>74</v>
      </c>
      <c r="F187" s="459" t="s">
        <v>75</v>
      </c>
      <c r="G187" s="459" t="s">
        <v>191</v>
      </c>
      <c r="I187" s="647" t="s">
        <v>192</v>
      </c>
      <c r="J187" s="647" t="s">
        <v>193</v>
      </c>
    </row>
    <row r="192" spans="1:10" ht="13.5" customHeight="1" x14ac:dyDescent="0.35">
      <c r="A192" s="838"/>
      <c r="B192" s="839"/>
      <c r="C192" s="840"/>
      <c r="D192" s="839"/>
      <c r="E192" s="841"/>
      <c r="F192" s="839"/>
      <c r="G192" s="839"/>
    </row>
    <row r="193" spans="1:10" ht="13.5" customHeight="1" x14ac:dyDescent="0.35">
      <c r="A193" s="838"/>
      <c r="B193" s="839"/>
      <c r="C193" s="840"/>
      <c r="D193" s="839"/>
      <c r="E193" s="841"/>
      <c r="F193" s="839"/>
      <c r="G193" s="839"/>
    </row>
    <row r="194" spans="1:10" ht="13.5" customHeight="1" x14ac:dyDescent="0.35">
      <c r="A194" s="838"/>
      <c r="B194" s="839"/>
      <c r="C194" s="840"/>
      <c r="D194" s="839"/>
      <c r="E194" s="841"/>
      <c r="F194" s="839"/>
      <c r="G194" s="839"/>
    </row>
    <row r="195" spans="1:10" ht="13.5" customHeight="1" x14ac:dyDescent="0.35">
      <c r="A195" s="838"/>
      <c r="B195" s="839"/>
      <c r="C195" s="840"/>
      <c r="D195" s="839"/>
      <c r="E195" s="841"/>
      <c r="F195" s="839"/>
      <c r="G195" s="839"/>
    </row>
    <row r="196" spans="1:10" ht="13.5" customHeight="1" x14ac:dyDescent="0.35">
      <c r="A196" s="838">
        <v>46191</v>
      </c>
      <c r="B196" s="839" t="s">
        <v>8540</v>
      </c>
      <c r="C196" s="840" t="s">
        <v>31</v>
      </c>
      <c r="D196" s="839" t="s">
        <v>159</v>
      </c>
      <c r="E196" s="841">
        <v>25</v>
      </c>
      <c r="F196" s="839" t="s">
        <v>273</v>
      </c>
      <c r="G196" s="839" t="s">
        <v>175</v>
      </c>
      <c r="I196" t="s">
        <v>274</v>
      </c>
      <c r="J196" s="426" t="s">
        <v>226</v>
      </c>
    </row>
    <row r="197" spans="1:10" ht="13.5" customHeight="1" x14ac:dyDescent="0.35">
      <c r="A197" s="838">
        <v>46191</v>
      </c>
      <c r="B197" s="839" t="s">
        <v>8537</v>
      </c>
      <c r="C197" s="840" t="s">
        <v>31</v>
      </c>
      <c r="D197" s="839" t="s">
        <v>159</v>
      </c>
      <c r="E197" s="841">
        <v>25</v>
      </c>
      <c r="F197" s="839" t="s">
        <v>273</v>
      </c>
      <c r="G197" s="839" t="s">
        <v>175</v>
      </c>
      <c r="I197" t="s">
        <v>274</v>
      </c>
      <c r="J197" s="426" t="s">
        <v>226</v>
      </c>
    </row>
    <row r="198" spans="1:10" ht="13.5" customHeight="1" x14ac:dyDescent="0.35">
      <c r="A198" s="838">
        <v>46190</v>
      </c>
      <c r="B198" s="839" t="s">
        <v>8531</v>
      </c>
      <c r="C198" s="840" t="s">
        <v>59</v>
      </c>
      <c r="D198" s="839" t="s">
        <v>160</v>
      </c>
      <c r="E198" s="841">
        <v>250</v>
      </c>
      <c r="F198" s="839" t="s">
        <v>8532</v>
      </c>
      <c r="G198" s="839" t="s">
        <v>174</v>
      </c>
      <c r="I198" t="s">
        <v>254</v>
      </c>
      <c r="J198" t="s">
        <v>304</v>
      </c>
    </row>
    <row r="199" spans="1:10" ht="13.5" customHeight="1" x14ac:dyDescent="0.35">
      <c r="A199" s="838">
        <v>46190</v>
      </c>
      <c r="B199" s="839" t="s">
        <v>97</v>
      </c>
      <c r="C199" s="840" t="s">
        <v>59</v>
      </c>
      <c r="D199" s="839" t="s">
        <v>162</v>
      </c>
      <c r="E199" s="841">
        <v>370</v>
      </c>
      <c r="F199" s="839" t="s">
        <v>1132</v>
      </c>
      <c r="G199" s="839" t="s">
        <v>175</v>
      </c>
      <c r="I199" t="s">
        <v>254</v>
      </c>
      <c r="J199" t="s">
        <v>304</v>
      </c>
    </row>
    <row r="200" spans="1:10" ht="13.5" customHeight="1" x14ac:dyDescent="0.35">
      <c r="A200" s="838">
        <v>46188</v>
      </c>
      <c r="B200" s="839" t="s">
        <v>310</v>
      </c>
      <c r="C200" s="840" t="s">
        <v>62</v>
      </c>
      <c r="D200" s="839" t="s">
        <v>159</v>
      </c>
      <c r="E200" s="841">
        <v>59</v>
      </c>
      <c r="F200" s="839" t="s">
        <v>8530</v>
      </c>
      <c r="G200" s="839" t="s">
        <v>175</v>
      </c>
      <c r="I200" t="s">
        <v>201</v>
      </c>
      <c r="J200" t="s">
        <v>202</v>
      </c>
    </row>
    <row r="201" spans="1:10" ht="13.5" customHeight="1" x14ac:dyDescent="0.35">
      <c r="A201" s="838">
        <v>46188</v>
      </c>
      <c r="B201" s="839" t="s">
        <v>8529</v>
      </c>
      <c r="C201" s="840" t="s">
        <v>62</v>
      </c>
      <c r="D201" s="839" t="s">
        <v>159</v>
      </c>
      <c r="E201" s="841">
        <v>59</v>
      </c>
      <c r="F201" s="839" t="s">
        <v>8530</v>
      </c>
      <c r="G201" s="839" t="s">
        <v>175</v>
      </c>
      <c r="I201" t="s">
        <v>201</v>
      </c>
      <c r="J201" t="s">
        <v>202</v>
      </c>
    </row>
    <row r="202" spans="1:10" ht="13.5" customHeight="1" x14ac:dyDescent="0.35">
      <c r="A202" s="838">
        <v>46188</v>
      </c>
      <c r="B202" s="839" t="s">
        <v>641</v>
      </c>
      <c r="C202" s="840" t="s">
        <v>31</v>
      </c>
      <c r="D202" s="839" t="s">
        <v>162</v>
      </c>
      <c r="E202" s="841">
        <v>95</v>
      </c>
      <c r="F202" s="839" t="s">
        <v>788</v>
      </c>
      <c r="G202" s="839" t="s">
        <v>126</v>
      </c>
      <c r="I202" t="s">
        <v>378</v>
      </c>
      <c r="J202" s="426" t="s">
        <v>226</v>
      </c>
    </row>
    <row r="203" spans="1:10" ht="13.5" customHeight="1" x14ac:dyDescent="0.35">
      <c r="A203" s="838">
        <v>46188</v>
      </c>
      <c r="B203" s="839" t="s">
        <v>261</v>
      </c>
      <c r="C203" s="840" t="s">
        <v>28</v>
      </c>
      <c r="D203" s="839" t="s">
        <v>162</v>
      </c>
      <c r="E203" s="841">
        <v>100</v>
      </c>
      <c r="F203" s="839" t="s">
        <v>580</v>
      </c>
      <c r="G203" s="839" t="s">
        <v>126</v>
      </c>
      <c r="I203" t="s">
        <v>196</v>
      </c>
      <c r="J203" t="s">
        <v>197</v>
      </c>
    </row>
    <row r="204" spans="1:10" ht="13.5" customHeight="1" x14ac:dyDescent="0.35">
      <c r="A204" s="838">
        <v>46188</v>
      </c>
      <c r="B204" s="839" t="s">
        <v>275</v>
      </c>
      <c r="C204" s="840" t="s">
        <v>28</v>
      </c>
      <c r="D204" s="839" t="s">
        <v>162</v>
      </c>
      <c r="E204" s="841">
        <v>100</v>
      </c>
      <c r="F204" s="839" t="s">
        <v>580</v>
      </c>
      <c r="G204" s="839" t="s">
        <v>126</v>
      </c>
      <c r="I204" t="s">
        <v>196</v>
      </c>
      <c r="J204" t="s">
        <v>197</v>
      </c>
    </row>
    <row r="205" spans="1:10" ht="13.5" customHeight="1" x14ac:dyDescent="0.35">
      <c r="A205" s="838">
        <v>46188</v>
      </c>
      <c r="B205" s="839" t="s">
        <v>6431</v>
      </c>
      <c r="C205" s="840" t="s">
        <v>28</v>
      </c>
      <c r="D205" s="839" t="s">
        <v>162</v>
      </c>
      <c r="E205" s="841">
        <v>100</v>
      </c>
      <c r="F205" s="839" t="s">
        <v>580</v>
      </c>
      <c r="G205" s="839" t="s">
        <v>126</v>
      </c>
      <c r="I205" t="s">
        <v>196</v>
      </c>
      <c r="J205" t="s">
        <v>197</v>
      </c>
    </row>
    <row r="206" spans="1:10" ht="13.5" customHeight="1" x14ac:dyDescent="0.35">
      <c r="A206" s="838">
        <v>46183</v>
      </c>
      <c r="B206" s="839" t="s">
        <v>8515</v>
      </c>
      <c r="C206" s="840" t="s">
        <v>47</v>
      </c>
      <c r="D206" s="839" t="s">
        <v>159</v>
      </c>
      <c r="E206" s="841">
        <v>65</v>
      </c>
      <c r="F206" s="839" t="s">
        <v>2094</v>
      </c>
      <c r="G206" s="839" t="s">
        <v>174</v>
      </c>
      <c r="I206" t="s">
        <v>268</v>
      </c>
      <c r="J206" s="426" t="s">
        <v>269</v>
      </c>
    </row>
    <row r="207" spans="1:10" ht="13.5" customHeight="1" x14ac:dyDescent="0.35">
      <c r="A207" s="838">
        <v>46181</v>
      </c>
      <c r="B207" s="839" t="s">
        <v>256</v>
      </c>
      <c r="C207" s="840" t="s">
        <v>47</v>
      </c>
      <c r="D207" s="839" t="s">
        <v>162</v>
      </c>
      <c r="E207" s="841">
        <v>100</v>
      </c>
      <c r="F207" s="848" t="s">
        <v>941</v>
      </c>
      <c r="G207" s="839" t="s">
        <v>126</v>
      </c>
      <c r="I207" t="s">
        <v>205</v>
      </c>
      <c r="J207" s="426" t="s">
        <v>206</v>
      </c>
    </row>
    <row r="208" spans="1:10" ht="13.5" customHeight="1" x14ac:dyDescent="0.35">
      <c r="A208" s="838">
        <v>46181</v>
      </c>
      <c r="B208" s="839" t="s">
        <v>7518</v>
      </c>
      <c r="C208" s="840" t="s">
        <v>31</v>
      </c>
      <c r="D208" s="839" t="s">
        <v>162</v>
      </c>
      <c r="E208" s="841">
        <v>99</v>
      </c>
      <c r="F208" s="839" t="s">
        <v>3588</v>
      </c>
      <c r="G208" s="839" t="s">
        <v>126</v>
      </c>
      <c r="I208" t="s">
        <v>231</v>
      </c>
      <c r="J208" s="426" t="s">
        <v>226</v>
      </c>
    </row>
    <row r="209" spans="1:10" ht="13.5" customHeight="1" x14ac:dyDescent="0.35">
      <c r="A209" s="838">
        <v>46181</v>
      </c>
      <c r="B209" s="839" t="s">
        <v>1304</v>
      </c>
      <c r="C209" s="840" t="s">
        <v>31</v>
      </c>
      <c r="D209" s="839" t="s">
        <v>162</v>
      </c>
      <c r="E209" s="841">
        <v>150</v>
      </c>
      <c r="F209" s="839" t="s">
        <v>3588</v>
      </c>
      <c r="G209" s="839" t="s">
        <v>126</v>
      </c>
      <c r="I209" t="s">
        <v>231</v>
      </c>
      <c r="J209" s="426" t="s">
        <v>226</v>
      </c>
    </row>
    <row r="210" spans="1:10" ht="13.5" customHeight="1" x14ac:dyDescent="0.35">
      <c r="A210" s="838">
        <v>46181</v>
      </c>
      <c r="B210" s="839" t="s">
        <v>7534</v>
      </c>
      <c r="C210" s="840" t="s">
        <v>31</v>
      </c>
      <c r="D210" s="839" t="s">
        <v>162</v>
      </c>
      <c r="E210" s="841">
        <v>99</v>
      </c>
      <c r="F210" s="839" t="s">
        <v>3588</v>
      </c>
      <c r="G210" s="839" t="s">
        <v>126</v>
      </c>
      <c r="I210" t="s">
        <v>231</v>
      </c>
      <c r="J210" s="426" t="s">
        <v>226</v>
      </c>
    </row>
    <row r="211" spans="1:10" ht="13.5" customHeight="1" x14ac:dyDescent="0.35">
      <c r="A211" s="838">
        <v>46181</v>
      </c>
      <c r="B211" s="839" t="s">
        <v>7553</v>
      </c>
      <c r="C211" s="840" t="s">
        <v>31</v>
      </c>
      <c r="D211" s="839" t="s">
        <v>162</v>
      </c>
      <c r="E211" s="841">
        <v>99</v>
      </c>
      <c r="F211" s="839" t="s">
        <v>3588</v>
      </c>
      <c r="G211" s="839" t="s">
        <v>126</v>
      </c>
      <c r="I211" t="s">
        <v>231</v>
      </c>
      <c r="J211" s="426" t="s">
        <v>226</v>
      </c>
    </row>
    <row r="212" spans="1:10" ht="13.5" customHeight="1" x14ac:dyDescent="0.35">
      <c r="A212" s="838">
        <v>46180</v>
      </c>
      <c r="B212" s="839" t="s">
        <v>8516</v>
      </c>
      <c r="C212" s="840" t="s">
        <v>31</v>
      </c>
      <c r="D212" s="839" t="s">
        <v>159</v>
      </c>
      <c r="E212" s="841">
        <v>95</v>
      </c>
      <c r="F212" s="839" t="s">
        <v>1228</v>
      </c>
      <c r="G212" s="839" t="s">
        <v>174</v>
      </c>
      <c r="I212" t="s">
        <v>378</v>
      </c>
      <c r="J212" s="426" t="s">
        <v>226</v>
      </c>
    </row>
    <row r="213" spans="1:10" ht="13.5" customHeight="1" x14ac:dyDescent="0.35">
      <c r="A213" s="838">
        <v>46174</v>
      </c>
      <c r="B213" s="839" t="s">
        <v>771</v>
      </c>
      <c r="C213" s="840" t="s">
        <v>35</v>
      </c>
      <c r="D213" s="839" t="s">
        <v>159</v>
      </c>
      <c r="E213" s="841">
        <v>575</v>
      </c>
      <c r="F213" s="839" t="s">
        <v>8501</v>
      </c>
      <c r="G213" s="839" t="s">
        <v>175</v>
      </c>
      <c r="I213" t="s">
        <v>8469</v>
      </c>
      <c r="J213" s="426" t="s">
        <v>8502</v>
      </c>
    </row>
    <row r="214" spans="1:10" ht="13.5" customHeight="1" x14ac:dyDescent="0.35">
      <c r="A214" s="838">
        <v>46174</v>
      </c>
      <c r="B214" s="839" t="s">
        <v>8500</v>
      </c>
      <c r="C214" s="840" t="s">
        <v>47</v>
      </c>
      <c r="D214" s="839" t="s">
        <v>159</v>
      </c>
      <c r="E214" s="841">
        <v>50</v>
      </c>
      <c r="F214" s="839" t="s">
        <v>2094</v>
      </c>
      <c r="G214" s="839" t="s">
        <v>174</v>
      </c>
      <c r="I214" t="s">
        <v>268</v>
      </c>
      <c r="J214" s="426" t="s">
        <v>269</v>
      </c>
    </row>
    <row r="215" spans="1:10" ht="13.5" customHeight="1" x14ac:dyDescent="0.35">
      <c r="A215" s="838"/>
      <c r="B215" s="839"/>
      <c r="C215" s="840"/>
      <c r="D215" s="839"/>
      <c r="E215" s="841"/>
      <c r="F215" s="839"/>
      <c r="G215" s="839"/>
    </row>
    <row r="216" spans="1:10" ht="13.5" customHeight="1" x14ac:dyDescent="0.35">
      <c r="A216" s="838">
        <v>46170</v>
      </c>
      <c r="B216" s="839" t="s">
        <v>345</v>
      </c>
      <c r="C216" s="840" t="s">
        <v>44</v>
      </c>
      <c r="D216" s="839" t="s">
        <v>159</v>
      </c>
      <c r="E216" s="841">
        <v>20</v>
      </c>
      <c r="F216" s="839" t="s">
        <v>293</v>
      </c>
      <c r="G216" s="839" t="s">
        <v>175</v>
      </c>
      <c r="I216" t="s">
        <v>294</v>
      </c>
      <c r="J216" s="426" t="s">
        <v>295</v>
      </c>
    </row>
    <row r="217" spans="1:10" ht="13.5" customHeight="1" x14ac:dyDescent="0.35">
      <c r="A217" s="838">
        <v>46168</v>
      </c>
      <c r="B217" s="839" t="s">
        <v>194</v>
      </c>
      <c r="C217" s="840" t="s">
        <v>28</v>
      </c>
      <c r="D217" s="839" t="s">
        <v>162</v>
      </c>
      <c r="E217" s="841">
        <v>120</v>
      </c>
      <c r="F217" s="839" t="s">
        <v>195</v>
      </c>
      <c r="G217" s="839" t="s">
        <v>180</v>
      </c>
      <c r="I217" t="s">
        <v>196</v>
      </c>
      <c r="J217" t="s">
        <v>197</v>
      </c>
    </row>
    <row r="218" spans="1:10" ht="13.5" customHeight="1" x14ac:dyDescent="0.35">
      <c r="A218" s="838">
        <v>46168</v>
      </c>
      <c r="B218" s="839" t="s">
        <v>198</v>
      </c>
      <c r="C218" s="840" t="s">
        <v>28</v>
      </c>
      <c r="D218" s="839" t="s">
        <v>162</v>
      </c>
      <c r="E218" s="841">
        <v>120</v>
      </c>
      <c r="F218" s="839" t="s">
        <v>195</v>
      </c>
      <c r="G218" s="839" t="s">
        <v>180</v>
      </c>
      <c r="I218" t="s">
        <v>196</v>
      </c>
      <c r="J218" t="s">
        <v>197</v>
      </c>
    </row>
    <row r="219" spans="1:10" ht="13.5" customHeight="1" x14ac:dyDescent="0.35">
      <c r="A219" s="838">
        <v>46163</v>
      </c>
      <c r="B219" s="839" t="s">
        <v>199</v>
      </c>
      <c r="C219" s="840" t="s">
        <v>62</v>
      </c>
      <c r="D219" s="839" t="s">
        <v>159</v>
      </c>
      <c r="E219" s="841">
        <v>79</v>
      </c>
      <c r="F219" s="839" t="s">
        <v>200</v>
      </c>
      <c r="G219" s="839" t="s">
        <v>174</v>
      </c>
      <c r="I219" t="s">
        <v>201</v>
      </c>
      <c r="J219" t="s">
        <v>202</v>
      </c>
    </row>
    <row r="220" spans="1:10" ht="13.5" customHeight="1" x14ac:dyDescent="0.35">
      <c r="A220" s="838">
        <v>46162</v>
      </c>
      <c r="B220" s="839" t="s">
        <v>203</v>
      </c>
      <c r="C220" s="840" t="s">
        <v>47</v>
      </c>
      <c r="D220" s="839" t="s">
        <v>159</v>
      </c>
      <c r="E220" s="841">
        <v>65</v>
      </c>
      <c r="F220" s="848" t="s">
        <v>204</v>
      </c>
      <c r="G220" s="839" t="s">
        <v>175</v>
      </c>
      <c r="I220" t="s">
        <v>205</v>
      </c>
      <c r="J220" t="s">
        <v>206</v>
      </c>
    </row>
    <row r="221" spans="1:10" ht="13.5" customHeight="1" x14ac:dyDescent="0.35">
      <c r="A221" s="838">
        <v>46159</v>
      </c>
      <c r="B221" s="839" t="s">
        <v>207</v>
      </c>
      <c r="C221" s="840" t="s">
        <v>62</v>
      </c>
      <c r="D221" s="839" t="s">
        <v>159</v>
      </c>
      <c r="E221" s="841">
        <v>59</v>
      </c>
      <c r="F221" s="839" t="s">
        <v>200</v>
      </c>
      <c r="G221" s="839" t="s">
        <v>175</v>
      </c>
      <c r="I221" t="s">
        <v>201</v>
      </c>
      <c r="J221" t="s">
        <v>202</v>
      </c>
    </row>
    <row r="222" spans="1:10" ht="13.5" customHeight="1" x14ac:dyDescent="0.35">
      <c r="A222" s="838">
        <v>46156</v>
      </c>
      <c r="B222" s="839" t="s">
        <v>208</v>
      </c>
      <c r="C222" s="840" t="s">
        <v>50</v>
      </c>
      <c r="D222" s="839" t="s">
        <v>159</v>
      </c>
      <c r="E222" s="841">
        <v>150</v>
      </c>
      <c r="F222" s="839" t="s">
        <v>209</v>
      </c>
      <c r="G222" s="839" t="s">
        <v>174</v>
      </c>
      <c r="I222" t="s">
        <v>210</v>
      </c>
      <c r="J222" t="s">
        <v>211</v>
      </c>
    </row>
    <row r="223" spans="1:10" ht="13.5" customHeight="1" x14ac:dyDescent="0.35">
      <c r="A223" s="838">
        <v>46154</v>
      </c>
      <c r="B223" s="839" t="s">
        <v>212</v>
      </c>
      <c r="C223" s="840" t="s">
        <v>62</v>
      </c>
      <c r="D223" s="839" t="s">
        <v>159</v>
      </c>
      <c r="E223" s="841">
        <v>79</v>
      </c>
      <c r="F223" s="839" t="s">
        <v>200</v>
      </c>
      <c r="G223" s="839" t="s">
        <v>174</v>
      </c>
      <c r="I223" t="s">
        <v>201</v>
      </c>
      <c r="J223" t="s">
        <v>202</v>
      </c>
    </row>
    <row r="224" spans="1:10" ht="13.5" customHeight="1" x14ac:dyDescent="0.35">
      <c r="A224" s="838">
        <v>46152</v>
      </c>
      <c r="B224" s="839" t="s">
        <v>213</v>
      </c>
      <c r="C224" s="840" t="s">
        <v>28</v>
      </c>
      <c r="D224" s="839" t="s">
        <v>159</v>
      </c>
      <c r="E224" s="841">
        <v>50</v>
      </c>
      <c r="F224" s="839" t="s">
        <v>214</v>
      </c>
      <c r="G224" s="839" t="s">
        <v>175</v>
      </c>
      <c r="I224" t="s">
        <v>215</v>
      </c>
      <c r="J224" t="s">
        <v>216</v>
      </c>
    </row>
    <row r="225" spans="1:10" ht="13.5" customHeight="1" x14ac:dyDescent="0.35">
      <c r="A225" s="838">
        <v>46145</v>
      </c>
      <c r="B225" s="839" t="s">
        <v>203</v>
      </c>
      <c r="C225" s="840" t="s">
        <v>47</v>
      </c>
      <c r="D225" s="839" t="s">
        <v>159</v>
      </c>
      <c r="E225" s="841">
        <v>65</v>
      </c>
      <c r="F225" s="848" t="s">
        <v>204</v>
      </c>
      <c r="G225" s="839" t="s">
        <v>175</v>
      </c>
      <c r="I225" t="s">
        <v>205</v>
      </c>
      <c r="J225" t="s">
        <v>206</v>
      </c>
    </row>
    <row r="226" spans="1:10" ht="13.5" customHeight="1" x14ac:dyDescent="0.35">
      <c r="A226" s="838"/>
      <c r="B226" s="839"/>
      <c r="C226" s="840"/>
      <c r="D226" s="839"/>
      <c r="E226" s="841"/>
      <c r="F226" s="839"/>
      <c r="G226" s="839"/>
    </row>
    <row r="227" spans="1:10" ht="13.5" customHeight="1" x14ac:dyDescent="0.35">
      <c r="A227" s="838">
        <v>46141</v>
      </c>
      <c r="B227" s="839" t="s">
        <v>217</v>
      </c>
      <c r="C227" s="840" t="s">
        <v>28</v>
      </c>
      <c r="D227" s="839" t="s">
        <v>159</v>
      </c>
      <c r="E227" s="841">
        <v>150</v>
      </c>
      <c r="F227" s="839" t="s">
        <v>195</v>
      </c>
      <c r="G227" s="839" t="s">
        <v>174</v>
      </c>
      <c r="I227" t="s">
        <v>196</v>
      </c>
      <c r="J227" t="s">
        <v>197</v>
      </c>
    </row>
    <row r="228" spans="1:10" ht="13.5" customHeight="1" x14ac:dyDescent="0.35">
      <c r="A228" s="838">
        <v>46139</v>
      </c>
      <c r="B228" s="839" t="s">
        <v>218</v>
      </c>
      <c r="C228" s="840" t="s">
        <v>53</v>
      </c>
      <c r="D228" s="839" t="s">
        <v>165</v>
      </c>
      <c r="E228" s="841">
        <v>-100</v>
      </c>
      <c r="F228" s="839" t="s">
        <v>219</v>
      </c>
      <c r="G228" s="839" t="s">
        <v>174</v>
      </c>
      <c r="I228" t="s">
        <v>220</v>
      </c>
      <c r="J228"/>
    </row>
    <row r="229" spans="1:10" ht="13.5" customHeight="1" x14ac:dyDescent="0.35">
      <c r="A229" s="838">
        <v>46139</v>
      </c>
      <c r="B229" s="839" t="s">
        <v>218</v>
      </c>
      <c r="C229" s="840" t="s">
        <v>35</v>
      </c>
      <c r="D229" s="839" t="s">
        <v>165</v>
      </c>
      <c r="E229" s="841">
        <v>100</v>
      </c>
      <c r="F229" s="839" t="s">
        <v>219</v>
      </c>
      <c r="G229" s="839" t="s">
        <v>174</v>
      </c>
      <c r="I229" t="s">
        <v>221</v>
      </c>
      <c r="J229" t="s">
        <v>222</v>
      </c>
    </row>
    <row r="230" spans="1:10" ht="13.5" customHeight="1" x14ac:dyDescent="0.35">
      <c r="A230" s="838">
        <v>46139</v>
      </c>
      <c r="B230" s="839" t="s">
        <v>218</v>
      </c>
      <c r="C230" s="840" t="s">
        <v>35</v>
      </c>
      <c r="D230" s="839" t="s">
        <v>159</v>
      </c>
      <c r="E230" s="841">
        <v>675</v>
      </c>
      <c r="F230" s="839" t="s">
        <v>219</v>
      </c>
      <c r="G230" s="839" t="s">
        <v>174</v>
      </c>
      <c r="I230" t="s">
        <v>221</v>
      </c>
      <c r="J230" t="s">
        <v>222</v>
      </c>
    </row>
    <row r="231" spans="1:10" ht="13.5" customHeight="1" x14ac:dyDescent="0.35">
      <c r="A231" s="838">
        <v>46138</v>
      </c>
      <c r="B231" s="839" t="s">
        <v>223</v>
      </c>
      <c r="C231" s="840" t="s">
        <v>53</v>
      </c>
      <c r="D231" s="839" t="s">
        <v>165</v>
      </c>
      <c r="E231" s="841">
        <v>-125</v>
      </c>
      <c r="F231" s="839" t="s">
        <v>224</v>
      </c>
      <c r="G231" s="839" t="s">
        <v>174</v>
      </c>
      <c r="I231" t="s">
        <v>220</v>
      </c>
      <c r="J231"/>
    </row>
    <row r="232" spans="1:10" ht="13.5" customHeight="1" x14ac:dyDescent="0.35">
      <c r="A232" s="838">
        <v>46138</v>
      </c>
      <c r="B232" s="839" t="s">
        <v>223</v>
      </c>
      <c r="C232" s="840" t="s">
        <v>31</v>
      </c>
      <c r="D232" s="839" t="s">
        <v>165</v>
      </c>
      <c r="E232" s="841">
        <v>125</v>
      </c>
      <c r="F232" s="839" t="s">
        <v>224</v>
      </c>
      <c r="G232" s="839" t="s">
        <v>174</v>
      </c>
      <c r="I232" t="s">
        <v>225</v>
      </c>
      <c r="J232" t="s">
        <v>226</v>
      </c>
    </row>
    <row r="233" spans="1:10" ht="13.5" customHeight="1" x14ac:dyDescent="0.35">
      <c r="A233" s="838">
        <v>46138</v>
      </c>
      <c r="B233" s="839" t="s">
        <v>227</v>
      </c>
      <c r="C233" s="840" t="s">
        <v>50</v>
      </c>
      <c r="D233" s="839" t="s">
        <v>159</v>
      </c>
      <c r="E233" s="841">
        <v>50</v>
      </c>
      <c r="F233" s="839" t="s">
        <v>228</v>
      </c>
      <c r="G233" s="839" t="s">
        <v>174</v>
      </c>
      <c r="I233" t="s">
        <v>210</v>
      </c>
      <c r="J233" t="s">
        <v>211</v>
      </c>
    </row>
    <row r="234" spans="1:10" ht="13.5" customHeight="1" x14ac:dyDescent="0.35">
      <c r="A234" s="838">
        <v>46138</v>
      </c>
      <c r="B234" s="839" t="s">
        <v>229</v>
      </c>
      <c r="C234" s="840" t="s">
        <v>31</v>
      </c>
      <c r="D234" s="839" t="s">
        <v>159</v>
      </c>
      <c r="E234" s="841">
        <v>99</v>
      </c>
      <c r="F234" s="839" t="s">
        <v>230</v>
      </c>
      <c r="G234" s="839" t="s">
        <v>175</v>
      </c>
      <c r="I234" t="s">
        <v>231</v>
      </c>
      <c r="J234" t="s">
        <v>232</v>
      </c>
    </row>
    <row r="235" spans="1:10" ht="13.5" customHeight="1" x14ac:dyDescent="0.35">
      <c r="A235" s="838">
        <v>46136</v>
      </c>
      <c r="B235" s="839" t="s">
        <v>233</v>
      </c>
      <c r="C235" s="840" t="s">
        <v>31</v>
      </c>
      <c r="D235" s="839" t="s">
        <v>159</v>
      </c>
      <c r="E235" s="841">
        <v>99</v>
      </c>
      <c r="F235" s="839" t="s">
        <v>230</v>
      </c>
      <c r="G235" s="839" t="s">
        <v>174</v>
      </c>
      <c r="I235" t="s">
        <v>231</v>
      </c>
      <c r="J235" t="s">
        <v>232</v>
      </c>
    </row>
    <row r="236" spans="1:10" ht="13.5" customHeight="1" x14ac:dyDescent="0.35">
      <c r="A236" s="838">
        <v>46136</v>
      </c>
      <c r="B236" s="839" t="s">
        <v>234</v>
      </c>
      <c r="C236" s="840" t="s">
        <v>31</v>
      </c>
      <c r="D236" s="839" t="s">
        <v>162</v>
      </c>
      <c r="E236" s="841">
        <v>120</v>
      </c>
      <c r="F236" s="839" t="s">
        <v>235</v>
      </c>
      <c r="G236" s="839" t="s">
        <v>180</v>
      </c>
      <c r="I236" t="s">
        <v>236</v>
      </c>
      <c r="J236" t="s">
        <v>232</v>
      </c>
    </row>
    <row r="237" spans="1:10" ht="13.5" customHeight="1" x14ac:dyDescent="0.35">
      <c r="A237" s="838">
        <v>46136</v>
      </c>
      <c r="B237" s="839" t="s">
        <v>237</v>
      </c>
      <c r="C237" s="840" t="s">
        <v>31</v>
      </c>
      <c r="D237" s="839" t="s">
        <v>162</v>
      </c>
      <c r="E237" s="841">
        <v>240</v>
      </c>
      <c r="F237" s="839" t="s">
        <v>235</v>
      </c>
      <c r="G237" s="839" t="s">
        <v>180</v>
      </c>
      <c r="I237" t="s">
        <v>236</v>
      </c>
      <c r="J237" t="s">
        <v>232</v>
      </c>
    </row>
    <row r="238" spans="1:10" ht="13.5" customHeight="1" x14ac:dyDescent="0.35">
      <c r="A238" s="838">
        <v>46136</v>
      </c>
      <c r="B238" s="839" t="s">
        <v>238</v>
      </c>
      <c r="C238" s="840" t="s">
        <v>31</v>
      </c>
      <c r="D238" s="839" t="s">
        <v>162</v>
      </c>
      <c r="E238" s="841">
        <v>120</v>
      </c>
      <c r="F238" s="839" t="s">
        <v>235</v>
      </c>
      <c r="G238" s="839" t="s">
        <v>180</v>
      </c>
      <c r="I238" t="s">
        <v>236</v>
      </c>
      <c r="J238" t="s">
        <v>232</v>
      </c>
    </row>
    <row r="239" spans="1:10" ht="13.5" customHeight="1" x14ac:dyDescent="0.35">
      <c r="A239" s="838">
        <v>46136</v>
      </c>
      <c r="B239" s="839" t="s">
        <v>239</v>
      </c>
      <c r="C239" s="840" t="s">
        <v>31</v>
      </c>
      <c r="D239" s="839" t="s">
        <v>162</v>
      </c>
      <c r="E239" s="841">
        <v>120</v>
      </c>
      <c r="F239" s="839" t="s">
        <v>235</v>
      </c>
      <c r="G239" s="839" t="s">
        <v>180</v>
      </c>
      <c r="I239" t="s">
        <v>236</v>
      </c>
      <c r="J239" t="s">
        <v>232</v>
      </c>
    </row>
    <row r="240" spans="1:10" ht="13.5" customHeight="1" x14ac:dyDescent="0.35">
      <c r="A240" s="838">
        <v>46136</v>
      </c>
      <c r="B240" s="839" t="s">
        <v>240</v>
      </c>
      <c r="C240" s="840" t="s">
        <v>31</v>
      </c>
      <c r="D240" s="839" t="s">
        <v>162</v>
      </c>
      <c r="E240" s="841">
        <v>120</v>
      </c>
      <c r="F240" s="839" t="s">
        <v>235</v>
      </c>
      <c r="G240" s="839" t="s">
        <v>180</v>
      </c>
      <c r="I240" t="s">
        <v>236</v>
      </c>
      <c r="J240" t="s">
        <v>232</v>
      </c>
    </row>
    <row r="241" spans="1:10" ht="13.5" customHeight="1" x14ac:dyDescent="0.35">
      <c r="A241" s="838">
        <v>46136</v>
      </c>
      <c r="B241" s="839" t="s">
        <v>241</v>
      </c>
      <c r="C241" s="840" t="s">
        <v>31</v>
      </c>
      <c r="D241" s="839" t="s">
        <v>162</v>
      </c>
      <c r="E241" s="841">
        <v>120</v>
      </c>
      <c r="F241" s="839" t="s">
        <v>235</v>
      </c>
      <c r="G241" s="839" t="s">
        <v>180</v>
      </c>
      <c r="I241" t="s">
        <v>236</v>
      </c>
      <c r="J241" t="s">
        <v>232</v>
      </c>
    </row>
    <row r="242" spans="1:10" ht="13.5" customHeight="1" x14ac:dyDescent="0.35">
      <c r="A242" s="838">
        <v>46135</v>
      </c>
      <c r="B242" s="839" t="s">
        <v>242</v>
      </c>
      <c r="C242" s="840" t="s">
        <v>31</v>
      </c>
      <c r="D242" s="839" t="s">
        <v>159</v>
      </c>
      <c r="E242" s="841">
        <v>50</v>
      </c>
      <c r="F242" s="839" t="s">
        <v>243</v>
      </c>
      <c r="G242" s="839" t="s">
        <v>176</v>
      </c>
      <c r="I242" t="s">
        <v>244</v>
      </c>
      <c r="J242" t="s">
        <v>226</v>
      </c>
    </row>
    <row r="243" spans="1:10" ht="13.5" customHeight="1" x14ac:dyDescent="0.35">
      <c r="A243" s="838">
        <v>46136</v>
      </c>
      <c r="B243" s="839" t="s">
        <v>245</v>
      </c>
      <c r="C243" s="840" t="s">
        <v>62</v>
      </c>
      <c r="D243" s="839" t="s">
        <v>159</v>
      </c>
      <c r="E243" s="841">
        <v>59</v>
      </c>
      <c r="F243" s="839" t="s">
        <v>200</v>
      </c>
      <c r="G243" s="839" t="s">
        <v>175</v>
      </c>
      <c r="I243" t="s">
        <v>201</v>
      </c>
      <c r="J243" t="s">
        <v>202</v>
      </c>
    </row>
    <row r="244" spans="1:10" ht="13.5" customHeight="1" x14ac:dyDescent="0.35">
      <c r="A244" s="838">
        <v>46136</v>
      </c>
      <c r="B244" s="839" t="s">
        <v>246</v>
      </c>
      <c r="C244" s="840" t="s">
        <v>31</v>
      </c>
      <c r="D244" s="839" t="s">
        <v>159</v>
      </c>
      <c r="E244" s="841">
        <v>150</v>
      </c>
      <c r="F244" s="839" t="s">
        <v>235</v>
      </c>
      <c r="G244" s="839" t="s">
        <v>174</v>
      </c>
      <c r="I244" t="s">
        <v>236</v>
      </c>
      <c r="J244" t="s">
        <v>232</v>
      </c>
    </row>
    <row r="245" spans="1:10" ht="13.5" customHeight="1" x14ac:dyDescent="0.35">
      <c r="A245" s="838">
        <v>46135</v>
      </c>
      <c r="B245" s="839" t="s">
        <v>247</v>
      </c>
      <c r="C245" s="840" t="s">
        <v>31</v>
      </c>
      <c r="D245" s="839" t="s">
        <v>159</v>
      </c>
      <c r="E245" s="841">
        <v>99</v>
      </c>
      <c r="F245" s="839" t="s">
        <v>230</v>
      </c>
      <c r="G245" s="839" t="s">
        <v>176</v>
      </c>
      <c r="I245" t="s">
        <v>231</v>
      </c>
      <c r="J245" t="s">
        <v>232</v>
      </c>
    </row>
    <row r="246" spans="1:10" ht="13.5" customHeight="1" x14ac:dyDescent="0.35">
      <c r="A246" s="838">
        <v>46131</v>
      </c>
      <c r="B246" s="839" t="s">
        <v>248</v>
      </c>
      <c r="C246" s="840" t="s">
        <v>35</v>
      </c>
      <c r="D246" s="839" t="s">
        <v>159</v>
      </c>
      <c r="E246" s="841">
        <v>575</v>
      </c>
      <c r="F246" s="839" t="s">
        <v>249</v>
      </c>
      <c r="G246" s="839" t="s">
        <v>174</v>
      </c>
      <c r="I246" t="s">
        <v>250</v>
      </c>
      <c r="J246" t="s">
        <v>222</v>
      </c>
    </row>
    <row r="247" spans="1:10" ht="13.5" customHeight="1" x14ac:dyDescent="0.35">
      <c r="A247" s="838">
        <v>46130</v>
      </c>
      <c r="B247" s="839" t="s">
        <v>251</v>
      </c>
      <c r="C247" s="840" t="s">
        <v>50</v>
      </c>
      <c r="D247" s="839" t="s">
        <v>159</v>
      </c>
      <c r="E247" s="841">
        <v>150</v>
      </c>
      <c r="F247" s="839" t="s">
        <v>228</v>
      </c>
      <c r="G247" s="839" t="s">
        <v>174</v>
      </c>
      <c r="I247" t="s">
        <v>210</v>
      </c>
      <c r="J247" t="s">
        <v>211</v>
      </c>
    </row>
    <row r="248" spans="1:10" ht="13.5" customHeight="1" x14ac:dyDescent="0.35">
      <c r="A248" s="838">
        <v>46129</v>
      </c>
      <c r="B248" s="839" t="s">
        <v>252</v>
      </c>
      <c r="C248" s="840" t="s">
        <v>59</v>
      </c>
      <c r="D248" s="839" t="s">
        <v>162</v>
      </c>
      <c r="E248" s="841">
        <v>200</v>
      </c>
      <c r="F248" s="839" t="s">
        <v>253</v>
      </c>
      <c r="G248" s="839" t="s">
        <v>174</v>
      </c>
      <c r="I248" t="s">
        <v>254</v>
      </c>
      <c r="J248" t="s">
        <v>255</v>
      </c>
    </row>
    <row r="249" spans="1:10" ht="13.5" customHeight="1" x14ac:dyDescent="0.35">
      <c r="A249" s="838">
        <v>46129</v>
      </c>
      <c r="B249" s="839" t="s">
        <v>207</v>
      </c>
      <c r="C249" s="840" t="s">
        <v>31</v>
      </c>
      <c r="D249" s="839" t="s">
        <v>159</v>
      </c>
      <c r="E249" s="841">
        <v>99</v>
      </c>
      <c r="F249" s="839" t="s">
        <v>230</v>
      </c>
      <c r="G249" s="839" t="s">
        <v>174</v>
      </c>
      <c r="I249" t="s">
        <v>231</v>
      </c>
      <c r="J249" t="s">
        <v>232</v>
      </c>
    </row>
    <row r="250" spans="1:10" ht="13.5" customHeight="1" x14ac:dyDescent="0.35">
      <c r="A250" s="838">
        <v>46127</v>
      </c>
      <c r="B250" s="839" t="s">
        <v>256</v>
      </c>
      <c r="C250" s="840" t="s">
        <v>47</v>
      </c>
      <c r="D250" s="839" t="s">
        <v>159</v>
      </c>
      <c r="E250" s="841">
        <v>20</v>
      </c>
      <c r="F250" s="848" t="s">
        <v>257</v>
      </c>
      <c r="G250" s="839" t="s">
        <v>175</v>
      </c>
      <c r="I250" t="s">
        <v>205</v>
      </c>
      <c r="J250" t="s">
        <v>206</v>
      </c>
    </row>
    <row r="251" spans="1:10" ht="13.5" customHeight="1" x14ac:dyDescent="0.35">
      <c r="A251" s="838">
        <v>46127</v>
      </c>
      <c r="B251" s="839" t="s">
        <v>258</v>
      </c>
      <c r="C251" s="840" t="s">
        <v>53</v>
      </c>
      <c r="D251" s="839" t="s">
        <v>165</v>
      </c>
      <c r="E251" s="841">
        <v>-100</v>
      </c>
      <c r="F251" s="839" t="s">
        <v>195</v>
      </c>
      <c r="G251" s="839" t="s">
        <v>174</v>
      </c>
      <c r="I251" t="s">
        <v>220</v>
      </c>
      <c r="J251"/>
    </row>
    <row r="252" spans="1:10" ht="13.5" customHeight="1" x14ac:dyDescent="0.35">
      <c r="A252" s="838">
        <v>46127</v>
      </c>
      <c r="B252" s="839" t="s">
        <v>258</v>
      </c>
      <c r="C252" s="840" t="s">
        <v>28</v>
      </c>
      <c r="D252" s="839" t="s">
        <v>165</v>
      </c>
      <c r="E252" s="841">
        <v>100</v>
      </c>
      <c r="F252" s="839" t="s">
        <v>195</v>
      </c>
      <c r="G252" s="839" t="s">
        <v>174</v>
      </c>
      <c r="I252" t="s">
        <v>196</v>
      </c>
      <c r="J252" t="s">
        <v>197</v>
      </c>
    </row>
    <row r="253" spans="1:10" ht="13.5" customHeight="1" x14ac:dyDescent="0.35">
      <c r="A253" s="838">
        <v>46127</v>
      </c>
      <c r="B253" s="839" t="s">
        <v>258</v>
      </c>
      <c r="C253" s="840" t="s">
        <v>28</v>
      </c>
      <c r="D253" s="839" t="s">
        <v>159</v>
      </c>
      <c r="E253" s="841">
        <v>50</v>
      </c>
      <c r="F253" s="839" t="s">
        <v>195</v>
      </c>
      <c r="G253" s="839" t="s">
        <v>174</v>
      </c>
      <c r="I253" t="s">
        <v>196</v>
      </c>
      <c r="J253" t="s">
        <v>197</v>
      </c>
    </row>
    <row r="254" spans="1:10" ht="13.5" customHeight="1" x14ac:dyDescent="0.35">
      <c r="A254" s="838">
        <v>46126</v>
      </c>
      <c r="B254" s="839" t="s">
        <v>259</v>
      </c>
      <c r="C254" s="840" t="s">
        <v>31</v>
      </c>
      <c r="D254" s="839" t="s">
        <v>159</v>
      </c>
      <c r="E254" s="841">
        <v>99</v>
      </c>
      <c r="F254" s="839" t="s">
        <v>230</v>
      </c>
      <c r="G254" s="839" t="s">
        <v>174</v>
      </c>
      <c r="I254" t="s">
        <v>231</v>
      </c>
      <c r="J254" t="s">
        <v>232</v>
      </c>
    </row>
    <row r="255" spans="1:10" ht="13.5" customHeight="1" x14ac:dyDescent="0.35">
      <c r="A255" s="838">
        <v>46126</v>
      </c>
      <c r="B255" s="839" t="s">
        <v>260</v>
      </c>
      <c r="C255" s="840" t="s">
        <v>28</v>
      </c>
      <c r="D255" s="839" t="s">
        <v>159</v>
      </c>
      <c r="E255" s="841">
        <v>150</v>
      </c>
      <c r="F255" s="839" t="s">
        <v>195</v>
      </c>
      <c r="G255" s="839" t="s">
        <v>174</v>
      </c>
      <c r="I255" t="s">
        <v>196</v>
      </c>
      <c r="J255" t="s">
        <v>197</v>
      </c>
    </row>
    <row r="256" spans="1:10" ht="13.5" customHeight="1" x14ac:dyDescent="0.35">
      <c r="A256" s="838">
        <v>46126</v>
      </c>
      <c r="B256" s="839" t="s">
        <v>261</v>
      </c>
      <c r="C256" s="840" t="s">
        <v>28</v>
      </c>
      <c r="D256" s="839" t="s">
        <v>159</v>
      </c>
      <c r="E256" s="841">
        <v>50</v>
      </c>
      <c r="F256" s="839" t="s">
        <v>195</v>
      </c>
      <c r="G256" s="839" t="s">
        <v>175</v>
      </c>
      <c r="I256" t="s">
        <v>196</v>
      </c>
      <c r="J256" t="s">
        <v>197</v>
      </c>
    </row>
    <row r="257" spans="1:10" ht="13.5" customHeight="1" x14ac:dyDescent="0.35">
      <c r="A257" s="838">
        <v>46126</v>
      </c>
      <c r="B257" s="839" t="s">
        <v>262</v>
      </c>
      <c r="C257" s="840" t="s">
        <v>28</v>
      </c>
      <c r="D257" s="839" t="s">
        <v>159</v>
      </c>
      <c r="E257" s="841">
        <v>50</v>
      </c>
      <c r="F257" s="839" t="s">
        <v>195</v>
      </c>
      <c r="G257" s="839" t="s">
        <v>175</v>
      </c>
      <c r="I257" t="s">
        <v>196</v>
      </c>
      <c r="J257" t="s">
        <v>197</v>
      </c>
    </row>
    <row r="258" spans="1:10" ht="13.5" customHeight="1" x14ac:dyDescent="0.35">
      <c r="A258" s="838">
        <v>46125</v>
      </c>
      <c r="B258" s="839" t="s">
        <v>263</v>
      </c>
      <c r="C258" s="840" t="s">
        <v>47</v>
      </c>
      <c r="D258" s="839" t="s">
        <v>159</v>
      </c>
      <c r="E258" s="841">
        <v>120</v>
      </c>
      <c r="F258" s="839" t="s">
        <v>264</v>
      </c>
      <c r="G258" s="839" t="s">
        <v>175</v>
      </c>
      <c r="I258" t="s">
        <v>265</v>
      </c>
      <c r="J258" t="s">
        <v>206</v>
      </c>
    </row>
    <row r="259" spans="1:10" ht="13.5" customHeight="1" x14ac:dyDescent="0.35">
      <c r="A259" s="838">
        <v>46125</v>
      </c>
      <c r="B259" s="839" t="s">
        <v>266</v>
      </c>
      <c r="C259" s="840" t="s">
        <v>47</v>
      </c>
      <c r="D259" s="839" t="s">
        <v>159</v>
      </c>
      <c r="E259" s="841">
        <v>50</v>
      </c>
      <c r="F259" s="839" t="s">
        <v>267</v>
      </c>
      <c r="G259" s="839" t="s">
        <v>174</v>
      </c>
      <c r="I259" t="s">
        <v>268</v>
      </c>
      <c r="J259" t="s">
        <v>269</v>
      </c>
    </row>
    <row r="260" spans="1:10" ht="13.5" customHeight="1" x14ac:dyDescent="0.35">
      <c r="A260" s="838">
        <v>46124</v>
      </c>
      <c r="B260" s="839" t="s">
        <v>270</v>
      </c>
      <c r="C260" s="840" t="s">
        <v>35</v>
      </c>
      <c r="D260" s="839" t="s">
        <v>159</v>
      </c>
      <c r="E260" s="841">
        <v>775</v>
      </c>
      <c r="F260" s="839" t="s">
        <v>271</v>
      </c>
      <c r="G260" s="839" t="s">
        <v>175</v>
      </c>
      <c r="I260" t="s">
        <v>221</v>
      </c>
      <c r="J260" t="s">
        <v>222</v>
      </c>
    </row>
    <row r="261" spans="1:10" ht="13.5" customHeight="1" x14ac:dyDescent="0.35">
      <c r="A261" s="838">
        <v>46120</v>
      </c>
      <c r="B261" s="839" t="s">
        <v>272</v>
      </c>
      <c r="C261" s="840" t="s">
        <v>31</v>
      </c>
      <c r="D261" s="839" t="s">
        <v>159</v>
      </c>
      <c r="E261" s="841">
        <v>125</v>
      </c>
      <c r="F261" s="839" t="s">
        <v>273</v>
      </c>
      <c r="G261" s="839" t="s">
        <v>174</v>
      </c>
      <c r="I261" t="s">
        <v>274</v>
      </c>
      <c r="J261" t="s">
        <v>232</v>
      </c>
    </row>
    <row r="262" spans="1:10" ht="13.5" customHeight="1" x14ac:dyDescent="0.35">
      <c r="A262" s="838">
        <v>46120</v>
      </c>
      <c r="B262" s="839" t="s">
        <v>275</v>
      </c>
      <c r="C262" s="840" t="s">
        <v>28</v>
      </c>
      <c r="D262" s="839" t="s">
        <v>159</v>
      </c>
      <c r="E262" s="841">
        <v>50</v>
      </c>
      <c r="F262" s="839" t="s">
        <v>195</v>
      </c>
      <c r="G262" s="839" t="s">
        <v>175</v>
      </c>
      <c r="I262" t="s">
        <v>196</v>
      </c>
      <c r="J262" t="s">
        <v>197</v>
      </c>
    </row>
    <row r="263" spans="1:10" ht="13.5" customHeight="1" x14ac:dyDescent="0.35">
      <c r="A263" s="838">
        <v>46120</v>
      </c>
      <c r="B263" s="839" t="s">
        <v>276</v>
      </c>
      <c r="C263" s="840" t="s">
        <v>31</v>
      </c>
      <c r="D263" s="839" t="s">
        <v>159</v>
      </c>
      <c r="E263" s="841">
        <v>99</v>
      </c>
      <c r="F263" s="839" t="s">
        <v>230</v>
      </c>
      <c r="G263" s="839" t="s">
        <v>174</v>
      </c>
      <c r="I263" t="s">
        <v>231</v>
      </c>
      <c r="J263" t="s">
        <v>232</v>
      </c>
    </row>
    <row r="264" spans="1:10" ht="13.5" customHeight="1" x14ac:dyDescent="0.35">
      <c r="A264" s="838">
        <v>46119</v>
      </c>
      <c r="B264" s="839" t="s">
        <v>277</v>
      </c>
      <c r="C264" s="840" t="s">
        <v>31</v>
      </c>
      <c r="D264" s="839" t="s">
        <v>159</v>
      </c>
      <c r="E264" s="841">
        <v>150</v>
      </c>
      <c r="F264" s="839" t="s">
        <v>230</v>
      </c>
      <c r="G264" s="839" t="s">
        <v>174</v>
      </c>
      <c r="I264" t="s">
        <v>231</v>
      </c>
      <c r="J264" t="s">
        <v>232</v>
      </c>
    </row>
    <row r="265" spans="1:10" ht="13.5" customHeight="1" x14ac:dyDescent="0.35">
      <c r="A265" s="838">
        <v>46118</v>
      </c>
      <c r="B265" s="839" t="s">
        <v>278</v>
      </c>
      <c r="C265" s="840" t="s">
        <v>31</v>
      </c>
      <c r="D265" s="839" t="s">
        <v>159</v>
      </c>
      <c r="E265" s="841">
        <v>35</v>
      </c>
      <c r="F265" s="839" t="s">
        <v>279</v>
      </c>
      <c r="G265" s="839" t="s">
        <v>174</v>
      </c>
      <c r="I265" t="s">
        <v>280</v>
      </c>
      <c r="J265" t="s">
        <v>226</v>
      </c>
    </row>
    <row r="266" spans="1:10" ht="13.5" customHeight="1" x14ac:dyDescent="0.35">
      <c r="A266" s="838">
        <v>46118</v>
      </c>
      <c r="B266" s="839" t="s">
        <v>278</v>
      </c>
      <c r="C266" s="840" t="s">
        <v>31</v>
      </c>
      <c r="D266" s="839" t="s">
        <v>159</v>
      </c>
      <c r="E266" s="841">
        <v>150</v>
      </c>
      <c r="F266" s="839" t="s">
        <v>281</v>
      </c>
      <c r="G266" s="839" t="s">
        <v>174</v>
      </c>
      <c r="I266" t="s">
        <v>282</v>
      </c>
      <c r="J266" t="s">
        <v>226</v>
      </c>
    </row>
    <row r="267" spans="1:10" ht="13.5" customHeight="1" x14ac:dyDescent="0.35">
      <c r="A267" s="838">
        <v>46116</v>
      </c>
      <c r="B267" s="839" t="s">
        <v>283</v>
      </c>
      <c r="C267" s="840" t="s">
        <v>56</v>
      </c>
      <c r="D267" s="839" t="s">
        <v>160</v>
      </c>
      <c r="E267" s="841">
        <v>32.75</v>
      </c>
      <c r="F267" s="839" t="s">
        <v>284</v>
      </c>
      <c r="G267" s="839" t="s">
        <v>89</v>
      </c>
      <c r="I267" t="s">
        <v>285</v>
      </c>
      <c r="J267" t="s">
        <v>286</v>
      </c>
    </row>
    <row r="268" spans="1:10" ht="13.5" customHeight="1" x14ac:dyDescent="0.35">
      <c r="A268" s="838">
        <v>46116</v>
      </c>
      <c r="B268" s="839" t="s">
        <v>287</v>
      </c>
      <c r="C268" s="840" t="s">
        <v>35</v>
      </c>
      <c r="D268" s="839" t="s">
        <v>159</v>
      </c>
      <c r="E268" s="841">
        <v>595</v>
      </c>
      <c r="F268" s="839" t="s">
        <v>288</v>
      </c>
      <c r="G268" s="839" t="s">
        <v>174</v>
      </c>
      <c r="I268" t="s">
        <v>289</v>
      </c>
      <c r="J268" t="s">
        <v>222</v>
      </c>
    </row>
    <row r="269" spans="1:10" ht="13.5" customHeight="1" x14ac:dyDescent="0.35">
      <c r="A269" s="838">
        <v>46114</v>
      </c>
      <c r="B269" s="839" t="s">
        <v>290</v>
      </c>
      <c r="C269" s="840" t="s">
        <v>28</v>
      </c>
      <c r="D269" s="839" t="s">
        <v>159</v>
      </c>
      <c r="E269" s="841">
        <v>150</v>
      </c>
      <c r="F269" s="839" t="s">
        <v>291</v>
      </c>
      <c r="G269" s="839" t="s">
        <v>175</v>
      </c>
      <c r="I269" t="s">
        <v>215</v>
      </c>
      <c r="J269" t="s">
        <v>216</v>
      </c>
    </row>
    <row r="270" spans="1:10" ht="13.5" customHeight="1" x14ac:dyDescent="0.35">
      <c r="A270" s="838">
        <v>46113</v>
      </c>
      <c r="B270" s="839" t="s">
        <v>292</v>
      </c>
      <c r="C270" s="840" t="s">
        <v>44</v>
      </c>
      <c r="D270" s="839" t="s">
        <v>159</v>
      </c>
      <c r="E270" s="841">
        <v>20</v>
      </c>
      <c r="F270" s="839" t="s">
        <v>293</v>
      </c>
      <c r="G270" s="839" t="s">
        <v>175</v>
      </c>
      <c r="I270" t="s">
        <v>294</v>
      </c>
      <c r="J270" t="s">
        <v>295</v>
      </c>
    </row>
    <row r="271" spans="1:10" ht="13.5" customHeight="1" x14ac:dyDescent="0.35">
      <c r="A271" s="838"/>
      <c r="B271" s="839"/>
      <c r="C271" s="840"/>
      <c r="D271" s="839"/>
      <c r="E271" s="841"/>
      <c r="F271" s="839"/>
      <c r="G271" s="839"/>
    </row>
    <row r="272" spans="1:10" ht="13.5" customHeight="1" x14ac:dyDescent="0.35">
      <c r="A272" s="838">
        <v>46112</v>
      </c>
      <c r="B272" s="839" t="s">
        <v>296</v>
      </c>
      <c r="C272" s="840" t="s">
        <v>62</v>
      </c>
      <c r="D272" s="839" t="s">
        <v>159</v>
      </c>
      <c r="E272" s="841">
        <v>79</v>
      </c>
      <c r="F272" s="839" t="s">
        <v>297</v>
      </c>
      <c r="G272" s="839" t="s">
        <v>175</v>
      </c>
      <c r="I272" t="s">
        <v>201</v>
      </c>
      <c r="J272" t="s">
        <v>202</v>
      </c>
    </row>
    <row r="273" spans="1:10" ht="13.5" customHeight="1" x14ac:dyDescent="0.35">
      <c r="A273" s="838">
        <v>46108</v>
      </c>
      <c r="B273" s="839" t="s">
        <v>298</v>
      </c>
      <c r="C273" s="840" t="s">
        <v>59</v>
      </c>
      <c r="D273" s="839" t="s">
        <v>159</v>
      </c>
      <c r="E273" s="841">
        <v>425</v>
      </c>
      <c r="F273" s="839" t="s">
        <v>91</v>
      </c>
      <c r="G273" s="839" t="s">
        <v>174</v>
      </c>
      <c r="I273" t="s">
        <v>299</v>
      </c>
      <c r="J273" t="s">
        <v>255</v>
      </c>
    </row>
    <row r="274" spans="1:10" ht="13.5" customHeight="1" x14ac:dyDescent="0.35">
      <c r="A274" s="838">
        <v>46108</v>
      </c>
      <c r="B274" s="839" t="s">
        <v>300</v>
      </c>
      <c r="C274" s="840" t="s">
        <v>47</v>
      </c>
      <c r="D274" s="839" t="s">
        <v>159</v>
      </c>
      <c r="E274" s="841">
        <v>120</v>
      </c>
      <c r="F274" s="839" t="s">
        <v>301</v>
      </c>
      <c r="G274" s="839" t="s">
        <v>174</v>
      </c>
      <c r="I274" t="s">
        <v>265</v>
      </c>
      <c r="J274" t="s">
        <v>206</v>
      </c>
    </row>
    <row r="275" spans="1:10" ht="13.5" customHeight="1" x14ac:dyDescent="0.35">
      <c r="A275" s="838">
        <v>46107</v>
      </c>
      <c r="B275" s="839" t="s">
        <v>302</v>
      </c>
      <c r="C275" s="840" t="s">
        <v>59</v>
      </c>
      <c r="D275" s="839" t="s">
        <v>160</v>
      </c>
      <c r="E275" s="841">
        <v>200</v>
      </c>
      <c r="F275" s="839" t="s">
        <v>303</v>
      </c>
      <c r="G275" s="839" t="s">
        <v>175</v>
      </c>
      <c r="I275" t="s">
        <v>254</v>
      </c>
      <c r="J275" t="s">
        <v>304</v>
      </c>
    </row>
    <row r="276" spans="1:10" ht="13.5" customHeight="1" x14ac:dyDescent="0.35">
      <c r="A276" s="838">
        <v>46107</v>
      </c>
      <c r="B276" s="839" t="s">
        <v>305</v>
      </c>
      <c r="C276" s="840" t="s">
        <v>62</v>
      </c>
      <c r="D276" s="839" t="s">
        <v>159</v>
      </c>
      <c r="E276" s="841">
        <v>79</v>
      </c>
      <c r="F276" s="839" t="s">
        <v>297</v>
      </c>
      <c r="G276" s="839" t="s">
        <v>175</v>
      </c>
      <c r="I276" t="s">
        <v>201</v>
      </c>
      <c r="J276" t="s">
        <v>202</v>
      </c>
    </row>
    <row r="277" spans="1:10" ht="13.5" customHeight="1" x14ac:dyDescent="0.35">
      <c r="A277" s="838">
        <v>46106</v>
      </c>
      <c r="B277" s="839" t="s">
        <v>306</v>
      </c>
      <c r="C277" s="840" t="s">
        <v>31</v>
      </c>
      <c r="D277" s="839" t="s">
        <v>159</v>
      </c>
      <c r="E277" s="841">
        <v>99</v>
      </c>
      <c r="F277" s="839" t="s">
        <v>230</v>
      </c>
      <c r="G277" s="839" t="s">
        <v>175</v>
      </c>
      <c r="I277" t="s">
        <v>231</v>
      </c>
      <c r="J277" t="s">
        <v>232</v>
      </c>
    </row>
    <row r="278" spans="1:10" ht="13.5" customHeight="1" x14ac:dyDescent="0.35">
      <c r="A278" s="838">
        <v>46106</v>
      </c>
      <c r="B278" s="839" t="s">
        <v>307</v>
      </c>
      <c r="C278" s="840" t="s">
        <v>62</v>
      </c>
      <c r="D278" s="839" t="s">
        <v>159</v>
      </c>
      <c r="E278" s="841">
        <v>79</v>
      </c>
      <c r="F278" s="839" t="s">
        <v>308</v>
      </c>
      <c r="G278" s="839" t="s">
        <v>175</v>
      </c>
      <c r="I278" t="s">
        <v>201</v>
      </c>
      <c r="J278" t="s">
        <v>202</v>
      </c>
    </row>
    <row r="279" spans="1:10" ht="13.5" customHeight="1" x14ac:dyDescent="0.35">
      <c r="A279" s="838">
        <v>46106</v>
      </c>
      <c r="B279" s="839" t="s">
        <v>309</v>
      </c>
      <c r="C279" s="840" t="s">
        <v>31</v>
      </c>
      <c r="D279" s="839" t="s">
        <v>159</v>
      </c>
      <c r="E279" s="841">
        <v>99</v>
      </c>
      <c r="F279" s="839" t="s">
        <v>230</v>
      </c>
      <c r="G279" s="839" t="s">
        <v>175</v>
      </c>
      <c r="I279" t="s">
        <v>231</v>
      </c>
      <c r="J279" t="s">
        <v>232</v>
      </c>
    </row>
    <row r="280" spans="1:10" ht="13.5" customHeight="1" x14ac:dyDescent="0.35">
      <c r="A280" s="838">
        <v>46106</v>
      </c>
      <c r="B280" s="839" t="s">
        <v>310</v>
      </c>
      <c r="C280" s="840" t="s">
        <v>31</v>
      </c>
      <c r="D280" s="839" t="s">
        <v>159</v>
      </c>
      <c r="E280" s="841">
        <v>99</v>
      </c>
      <c r="F280" s="839" t="s">
        <v>230</v>
      </c>
      <c r="G280" s="839" t="s">
        <v>174</v>
      </c>
      <c r="I280" t="s">
        <v>231</v>
      </c>
      <c r="J280" t="s">
        <v>232</v>
      </c>
    </row>
    <row r="281" spans="1:10" ht="13.5" customHeight="1" x14ac:dyDescent="0.35">
      <c r="A281" s="838">
        <v>46105</v>
      </c>
      <c r="B281" s="839" t="s">
        <v>311</v>
      </c>
      <c r="C281" s="840" t="s">
        <v>62</v>
      </c>
      <c r="D281" s="839" t="s">
        <v>159</v>
      </c>
      <c r="E281" s="841">
        <v>79</v>
      </c>
      <c r="F281" s="839" t="s">
        <v>297</v>
      </c>
      <c r="G281" s="839" t="s">
        <v>175</v>
      </c>
      <c r="I281" t="s">
        <v>201</v>
      </c>
      <c r="J281" t="s">
        <v>202</v>
      </c>
    </row>
    <row r="282" spans="1:10" ht="13.5" customHeight="1" x14ac:dyDescent="0.35">
      <c r="A282" s="838">
        <v>46105</v>
      </c>
      <c r="B282" s="839" t="s">
        <v>312</v>
      </c>
      <c r="C282" s="840" t="s">
        <v>47</v>
      </c>
      <c r="D282" s="839" t="s">
        <v>159</v>
      </c>
      <c r="E282" s="841">
        <v>170</v>
      </c>
      <c r="F282" s="839" t="s">
        <v>313</v>
      </c>
      <c r="G282" s="839" t="s">
        <v>174</v>
      </c>
      <c r="I282" t="s">
        <v>314</v>
      </c>
      <c r="J282" t="s">
        <v>269</v>
      </c>
    </row>
    <row r="283" spans="1:10" ht="13.5" customHeight="1" x14ac:dyDescent="0.35">
      <c r="A283" s="838">
        <v>46102</v>
      </c>
      <c r="B283" s="839" t="s">
        <v>315</v>
      </c>
      <c r="C283" s="840" t="s">
        <v>31</v>
      </c>
      <c r="D283" s="839" t="s">
        <v>159</v>
      </c>
      <c r="E283" s="841">
        <v>50</v>
      </c>
      <c r="F283" s="839" t="s">
        <v>316</v>
      </c>
      <c r="G283" s="839" t="s">
        <v>175</v>
      </c>
      <c r="I283" t="s">
        <v>317</v>
      </c>
      <c r="J283" t="s">
        <v>226</v>
      </c>
    </row>
    <row r="284" spans="1:10" ht="13.5" customHeight="1" x14ac:dyDescent="0.35">
      <c r="A284" s="838">
        <v>46100</v>
      </c>
      <c r="B284" s="839" t="s">
        <v>318</v>
      </c>
      <c r="C284" s="840" t="s">
        <v>59</v>
      </c>
      <c r="D284" s="839" t="s">
        <v>159</v>
      </c>
      <c r="E284" s="841">
        <v>245</v>
      </c>
      <c r="F284" s="839" t="s">
        <v>319</v>
      </c>
      <c r="G284" s="839" t="s">
        <v>174</v>
      </c>
      <c r="I284" t="s">
        <v>320</v>
      </c>
      <c r="J284" t="s">
        <v>304</v>
      </c>
    </row>
    <row r="285" spans="1:10" ht="13.5" customHeight="1" x14ac:dyDescent="0.35">
      <c r="A285" s="838">
        <v>46096</v>
      </c>
      <c r="B285" s="839" t="s">
        <v>321</v>
      </c>
      <c r="C285" s="840" t="s">
        <v>31</v>
      </c>
      <c r="D285" s="839" t="s">
        <v>159</v>
      </c>
      <c r="E285" s="841">
        <v>99</v>
      </c>
      <c r="F285" s="839" t="s">
        <v>230</v>
      </c>
      <c r="G285" s="839" t="s">
        <v>174</v>
      </c>
      <c r="I285" t="s">
        <v>231</v>
      </c>
      <c r="J285" t="s">
        <v>232</v>
      </c>
    </row>
    <row r="286" spans="1:10" ht="13.5" customHeight="1" x14ac:dyDescent="0.35">
      <c r="A286" s="838">
        <v>46094</v>
      </c>
      <c r="B286" s="839" t="s">
        <v>322</v>
      </c>
      <c r="C286" s="840" t="s">
        <v>31</v>
      </c>
      <c r="D286" s="839" t="s">
        <v>159</v>
      </c>
      <c r="E286" s="841">
        <v>150</v>
      </c>
      <c r="F286" s="839" t="s">
        <v>230</v>
      </c>
      <c r="G286" s="839" t="s">
        <v>174</v>
      </c>
      <c r="I286" t="s">
        <v>231</v>
      </c>
      <c r="J286" t="s">
        <v>232</v>
      </c>
    </row>
    <row r="287" spans="1:10" ht="13.5" customHeight="1" x14ac:dyDescent="0.35">
      <c r="A287" s="838">
        <v>46094</v>
      </c>
      <c r="B287" s="839" t="s">
        <v>323</v>
      </c>
      <c r="C287" s="840" t="s">
        <v>31</v>
      </c>
      <c r="D287" s="839" t="s">
        <v>162</v>
      </c>
      <c r="E287" s="841">
        <v>15</v>
      </c>
      <c r="F287" s="839" t="s">
        <v>324</v>
      </c>
      <c r="G287" s="839" t="s">
        <v>126</v>
      </c>
      <c r="I287" t="s">
        <v>325</v>
      </c>
      <c r="J287" t="s">
        <v>226</v>
      </c>
    </row>
    <row r="288" spans="1:10" ht="13.5" customHeight="1" x14ac:dyDescent="0.35">
      <c r="A288" s="838">
        <v>46094</v>
      </c>
      <c r="B288" s="839" t="s">
        <v>326</v>
      </c>
      <c r="C288" s="840" t="s">
        <v>31</v>
      </c>
      <c r="D288" s="839" t="s">
        <v>162</v>
      </c>
      <c r="E288" s="841">
        <v>15</v>
      </c>
      <c r="F288" s="839" t="s">
        <v>324</v>
      </c>
      <c r="G288" s="839" t="s">
        <v>126</v>
      </c>
      <c r="I288" t="s">
        <v>325</v>
      </c>
      <c r="J288" t="s">
        <v>226</v>
      </c>
    </row>
    <row r="289" spans="1:10" ht="13.5" customHeight="1" x14ac:dyDescent="0.35">
      <c r="A289" s="838">
        <v>46093</v>
      </c>
      <c r="B289" s="839" t="s">
        <v>327</v>
      </c>
      <c r="C289" s="840" t="s">
        <v>47</v>
      </c>
      <c r="D289" s="839" t="s">
        <v>159</v>
      </c>
      <c r="E289" s="841">
        <v>240</v>
      </c>
      <c r="F289" s="839" t="s">
        <v>328</v>
      </c>
      <c r="G289" s="839" t="s">
        <v>175</v>
      </c>
      <c r="I289" t="s">
        <v>314</v>
      </c>
      <c r="J289" t="s">
        <v>269</v>
      </c>
    </row>
    <row r="290" spans="1:10" ht="13.5" customHeight="1" x14ac:dyDescent="0.35">
      <c r="A290" s="838">
        <v>46091</v>
      </c>
      <c r="B290" s="839" t="s">
        <v>283</v>
      </c>
      <c r="C290" s="840" t="s">
        <v>56</v>
      </c>
      <c r="D290" s="839" t="s">
        <v>160</v>
      </c>
      <c r="E290" s="841">
        <v>88.91</v>
      </c>
      <c r="F290" s="839" t="s">
        <v>284</v>
      </c>
      <c r="G290" s="839" t="s">
        <v>89</v>
      </c>
      <c r="I290" t="s">
        <v>285</v>
      </c>
      <c r="J290" t="s">
        <v>286</v>
      </c>
    </row>
    <row r="291" spans="1:10" ht="13.5" customHeight="1" x14ac:dyDescent="0.35">
      <c r="A291" s="838">
        <v>46091</v>
      </c>
      <c r="B291" s="839" t="s">
        <v>329</v>
      </c>
      <c r="C291" s="840" t="s">
        <v>59</v>
      </c>
      <c r="D291" s="839" t="s">
        <v>159</v>
      </c>
      <c r="E291" s="841">
        <v>25</v>
      </c>
      <c r="F291" s="839" t="s">
        <v>319</v>
      </c>
      <c r="G291" s="839" t="s">
        <v>174</v>
      </c>
      <c r="I291" t="s">
        <v>320</v>
      </c>
      <c r="J291" t="s">
        <v>304</v>
      </c>
    </row>
    <row r="292" spans="1:10" ht="13.5" customHeight="1" x14ac:dyDescent="0.35">
      <c r="A292" s="838">
        <v>46089</v>
      </c>
      <c r="B292" s="839" t="s">
        <v>330</v>
      </c>
      <c r="C292" s="840" t="s">
        <v>28</v>
      </c>
      <c r="D292" s="839" t="s">
        <v>159</v>
      </c>
      <c r="E292" s="841">
        <v>150</v>
      </c>
      <c r="F292" s="839" t="s">
        <v>195</v>
      </c>
      <c r="G292" s="839" t="s">
        <v>174</v>
      </c>
      <c r="I292" t="s">
        <v>196</v>
      </c>
      <c r="J292" t="s">
        <v>197</v>
      </c>
    </row>
    <row r="293" spans="1:10" ht="13.5" customHeight="1" x14ac:dyDescent="0.35">
      <c r="A293" s="838">
        <v>46087</v>
      </c>
      <c r="B293" s="839" t="s">
        <v>331</v>
      </c>
      <c r="C293" s="840" t="s">
        <v>56</v>
      </c>
      <c r="D293" s="839" t="s">
        <v>162</v>
      </c>
      <c r="E293" s="841">
        <v>52.71</v>
      </c>
      <c r="F293" s="839" t="s">
        <v>332</v>
      </c>
      <c r="G293" s="839" t="s">
        <v>175</v>
      </c>
      <c r="I293" t="s">
        <v>333</v>
      </c>
      <c r="J293" t="s">
        <v>286</v>
      </c>
    </row>
    <row r="294" spans="1:10" ht="13.5" customHeight="1" x14ac:dyDescent="0.35">
      <c r="A294" s="838">
        <v>46087</v>
      </c>
      <c r="B294" s="839" t="s">
        <v>334</v>
      </c>
      <c r="C294" s="840" t="s">
        <v>31</v>
      </c>
      <c r="D294" s="839" t="s">
        <v>162</v>
      </c>
      <c r="E294" s="841">
        <v>40</v>
      </c>
      <c r="F294" s="839" t="s">
        <v>316</v>
      </c>
      <c r="G294" s="839" t="s">
        <v>180</v>
      </c>
      <c r="I294" t="s">
        <v>317</v>
      </c>
      <c r="J294" t="s">
        <v>226</v>
      </c>
    </row>
    <row r="295" spans="1:10" ht="13.5" customHeight="1" x14ac:dyDescent="0.35">
      <c r="A295" s="838">
        <v>46087</v>
      </c>
      <c r="B295" s="839" t="s">
        <v>335</v>
      </c>
      <c r="C295" s="840" t="s">
        <v>31</v>
      </c>
      <c r="D295" s="839" t="s">
        <v>162</v>
      </c>
      <c r="E295" s="841">
        <v>40</v>
      </c>
      <c r="F295" s="839" t="s">
        <v>316</v>
      </c>
      <c r="G295" s="839" t="s">
        <v>180</v>
      </c>
      <c r="I295" t="s">
        <v>317</v>
      </c>
      <c r="J295" t="s">
        <v>226</v>
      </c>
    </row>
    <row r="296" spans="1:10" ht="13.5" customHeight="1" x14ac:dyDescent="0.35">
      <c r="A296" s="838">
        <v>46086</v>
      </c>
      <c r="B296" s="839" t="s">
        <v>336</v>
      </c>
      <c r="C296" s="840" t="s">
        <v>59</v>
      </c>
      <c r="D296" s="839" t="s">
        <v>159</v>
      </c>
      <c r="E296" s="841">
        <v>150</v>
      </c>
      <c r="F296" s="839" t="s">
        <v>337</v>
      </c>
      <c r="G296" s="839" t="s">
        <v>174</v>
      </c>
      <c r="I296" t="s">
        <v>320</v>
      </c>
      <c r="J296" t="s">
        <v>304</v>
      </c>
    </row>
    <row r="297" spans="1:10" ht="13.5" customHeight="1" x14ac:dyDescent="0.35">
      <c r="A297" s="838">
        <v>46085</v>
      </c>
      <c r="B297" s="839" t="s">
        <v>338</v>
      </c>
      <c r="C297" s="840" t="s">
        <v>59</v>
      </c>
      <c r="D297" s="839" t="s">
        <v>160</v>
      </c>
      <c r="E297" s="841">
        <v>250</v>
      </c>
      <c r="F297" s="839" t="s">
        <v>339</v>
      </c>
      <c r="G297" s="839" t="s">
        <v>174</v>
      </c>
      <c r="I297" t="s">
        <v>254</v>
      </c>
      <c r="J297" t="s">
        <v>304</v>
      </c>
    </row>
    <row r="298" spans="1:10" ht="13.5" customHeight="1" x14ac:dyDescent="0.35">
      <c r="A298" s="838">
        <v>46084</v>
      </c>
      <c r="B298" s="839" t="s">
        <v>340</v>
      </c>
      <c r="C298" s="840" t="s">
        <v>47</v>
      </c>
      <c r="D298" s="839" t="s">
        <v>159</v>
      </c>
      <c r="E298" s="841">
        <v>240</v>
      </c>
      <c r="F298" s="839" t="s">
        <v>341</v>
      </c>
      <c r="G298" s="839" t="s">
        <v>175</v>
      </c>
      <c r="I298" t="s">
        <v>342</v>
      </c>
      <c r="J298" t="s">
        <v>269</v>
      </c>
    </row>
    <row r="299" spans="1:10" ht="13.5" customHeight="1" x14ac:dyDescent="0.35">
      <c r="A299" s="838">
        <v>46082</v>
      </c>
      <c r="B299" s="839" t="s">
        <v>292</v>
      </c>
      <c r="C299" s="840" t="s">
        <v>44</v>
      </c>
      <c r="D299" s="839" t="s">
        <v>159</v>
      </c>
      <c r="E299" s="841">
        <v>20</v>
      </c>
      <c r="F299" s="839" t="s">
        <v>293</v>
      </c>
      <c r="G299" s="839" t="s">
        <v>175</v>
      </c>
      <c r="I299" t="s">
        <v>294</v>
      </c>
      <c r="J299" t="s">
        <v>295</v>
      </c>
    </row>
    <row r="300" spans="1:10" ht="13.5" customHeight="1" x14ac:dyDescent="0.35">
      <c r="A300" s="838"/>
      <c r="B300" s="839"/>
      <c r="C300" s="840"/>
      <c r="D300" s="839"/>
      <c r="E300" s="841"/>
      <c r="F300" s="839"/>
      <c r="G300" s="839"/>
    </row>
    <row r="301" spans="1:10" ht="13.5" customHeight="1" x14ac:dyDescent="0.35">
      <c r="A301" s="838">
        <v>46078</v>
      </c>
      <c r="B301" s="839" t="s">
        <v>343</v>
      </c>
      <c r="C301" s="840" t="s">
        <v>50</v>
      </c>
      <c r="D301" s="839" t="s">
        <v>159</v>
      </c>
      <c r="E301" s="841">
        <v>150</v>
      </c>
      <c r="F301" s="839" t="s">
        <v>344</v>
      </c>
      <c r="G301" s="839" t="s">
        <v>174</v>
      </c>
      <c r="I301" t="s">
        <v>210</v>
      </c>
      <c r="J301" t="s">
        <v>211</v>
      </c>
    </row>
    <row r="302" spans="1:10" ht="13.5" customHeight="1" x14ac:dyDescent="0.35">
      <c r="A302" s="838">
        <v>46077</v>
      </c>
      <c r="B302" s="839" t="s">
        <v>345</v>
      </c>
      <c r="C302" s="840" t="s">
        <v>62</v>
      </c>
      <c r="D302" s="839" t="s">
        <v>159</v>
      </c>
      <c r="E302" s="841">
        <v>79</v>
      </c>
      <c r="F302" s="839" t="s">
        <v>200</v>
      </c>
      <c r="G302" s="839" t="s">
        <v>175</v>
      </c>
      <c r="I302" t="s">
        <v>201</v>
      </c>
      <c r="J302" t="s">
        <v>202</v>
      </c>
    </row>
    <row r="303" spans="1:10" ht="13.5" customHeight="1" x14ac:dyDescent="0.35">
      <c r="A303" s="838">
        <v>46076</v>
      </c>
      <c r="B303" s="839" t="s">
        <v>346</v>
      </c>
      <c r="C303" s="840" t="s">
        <v>62</v>
      </c>
      <c r="D303" s="839" t="s">
        <v>159</v>
      </c>
      <c r="E303" s="841">
        <v>79</v>
      </c>
      <c r="F303" s="839" t="s">
        <v>200</v>
      </c>
      <c r="G303" s="839" t="s">
        <v>175</v>
      </c>
      <c r="I303" t="s">
        <v>201</v>
      </c>
      <c r="J303" t="s">
        <v>202</v>
      </c>
    </row>
    <row r="304" spans="1:10" ht="13.5" customHeight="1" x14ac:dyDescent="0.35">
      <c r="A304" s="838">
        <v>46076</v>
      </c>
      <c r="B304" s="839" t="s">
        <v>347</v>
      </c>
      <c r="C304" s="840" t="s">
        <v>50</v>
      </c>
      <c r="D304" s="839" t="s">
        <v>159</v>
      </c>
      <c r="E304" s="841">
        <v>150</v>
      </c>
      <c r="F304" s="839" t="s">
        <v>344</v>
      </c>
      <c r="G304" s="839" t="s">
        <v>174</v>
      </c>
      <c r="I304" t="s">
        <v>210</v>
      </c>
      <c r="J304" t="s">
        <v>211</v>
      </c>
    </row>
    <row r="305" spans="1:10" ht="13.5" customHeight="1" x14ac:dyDescent="0.35">
      <c r="A305" s="838">
        <v>46071</v>
      </c>
      <c r="B305" s="839" t="s">
        <v>327</v>
      </c>
      <c r="C305" s="840" t="s">
        <v>31</v>
      </c>
      <c r="D305" s="839" t="s">
        <v>159</v>
      </c>
      <c r="E305" s="841">
        <v>125</v>
      </c>
      <c r="F305" s="839" t="s">
        <v>224</v>
      </c>
      <c r="G305" s="839" t="s">
        <v>175</v>
      </c>
      <c r="I305" t="s">
        <v>225</v>
      </c>
      <c r="J305" t="s">
        <v>226</v>
      </c>
    </row>
    <row r="306" spans="1:10" ht="13.5" customHeight="1" x14ac:dyDescent="0.35">
      <c r="A306" s="838">
        <v>46071</v>
      </c>
      <c r="B306" s="839" t="s">
        <v>348</v>
      </c>
      <c r="C306" s="840" t="s">
        <v>59</v>
      </c>
      <c r="D306" s="839" t="s">
        <v>159</v>
      </c>
      <c r="E306" s="841">
        <v>75</v>
      </c>
      <c r="F306" s="839" t="s">
        <v>349</v>
      </c>
      <c r="G306" s="839" t="s">
        <v>174</v>
      </c>
      <c r="I306" t="s">
        <v>320</v>
      </c>
      <c r="J306" t="s">
        <v>304</v>
      </c>
    </row>
    <row r="307" spans="1:10" ht="13.5" customHeight="1" x14ac:dyDescent="0.35">
      <c r="A307" s="838">
        <v>46073</v>
      </c>
      <c r="B307" s="839" t="s">
        <v>350</v>
      </c>
      <c r="C307" s="840" t="s">
        <v>31</v>
      </c>
      <c r="D307" s="839" t="s">
        <v>162</v>
      </c>
      <c r="E307" s="841">
        <v>125</v>
      </c>
      <c r="F307" s="839" t="s">
        <v>273</v>
      </c>
      <c r="G307" s="839" t="s">
        <v>126</v>
      </c>
      <c r="I307" t="s">
        <v>274</v>
      </c>
      <c r="J307" t="s">
        <v>232</v>
      </c>
    </row>
    <row r="308" spans="1:10" ht="13.5" customHeight="1" x14ac:dyDescent="0.35">
      <c r="A308" s="838">
        <v>46070</v>
      </c>
      <c r="B308" s="839" t="s">
        <v>351</v>
      </c>
      <c r="C308" s="840" t="s">
        <v>37</v>
      </c>
      <c r="D308" s="839" t="s">
        <v>162</v>
      </c>
      <c r="E308" s="841">
        <v>286</v>
      </c>
      <c r="F308" s="839" t="s">
        <v>352</v>
      </c>
      <c r="G308" s="839" t="s">
        <v>175</v>
      </c>
      <c r="I308" t="s">
        <v>353</v>
      </c>
      <c r="J308" t="s">
        <v>354</v>
      </c>
    </row>
    <row r="309" spans="1:10" ht="13.5" customHeight="1" x14ac:dyDescent="0.35">
      <c r="A309" s="838">
        <v>46069</v>
      </c>
      <c r="B309" s="839" t="s">
        <v>355</v>
      </c>
      <c r="C309" s="840" t="s">
        <v>28</v>
      </c>
      <c r="D309" s="839" t="s">
        <v>159</v>
      </c>
      <c r="E309" s="841">
        <v>150</v>
      </c>
      <c r="F309" s="839" t="s">
        <v>195</v>
      </c>
      <c r="G309" s="839" t="s">
        <v>174</v>
      </c>
      <c r="I309" t="s">
        <v>196</v>
      </c>
      <c r="J309" t="s">
        <v>197</v>
      </c>
    </row>
    <row r="310" spans="1:10" ht="13.5" customHeight="1" x14ac:dyDescent="0.35">
      <c r="A310" s="838">
        <v>46069</v>
      </c>
      <c r="B310" s="839" t="s">
        <v>356</v>
      </c>
      <c r="C310" s="840" t="s">
        <v>35</v>
      </c>
      <c r="D310" s="839" t="s">
        <v>159</v>
      </c>
      <c r="E310" s="841">
        <v>825</v>
      </c>
      <c r="F310" s="839" t="s">
        <v>357</v>
      </c>
      <c r="G310" s="839" t="s">
        <v>178</v>
      </c>
      <c r="I310" t="s">
        <v>358</v>
      </c>
      <c r="J310" t="s">
        <v>222</v>
      </c>
    </row>
    <row r="311" spans="1:10" ht="13.5" customHeight="1" x14ac:dyDescent="0.35">
      <c r="A311" s="838">
        <v>46066</v>
      </c>
      <c r="B311" s="839" t="s">
        <v>359</v>
      </c>
      <c r="C311" s="840" t="s">
        <v>47</v>
      </c>
      <c r="D311" s="839" t="s">
        <v>159</v>
      </c>
      <c r="E311" s="841">
        <v>50</v>
      </c>
      <c r="F311" s="839" t="s">
        <v>360</v>
      </c>
      <c r="G311" s="839" t="s">
        <v>174</v>
      </c>
      <c r="I311" t="s">
        <v>268</v>
      </c>
      <c r="J311" t="s">
        <v>269</v>
      </c>
    </row>
    <row r="312" spans="1:10" ht="13.5" customHeight="1" x14ac:dyDescent="0.35">
      <c r="A312" s="838">
        <v>46066</v>
      </c>
      <c r="B312" s="839" t="s">
        <v>361</v>
      </c>
      <c r="C312" s="840" t="s">
        <v>31</v>
      </c>
      <c r="D312" s="839" t="s">
        <v>162</v>
      </c>
      <c r="E312" s="841">
        <v>15</v>
      </c>
      <c r="F312" s="839" t="s">
        <v>362</v>
      </c>
      <c r="G312" s="839" t="s">
        <v>126</v>
      </c>
      <c r="I312" t="s">
        <v>325</v>
      </c>
      <c r="J312" t="s">
        <v>226</v>
      </c>
    </row>
    <row r="313" spans="1:10" ht="13.5" customHeight="1" x14ac:dyDescent="0.35">
      <c r="A313" s="838">
        <v>46066</v>
      </c>
      <c r="B313" s="839" t="s">
        <v>363</v>
      </c>
      <c r="C313" s="840" t="s">
        <v>31</v>
      </c>
      <c r="D313" s="839" t="s">
        <v>162</v>
      </c>
      <c r="E313" s="841">
        <v>15</v>
      </c>
      <c r="F313" s="839" t="s">
        <v>362</v>
      </c>
      <c r="G313" s="839" t="s">
        <v>126</v>
      </c>
      <c r="I313" t="s">
        <v>325</v>
      </c>
      <c r="J313" t="s">
        <v>226</v>
      </c>
    </row>
    <row r="314" spans="1:10" ht="13.5" customHeight="1" x14ac:dyDescent="0.35">
      <c r="A314" s="838">
        <v>46066</v>
      </c>
      <c r="B314" s="839" t="s">
        <v>364</v>
      </c>
      <c r="C314" s="840" t="s">
        <v>31</v>
      </c>
      <c r="D314" s="839" t="s">
        <v>162</v>
      </c>
      <c r="E314" s="841">
        <v>15</v>
      </c>
      <c r="F314" s="839" t="s">
        <v>362</v>
      </c>
      <c r="G314" s="839" t="s">
        <v>126</v>
      </c>
      <c r="I314" t="s">
        <v>325</v>
      </c>
      <c r="J314" t="s">
        <v>226</v>
      </c>
    </row>
    <row r="315" spans="1:10" ht="13.5" customHeight="1" x14ac:dyDescent="0.35">
      <c r="A315" s="838">
        <v>46064</v>
      </c>
      <c r="B315" s="839" t="s">
        <v>365</v>
      </c>
      <c r="C315" s="840" t="s">
        <v>28</v>
      </c>
      <c r="D315" s="839" t="s">
        <v>159</v>
      </c>
      <c r="E315" s="841">
        <v>150</v>
      </c>
      <c r="F315" s="839" t="s">
        <v>195</v>
      </c>
      <c r="G315" s="839" t="s">
        <v>174</v>
      </c>
      <c r="I315" t="s">
        <v>196</v>
      </c>
      <c r="J315" t="s">
        <v>197</v>
      </c>
    </row>
    <row r="316" spans="1:10" ht="13.5" customHeight="1" x14ac:dyDescent="0.35">
      <c r="A316" s="838">
        <v>46060</v>
      </c>
      <c r="B316" s="839" t="s">
        <v>366</v>
      </c>
      <c r="C316" s="840" t="s">
        <v>31</v>
      </c>
      <c r="D316" s="839" t="s">
        <v>159</v>
      </c>
      <c r="E316" s="841">
        <v>50</v>
      </c>
      <c r="F316" s="839" t="s">
        <v>367</v>
      </c>
      <c r="G316" s="839" t="s">
        <v>175</v>
      </c>
      <c r="I316" t="s">
        <v>317</v>
      </c>
      <c r="J316" t="s">
        <v>226</v>
      </c>
    </row>
    <row r="317" spans="1:10" ht="13.5" customHeight="1" x14ac:dyDescent="0.35">
      <c r="A317" s="838">
        <v>46058</v>
      </c>
      <c r="B317" s="839" t="s">
        <v>368</v>
      </c>
      <c r="C317" s="840" t="s">
        <v>31</v>
      </c>
      <c r="D317" s="839" t="s">
        <v>159</v>
      </c>
      <c r="E317" s="841">
        <v>250</v>
      </c>
      <c r="F317" s="839" t="s">
        <v>224</v>
      </c>
      <c r="G317" s="839" t="s">
        <v>175</v>
      </c>
      <c r="I317" t="s">
        <v>225</v>
      </c>
      <c r="J317" t="s">
        <v>226</v>
      </c>
    </row>
    <row r="318" spans="1:10" ht="13.5" customHeight="1" x14ac:dyDescent="0.35">
      <c r="A318" s="838">
        <v>46057</v>
      </c>
      <c r="B318" s="839" t="s">
        <v>369</v>
      </c>
      <c r="C318" s="840" t="s">
        <v>50</v>
      </c>
      <c r="D318" s="839" t="s">
        <v>159</v>
      </c>
      <c r="E318" s="841">
        <v>150</v>
      </c>
      <c r="F318" s="839" t="s">
        <v>344</v>
      </c>
      <c r="G318" s="839" t="s">
        <v>174</v>
      </c>
      <c r="I318" t="s">
        <v>210</v>
      </c>
      <c r="J318" t="s">
        <v>211</v>
      </c>
    </row>
    <row r="319" spans="1:10" ht="13.5" customHeight="1" x14ac:dyDescent="0.35">
      <c r="A319" s="838">
        <v>46057</v>
      </c>
      <c r="B319" s="839" t="s">
        <v>370</v>
      </c>
      <c r="C319" s="840" t="s">
        <v>28</v>
      </c>
      <c r="D319" s="839" t="s">
        <v>159</v>
      </c>
      <c r="E319" s="841">
        <v>150</v>
      </c>
      <c r="F319" s="839" t="s">
        <v>195</v>
      </c>
      <c r="G319" s="839" t="s">
        <v>174</v>
      </c>
      <c r="I319" t="s">
        <v>196</v>
      </c>
      <c r="J319" t="s">
        <v>197</v>
      </c>
    </row>
    <row r="320" spans="1:10" ht="13.5" customHeight="1" x14ac:dyDescent="0.35">
      <c r="A320" s="838">
        <v>46057</v>
      </c>
      <c r="B320" s="839" t="s">
        <v>371</v>
      </c>
      <c r="C320" s="840" t="s">
        <v>35</v>
      </c>
      <c r="D320" s="839" t="s">
        <v>159</v>
      </c>
      <c r="E320" s="841">
        <v>1590</v>
      </c>
      <c r="F320" s="839" t="s">
        <v>372</v>
      </c>
      <c r="G320" s="839" t="s">
        <v>174</v>
      </c>
      <c r="I320" t="s">
        <v>373</v>
      </c>
      <c r="J320" t="s">
        <v>222</v>
      </c>
    </row>
    <row r="321" spans="1:10" ht="13.5" customHeight="1" x14ac:dyDescent="0.35">
      <c r="A321" s="838">
        <v>46056</v>
      </c>
      <c r="B321" s="839" t="s">
        <v>348</v>
      </c>
      <c r="C321" s="840" t="s">
        <v>59</v>
      </c>
      <c r="D321" s="839" t="s">
        <v>159</v>
      </c>
      <c r="E321" s="841">
        <v>75</v>
      </c>
      <c r="F321" s="839" t="s">
        <v>349</v>
      </c>
      <c r="G321" s="839" t="s">
        <v>174</v>
      </c>
      <c r="I321" t="s">
        <v>320</v>
      </c>
      <c r="J321" t="s">
        <v>304</v>
      </c>
    </row>
    <row r="322" spans="1:10" ht="13.5" customHeight="1" x14ac:dyDescent="0.35">
      <c r="A322" s="838">
        <v>46054</v>
      </c>
      <c r="B322" s="839" t="s">
        <v>292</v>
      </c>
      <c r="C322" s="840" t="s">
        <v>44</v>
      </c>
      <c r="D322" s="839" t="s">
        <v>159</v>
      </c>
      <c r="E322" s="841">
        <v>20</v>
      </c>
      <c r="F322" s="839" t="s">
        <v>293</v>
      </c>
      <c r="G322" s="839" t="s">
        <v>175</v>
      </c>
      <c r="I322" t="s">
        <v>294</v>
      </c>
      <c r="J322" t="s">
        <v>295</v>
      </c>
    </row>
    <row r="323" spans="1:10" ht="13.5" customHeight="1" x14ac:dyDescent="0.35">
      <c r="A323" s="838"/>
      <c r="B323" s="839"/>
      <c r="C323" s="840"/>
      <c r="D323" s="839"/>
      <c r="E323" s="841"/>
      <c r="F323" s="839"/>
      <c r="G323" s="839"/>
    </row>
    <row r="324" spans="1:10" ht="13.5" customHeight="1" x14ac:dyDescent="0.35">
      <c r="A324" s="838">
        <v>46052</v>
      </c>
      <c r="B324" s="839" t="s">
        <v>351</v>
      </c>
      <c r="C324" s="840" t="s">
        <v>41</v>
      </c>
      <c r="D324" s="839" t="s">
        <v>166</v>
      </c>
      <c r="E324" s="841">
        <v>-150</v>
      </c>
      <c r="F324" s="839" t="s">
        <v>374</v>
      </c>
      <c r="G324" s="839" t="s">
        <v>175</v>
      </c>
      <c r="I324" t="s">
        <v>220</v>
      </c>
      <c r="J324"/>
    </row>
    <row r="325" spans="1:10" ht="13.5" customHeight="1" x14ac:dyDescent="0.35">
      <c r="A325" s="838">
        <v>46052</v>
      </c>
      <c r="B325" s="839" t="s">
        <v>351</v>
      </c>
      <c r="C325" s="840" t="s">
        <v>31</v>
      </c>
      <c r="D325" s="839" t="s">
        <v>166</v>
      </c>
      <c r="E325" s="841">
        <v>150</v>
      </c>
      <c r="F325" s="839" t="s">
        <v>374</v>
      </c>
      <c r="G325" s="839" t="s">
        <v>175</v>
      </c>
      <c r="I325" t="s">
        <v>282</v>
      </c>
      <c r="J325" t="s">
        <v>226</v>
      </c>
    </row>
    <row r="326" spans="1:10" ht="13.5" customHeight="1" x14ac:dyDescent="0.35">
      <c r="A326" s="838">
        <v>46052</v>
      </c>
      <c r="B326" s="839" t="s">
        <v>263</v>
      </c>
      <c r="C326" s="839" t="s">
        <v>41</v>
      </c>
      <c r="D326" s="839" t="s">
        <v>166</v>
      </c>
      <c r="E326" s="841">
        <v>-150</v>
      </c>
      <c r="F326" s="839" t="s">
        <v>375</v>
      </c>
      <c r="G326" s="839" t="s">
        <v>175</v>
      </c>
      <c r="I326" t="s">
        <v>220</v>
      </c>
      <c r="J326"/>
    </row>
    <row r="327" spans="1:10" ht="13.5" customHeight="1" x14ac:dyDescent="0.35">
      <c r="A327" s="838">
        <v>46052</v>
      </c>
      <c r="B327" s="839" t="s">
        <v>263</v>
      </c>
      <c r="C327" s="840" t="s">
        <v>31</v>
      </c>
      <c r="D327" s="839" t="s">
        <v>166</v>
      </c>
      <c r="E327" s="841">
        <v>150</v>
      </c>
      <c r="F327" s="839" t="s">
        <v>375</v>
      </c>
      <c r="G327" s="839" t="s">
        <v>175</v>
      </c>
      <c r="I327" t="s">
        <v>231</v>
      </c>
      <c r="J327" t="s">
        <v>232</v>
      </c>
    </row>
    <row r="328" spans="1:10" ht="13.5" customHeight="1" x14ac:dyDescent="0.35">
      <c r="A328" s="838">
        <v>46052</v>
      </c>
      <c r="B328" s="839" t="s">
        <v>263</v>
      </c>
      <c r="C328" s="839" t="s">
        <v>41</v>
      </c>
      <c r="D328" s="839" t="s">
        <v>166</v>
      </c>
      <c r="E328" s="841">
        <v>-575</v>
      </c>
      <c r="F328" s="839" t="s">
        <v>376</v>
      </c>
      <c r="G328" s="839" t="s">
        <v>175</v>
      </c>
      <c r="I328" t="s">
        <v>220</v>
      </c>
      <c r="J328"/>
    </row>
    <row r="329" spans="1:10" ht="13.5" customHeight="1" x14ac:dyDescent="0.35">
      <c r="A329" s="838">
        <v>46052</v>
      </c>
      <c r="B329" s="839" t="s">
        <v>263</v>
      </c>
      <c r="C329" s="840" t="s">
        <v>35</v>
      </c>
      <c r="D329" s="839" t="s">
        <v>166</v>
      </c>
      <c r="E329" s="841">
        <v>575</v>
      </c>
      <c r="F329" s="839" t="s">
        <v>376</v>
      </c>
      <c r="G329" s="839" t="s">
        <v>175</v>
      </c>
      <c r="I329" t="s">
        <v>250</v>
      </c>
      <c r="J329" t="s">
        <v>222</v>
      </c>
    </row>
    <row r="330" spans="1:10" ht="13.5" customHeight="1" x14ac:dyDescent="0.35">
      <c r="A330" s="838">
        <v>46052</v>
      </c>
      <c r="B330" s="839" t="s">
        <v>263</v>
      </c>
      <c r="C330" s="840" t="s">
        <v>41</v>
      </c>
      <c r="D330" s="839" t="s">
        <v>166</v>
      </c>
      <c r="E330" s="841">
        <v>-95</v>
      </c>
      <c r="F330" s="839" t="s">
        <v>377</v>
      </c>
      <c r="G330" s="839" t="s">
        <v>175</v>
      </c>
      <c r="I330" t="s">
        <v>220</v>
      </c>
      <c r="J330"/>
    </row>
    <row r="331" spans="1:10" ht="13.5" customHeight="1" x14ac:dyDescent="0.35">
      <c r="A331" s="838">
        <v>46052</v>
      </c>
      <c r="B331" s="839" t="s">
        <v>263</v>
      </c>
      <c r="C331" s="840" t="s">
        <v>31</v>
      </c>
      <c r="D331" s="839" t="s">
        <v>166</v>
      </c>
      <c r="E331" s="841">
        <v>95</v>
      </c>
      <c r="F331" s="839" t="s">
        <v>377</v>
      </c>
      <c r="G331" s="839" t="s">
        <v>175</v>
      </c>
      <c r="I331" t="s">
        <v>378</v>
      </c>
      <c r="J331" t="s">
        <v>226</v>
      </c>
    </row>
    <row r="332" spans="1:10" ht="13.5" customHeight="1" x14ac:dyDescent="0.35">
      <c r="A332" s="838">
        <v>46052</v>
      </c>
      <c r="B332" s="839" t="s">
        <v>263</v>
      </c>
      <c r="C332" s="840" t="s">
        <v>41</v>
      </c>
      <c r="D332" s="839" t="s">
        <v>166</v>
      </c>
      <c r="E332" s="841">
        <v>-50</v>
      </c>
      <c r="F332" s="839" t="s">
        <v>379</v>
      </c>
      <c r="G332" s="839" t="s">
        <v>175</v>
      </c>
      <c r="I332" t="s">
        <v>220</v>
      </c>
      <c r="J332"/>
    </row>
    <row r="333" spans="1:10" ht="13.5" customHeight="1" x14ac:dyDescent="0.35">
      <c r="A333" s="838">
        <v>46052</v>
      </c>
      <c r="B333" s="839" t="s">
        <v>263</v>
      </c>
      <c r="C333" s="840" t="s">
        <v>31</v>
      </c>
      <c r="D333" s="839" t="s">
        <v>166</v>
      </c>
      <c r="E333" s="841">
        <v>50</v>
      </c>
      <c r="F333" s="839" t="s">
        <v>379</v>
      </c>
      <c r="G333" s="839" t="s">
        <v>175</v>
      </c>
      <c r="I333" t="s">
        <v>380</v>
      </c>
      <c r="J333" t="s">
        <v>226</v>
      </c>
    </row>
    <row r="334" spans="1:10" ht="13.5" customHeight="1" x14ac:dyDescent="0.35">
      <c r="A334" s="838">
        <v>46052</v>
      </c>
      <c r="B334" s="839" t="s">
        <v>263</v>
      </c>
      <c r="C334" s="840" t="s">
        <v>62</v>
      </c>
      <c r="D334" s="839" t="s">
        <v>159</v>
      </c>
      <c r="E334" s="841">
        <v>79</v>
      </c>
      <c r="F334" s="839" t="s">
        <v>308</v>
      </c>
      <c r="G334" s="839" t="s">
        <v>175</v>
      </c>
      <c r="I334" t="s">
        <v>201</v>
      </c>
      <c r="J334" t="s">
        <v>202</v>
      </c>
    </row>
    <row r="335" spans="1:10" ht="13.5" customHeight="1" x14ac:dyDescent="0.35">
      <c r="A335" s="838">
        <v>46052</v>
      </c>
      <c r="B335" s="839" t="s">
        <v>381</v>
      </c>
      <c r="C335" s="840" t="s">
        <v>59</v>
      </c>
      <c r="D335" s="839" t="s">
        <v>159</v>
      </c>
      <c r="E335" s="841">
        <v>50</v>
      </c>
      <c r="F335" s="839" t="s">
        <v>382</v>
      </c>
      <c r="G335" s="839" t="s">
        <v>175</v>
      </c>
      <c r="I335" t="s">
        <v>254</v>
      </c>
      <c r="J335" t="s">
        <v>304</v>
      </c>
    </row>
    <row r="336" spans="1:10" ht="13.5" customHeight="1" x14ac:dyDescent="0.35">
      <c r="A336" s="838">
        <v>46051</v>
      </c>
      <c r="B336" s="839" t="s">
        <v>383</v>
      </c>
      <c r="C336" s="840" t="s">
        <v>31</v>
      </c>
      <c r="D336" s="839" t="s">
        <v>159</v>
      </c>
      <c r="E336" s="841">
        <v>198</v>
      </c>
      <c r="F336" s="839" t="s">
        <v>230</v>
      </c>
      <c r="G336" s="839" t="s">
        <v>174</v>
      </c>
      <c r="I336" t="s">
        <v>231</v>
      </c>
      <c r="J336" t="s">
        <v>232</v>
      </c>
    </row>
    <row r="337" spans="1:10" ht="13.5" customHeight="1" x14ac:dyDescent="0.35">
      <c r="A337" s="838">
        <v>46050</v>
      </c>
      <c r="B337" s="839" t="s">
        <v>384</v>
      </c>
      <c r="C337" s="840" t="s">
        <v>62</v>
      </c>
      <c r="D337" s="839" t="s">
        <v>159</v>
      </c>
      <c r="E337" s="841">
        <v>79</v>
      </c>
      <c r="F337" s="839" t="s">
        <v>308</v>
      </c>
      <c r="G337" s="839" t="s">
        <v>175</v>
      </c>
      <c r="I337" t="s">
        <v>201</v>
      </c>
      <c r="J337" t="s">
        <v>202</v>
      </c>
    </row>
    <row r="338" spans="1:10" ht="13.5" customHeight="1" x14ac:dyDescent="0.35">
      <c r="A338" s="838">
        <v>46049</v>
      </c>
      <c r="B338" s="839" t="s">
        <v>385</v>
      </c>
      <c r="C338" s="840" t="s">
        <v>35</v>
      </c>
      <c r="D338" s="839" t="s">
        <v>159</v>
      </c>
      <c r="E338" s="841">
        <v>825</v>
      </c>
      <c r="F338" s="839" t="s">
        <v>357</v>
      </c>
      <c r="G338" s="839" t="s">
        <v>174</v>
      </c>
      <c r="I338" t="s">
        <v>358</v>
      </c>
      <c r="J338" t="s">
        <v>222</v>
      </c>
    </row>
    <row r="339" spans="1:10" ht="13.5" customHeight="1" x14ac:dyDescent="0.35">
      <c r="A339" s="838">
        <v>46045</v>
      </c>
      <c r="B339" s="839" t="s">
        <v>386</v>
      </c>
      <c r="C339" s="840" t="s">
        <v>31</v>
      </c>
      <c r="D339" s="839" t="s">
        <v>162</v>
      </c>
      <c r="E339" s="841">
        <v>15</v>
      </c>
      <c r="F339" s="839" t="s">
        <v>362</v>
      </c>
      <c r="G339" s="839" t="s">
        <v>126</v>
      </c>
      <c r="I339" t="s">
        <v>325</v>
      </c>
      <c r="J339" t="s">
        <v>226</v>
      </c>
    </row>
    <row r="340" spans="1:10" ht="13.5" customHeight="1" x14ac:dyDescent="0.35">
      <c r="A340" s="838">
        <v>46045</v>
      </c>
      <c r="B340" s="839" t="s">
        <v>387</v>
      </c>
      <c r="C340" s="840" t="s">
        <v>31</v>
      </c>
      <c r="D340" s="839" t="s">
        <v>162</v>
      </c>
      <c r="E340" s="841">
        <v>15</v>
      </c>
      <c r="F340" s="839" t="s">
        <v>362</v>
      </c>
      <c r="G340" s="839" t="s">
        <v>126</v>
      </c>
      <c r="I340" t="s">
        <v>325</v>
      </c>
      <c r="J340" t="s">
        <v>226</v>
      </c>
    </row>
    <row r="341" spans="1:10" ht="13.5" customHeight="1" x14ac:dyDescent="0.35">
      <c r="A341" s="838">
        <v>46045</v>
      </c>
      <c r="B341" s="839" t="s">
        <v>388</v>
      </c>
      <c r="C341" s="840" t="s">
        <v>31</v>
      </c>
      <c r="D341" s="839" t="s">
        <v>162</v>
      </c>
      <c r="E341" s="841">
        <v>15</v>
      </c>
      <c r="F341" s="839" t="s">
        <v>362</v>
      </c>
      <c r="G341" s="839" t="s">
        <v>126</v>
      </c>
      <c r="I341" t="s">
        <v>325</v>
      </c>
      <c r="J341" t="s">
        <v>226</v>
      </c>
    </row>
    <row r="342" spans="1:10" ht="13.5" customHeight="1" x14ac:dyDescent="0.35">
      <c r="A342" s="838">
        <v>46045</v>
      </c>
      <c r="B342" s="839" t="s">
        <v>389</v>
      </c>
      <c r="C342" s="840" t="s">
        <v>31</v>
      </c>
      <c r="D342" s="839" t="s">
        <v>162</v>
      </c>
      <c r="E342" s="841">
        <v>15</v>
      </c>
      <c r="F342" s="839" t="s">
        <v>362</v>
      </c>
      <c r="G342" s="839" t="s">
        <v>126</v>
      </c>
      <c r="I342" t="s">
        <v>325</v>
      </c>
      <c r="J342" t="s">
        <v>226</v>
      </c>
    </row>
    <row r="343" spans="1:10" ht="13.5" customHeight="1" x14ac:dyDescent="0.35">
      <c r="A343" s="838">
        <v>46045</v>
      </c>
      <c r="B343" s="839" t="s">
        <v>390</v>
      </c>
      <c r="C343" s="840" t="s">
        <v>31</v>
      </c>
      <c r="D343" s="839" t="s">
        <v>162</v>
      </c>
      <c r="E343" s="841">
        <v>15</v>
      </c>
      <c r="F343" s="839" t="s">
        <v>362</v>
      </c>
      <c r="G343" s="839" t="s">
        <v>126</v>
      </c>
      <c r="I343" t="s">
        <v>325</v>
      </c>
      <c r="J343" t="s">
        <v>226</v>
      </c>
    </row>
    <row r="344" spans="1:10" ht="13.5" customHeight="1" x14ac:dyDescent="0.35">
      <c r="A344" s="838">
        <v>46045</v>
      </c>
      <c r="B344" s="839" t="s">
        <v>391</v>
      </c>
      <c r="C344" s="840" t="s">
        <v>31</v>
      </c>
      <c r="D344" s="839" t="s">
        <v>162</v>
      </c>
      <c r="E344" s="841">
        <v>15</v>
      </c>
      <c r="F344" s="839" t="s">
        <v>362</v>
      </c>
      <c r="G344" s="839" t="s">
        <v>126</v>
      </c>
      <c r="I344" t="s">
        <v>325</v>
      </c>
      <c r="J344" t="s">
        <v>226</v>
      </c>
    </row>
    <row r="345" spans="1:10" ht="13.5" customHeight="1" x14ac:dyDescent="0.35">
      <c r="A345" s="838">
        <v>46045</v>
      </c>
      <c r="B345" s="839" t="s">
        <v>392</v>
      </c>
      <c r="C345" s="840" t="s">
        <v>31</v>
      </c>
      <c r="D345" s="839" t="s">
        <v>162</v>
      </c>
      <c r="E345" s="841">
        <v>15</v>
      </c>
      <c r="F345" s="839" t="s">
        <v>362</v>
      </c>
      <c r="G345" s="839" t="s">
        <v>126</v>
      </c>
      <c r="I345" t="s">
        <v>325</v>
      </c>
      <c r="J345" t="s">
        <v>226</v>
      </c>
    </row>
    <row r="346" spans="1:10" ht="13.5" customHeight="1" x14ac:dyDescent="0.35">
      <c r="A346" s="838">
        <v>46045</v>
      </c>
      <c r="B346" s="839" t="s">
        <v>393</v>
      </c>
      <c r="C346" s="840" t="s">
        <v>31</v>
      </c>
      <c r="D346" s="839" t="s">
        <v>162</v>
      </c>
      <c r="E346" s="841">
        <v>15</v>
      </c>
      <c r="F346" s="839" t="s">
        <v>362</v>
      </c>
      <c r="G346" s="839" t="s">
        <v>126</v>
      </c>
      <c r="I346" t="s">
        <v>325</v>
      </c>
      <c r="J346" t="s">
        <v>226</v>
      </c>
    </row>
    <row r="347" spans="1:10" ht="13.5" customHeight="1" x14ac:dyDescent="0.35">
      <c r="A347" s="838">
        <v>46045</v>
      </c>
      <c r="B347" s="839" t="s">
        <v>394</v>
      </c>
      <c r="C347" s="840" t="s">
        <v>31</v>
      </c>
      <c r="D347" s="839" t="s">
        <v>162</v>
      </c>
      <c r="E347" s="841">
        <v>15</v>
      </c>
      <c r="F347" s="839" t="s">
        <v>362</v>
      </c>
      <c r="G347" s="839" t="s">
        <v>126</v>
      </c>
      <c r="I347" t="s">
        <v>325</v>
      </c>
      <c r="J347" t="s">
        <v>226</v>
      </c>
    </row>
    <row r="348" spans="1:10" ht="13.5" customHeight="1" x14ac:dyDescent="0.35">
      <c r="A348" s="838">
        <v>46045</v>
      </c>
      <c r="B348" s="839" t="s">
        <v>395</v>
      </c>
      <c r="C348" s="840" t="s">
        <v>31</v>
      </c>
      <c r="D348" s="839" t="s">
        <v>162</v>
      </c>
      <c r="E348" s="841">
        <v>15</v>
      </c>
      <c r="F348" s="839" t="s">
        <v>362</v>
      </c>
      <c r="G348" s="839" t="s">
        <v>126</v>
      </c>
      <c r="I348" t="s">
        <v>325</v>
      </c>
      <c r="J348" t="s">
        <v>226</v>
      </c>
    </row>
    <row r="349" spans="1:10" ht="13.5" customHeight="1" x14ac:dyDescent="0.35">
      <c r="A349" s="838">
        <v>46045</v>
      </c>
      <c r="B349" s="839" t="s">
        <v>396</v>
      </c>
      <c r="C349" s="840" t="s">
        <v>31</v>
      </c>
      <c r="D349" s="839" t="s">
        <v>162</v>
      </c>
      <c r="E349" s="841">
        <v>15</v>
      </c>
      <c r="F349" s="839" t="s">
        <v>362</v>
      </c>
      <c r="G349" s="839" t="s">
        <v>126</v>
      </c>
      <c r="I349" t="s">
        <v>325</v>
      </c>
      <c r="J349" t="s">
        <v>226</v>
      </c>
    </row>
    <row r="350" spans="1:10" ht="13.5" customHeight="1" x14ac:dyDescent="0.35">
      <c r="A350" s="838">
        <v>46045</v>
      </c>
      <c r="B350" s="839" t="s">
        <v>397</v>
      </c>
      <c r="C350" s="840" t="s">
        <v>31</v>
      </c>
      <c r="D350" s="839" t="s">
        <v>159</v>
      </c>
      <c r="E350" s="841">
        <v>125</v>
      </c>
      <c r="F350" s="839" t="s">
        <v>224</v>
      </c>
      <c r="G350" s="839" t="s">
        <v>174</v>
      </c>
      <c r="I350" t="s">
        <v>225</v>
      </c>
      <c r="J350" t="s">
        <v>226</v>
      </c>
    </row>
    <row r="351" spans="1:10" ht="13.5" customHeight="1" x14ac:dyDescent="0.35">
      <c r="A351" s="838">
        <v>46042</v>
      </c>
      <c r="B351" s="839" t="s">
        <v>398</v>
      </c>
      <c r="C351" s="840" t="s">
        <v>59</v>
      </c>
      <c r="D351" s="839" t="s">
        <v>160</v>
      </c>
      <c r="E351" s="841">
        <v>200</v>
      </c>
      <c r="F351" s="839" t="s">
        <v>339</v>
      </c>
      <c r="G351" s="839" t="s">
        <v>174</v>
      </c>
      <c r="I351" t="s">
        <v>254</v>
      </c>
      <c r="J351" t="s">
        <v>304</v>
      </c>
    </row>
    <row r="352" spans="1:10" ht="13.5" customHeight="1" x14ac:dyDescent="0.35">
      <c r="A352" s="838">
        <v>46042</v>
      </c>
      <c r="B352" s="839" t="s">
        <v>399</v>
      </c>
      <c r="C352" s="840" t="s">
        <v>62</v>
      </c>
      <c r="D352" s="839" t="s">
        <v>159</v>
      </c>
      <c r="E352" s="841">
        <v>79</v>
      </c>
      <c r="F352" s="839" t="s">
        <v>308</v>
      </c>
      <c r="G352" s="839" t="s">
        <v>174</v>
      </c>
      <c r="I352" t="s">
        <v>201</v>
      </c>
      <c r="J352" t="s">
        <v>202</v>
      </c>
    </row>
    <row r="353" spans="1:10" ht="13.5" customHeight="1" x14ac:dyDescent="0.35">
      <c r="A353" s="838">
        <v>46040</v>
      </c>
      <c r="B353" s="839" t="s">
        <v>400</v>
      </c>
      <c r="C353" s="840" t="s">
        <v>28</v>
      </c>
      <c r="D353" s="839" t="s">
        <v>159</v>
      </c>
      <c r="E353" s="841">
        <v>150</v>
      </c>
      <c r="F353" s="839" t="s">
        <v>291</v>
      </c>
      <c r="G353" s="839" t="s">
        <v>174</v>
      </c>
      <c r="I353" t="s">
        <v>215</v>
      </c>
      <c r="J353" t="s">
        <v>216</v>
      </c>
    </row>
    <row r="354" spans="1:10" ht="13.5" customHeight="1" x14ac:dyDescent="0.35">
      <c r="A354" s="838">
        <v>46040</v>
      </c>
      <c r="B354" s="839" t="s">
        <v>401</v>
      </c>
      <c r="C354" s="840" t="s">
        <v>31</v>
      </c>
      <c r="D354" s="839" t="s">
        <v>159</v>
      </c>
      <c r="E354" s="841">
        <v>50</v>
      </c>
      <c r="F354" s="839" t="s">
        <v>243</v>
      </c>
      <c r="G354" s="839" t="s">
        <v>175</v>
      </c>
      <c r="I354" t="s">
        <v>244</v>
      </c>
      <c r="J354" t="s">
        <v>226</v>
      </c>
    </row>
    <row r="355" spans="1:10" ht="13.5" customHeight="1" x14ac:dyDescent="0.35">
      <c r="A355" s="838">
        <v>46039</v>
      </c>
      <c r="B355" s="839" t="s">
        <v>402</v>
      </c>
      <c r="C355" s="840" t="s">
        <v>62</v>
      </c>
      <c r="D355" s="839" t="s">
        <v>159</v>
      </c>
      <c r="E355" s="841">
        <v>79</v>
      </c>
      <c r="F355" s="839" t="s">
        <v>308</v>
      </c>
      <c r="G355" s="839" t="s">
        <v>175</v>
      </c>
      <c r="I355" t="s">
        <v>201</v>
      </c>
      <c r="J355" t="s">
        <v>202</v>
      </c>
    </row>
    <row r="356" spans="1:10" ht="13.5" customHeight="1" x14ac:dyDescent="0.35">
      <c r="A356" s="838">
        <v>46036</v>
      </c>
      <c r="B356" s="839" t="s">
        <v>309</v>
      </c>
      <c r="C356" s="840" t="s">
        <v>62</v>
      </c>
      <c r="D356" s="839" t="s">
        <v>159</v>
      </c>
      <c r="E356" s="841">
        <v>79</v>
      </c>
      <c r="F356" s="839" t="s">
        <v>308</v>
      </c>
      <c r="G356" s="839" t="s">
        <v>175</v>
      </c>
      <c r="I356" t="s">
        <v>201</v>
      </c>
      <c r="J356" t="s">
        <v>202</v>
      </c>
    </row>
    <row r="357" spans="1:10" ht="13.5" customHeight="1" x14ac:dyDescent="0.35">
      <c r="A357" s="838">
        <v>46036</v>
      </c>
      <c r="B357" s="839" t="s">
        <v>309</v>
      </c>
      <c r="C357" s="840" t="s">
        <v>47</v>
      </c>
      <c r="D357" s="839" t="s">
        <v>159</v>
      </c>
      <c r="E357" s="841">
        <v>300</v>
      </c>
      <c r="F357" s="839" t="s">
        <v>403</v>
      </c>
      <c r="G357" s="839" t="s">
        <v>175</v>
      </c>
      <c r="I357" t="s">
        <v>342</v>
      </c>
      <c r="J357" t="s">
        <v>269</v>
      </c>
    </row>
    <row r="358" spans="1:10" ht="13.5" customHeight="1" x14ac:dyDescent="0.35">
      <c r="A358" s="838">
        <v>46034</v>
      </c>
      <c r="B358" s="839" t="s">
        <v>404</v>
      </c>
      <c r="C358" s="840" t="s">
        <v>28</v>
      </c>
      <c r="D358" s="839" t="s">
        <v>159</v>
      </c>
      <c r="E358" s="841">
        <v>300</v>
      </c>
      <c r="F358" s="839" t="s">
        <v>195</v>
      </c>
      <c r="G358" s="839" t="s">
        <v>174</v>
      </c>
      <c r="I358" t="s">
        <v>196</v>
      </c>
      <c r="J358" t="s">
        <v>197</v>
      </c>
    </row>
    <row r="359" spans="1:10" ht="13.5" customHeight="1" x14ac:dyDescent="0.35">
      <c r="A359" s="838">
        <v>46034</v>
      </c>
      <c r="B359" s="839" t="s">
        <v>405</v>
      </c>
      <c r="C359" s="840" t="s">
        <v>31</v>
      </c>
      <c r="D359" s="839" t="s">
        <v>159</v>
      </c>
      <c r="E359" s="841">
        <v>125</v>
      </c>
      <c r="F359" s="839" t="s">
        <v>273</v>
      </c>
      <c r="G359" s="839" t="s">
        <v>174</v>
      </c>
      <c r="I359" t="s">
        <v>274</v>
      </c>
      <c r="J359" t="s">
        <v>232</v>
      </c>
    </row>
    <row r="360" spans="1:10" ht="13.5" customHeight="1" x14ac:dyDescent="0.35">
      <c r="A360" s="838">
        <v>46033</v>
      </c>
      <c r="B360" s="839" t="s">
        <v>406</v>
      </c>
      <c r="C360" s="840" t="s">
        <v>31</v>
      </c>
      <c r="D360" s="839" t="s">
        <v>159</v>
      </c>
      <c r="E360" s="841">
        <v>15</v>
      </c>
      <c r="F360" s="839" t="s">
        <v>324</v>
      </c>
      <c r="G360" s="839" t="s">
        <v>174</v>
      </c>
      <c r="I360" t="s">
        <v>325</v>
      </c>
      <c r="J360" t="s">
        <v>226</v>
      </c>
    </row>
    <row r="361" spans="1:10" ht="13.5" customHeight="1" x14ac:dyDescent="0.35">
      <c r="A361" s="838">
        <v>46031</v>
      </c>
      <c r="B361" s="839" t="s">
        <v>407</v>
      </c>
      <c r="C361" s="840" t="s">
        <v>28</v>
      </c>
      <c r="D361" s="839" t="s">
        <v>159</v>
      </c>
      <c r="E361" s="841">
        <v>150</v>
      </c>
      <c r="F361" s="839" t="s">
        <v>195</v>
      </c>
      <c r="G361" s="839" t="s">
        <v>174</v>
      </c>
      <c r="I361" t="s">
        <v>196</v>
      </c>
      <c r="J361" t="s">
        <v>197</v>
      </c>
    </row>
    <row r="362" spans="1:10" ht="13.5" customHeight="1" x14ac:dyDescent="0.35">
      <c r="A362" s="838">
        <v>46030</v>
      </c>
      <c r="B362" s="839" t="s">
        <v>381</v>
      </c>
      <c r="C362" s="840" t="s">
        <v>28</v>
      </c>
      <c r="D362" s="839" t="s">
        <v>159</v>
      </c>
      <c r="E362" s="841">
        <v>150</v>
      </c>
      <c r="F362" s="839" t="s">
        <v>195</v>
      </c>
      <c r="G362" s="839" t="s">
        <v>174</v>
      </c>
      <c r="I362" t="s">
        <v>196</v>
      </c>
      <c r="J362" t="s">
        <v>197</v>
      </c>
    </row>
    <row r="363" spans="1:10" ht="13.5" customHeight="1" x14ac:dyDescent="0.35">
      <c r="A363" s="838">
        <v>46030</v>
      </c>
      <c r="B363" s="839" t="s">
        <v>408</v>
      </c>
      <c r="C363" s="840" t="s">
        <v>59</v>
      </c>
      <c r="D363" s="839" t="s">
        <v>159</v>
      </c>
      <c r="E363" s="841">
        <v>350</v>
      </c>
      <c r="F363" s="839" t="s">
        <v>409</v>
      </c>
      <c r="G363" s="839" t="s">
        <v>174</v>
      </c>
      <c r="I363" t="s">
        <v>299</v>
      </c>
      <c r="J363" t="s">
        <v>255</v>
      </c>
    </row>
    <row r="364" spans="1:10" ht="13.5" customHeight="1" x14ac:dyDescent="0.35">
      <c r="A364" s="838">
        <v>46029</v>
      </c>
      <c r="B364" s="839" t="s">
        <v>410</v>
      </c>
      <c r="C364" s="840" t="s">
        <v>35</v>
      </c>
      <c r="D364" s="839" t="s">
        <v>159</v>
      </c>
      <c r="E364" s="841">
        <v>775</v>
      </c>
      <c r="F364" s="839" t="s">
        <v>219</v>
      </c>
      <c r="G364" s="839" t="s">
        <v>176</v>
      </c>
      <c r="I364" t="s">
        <v>221</v>
      </c>
      <c r="J364" t="s">
        <v>222</v>
      </c>
    </row>
    <row r="365" spans="1:10" ht="13.5" customHeight="1" x14ac:dyDescent="0.35">
      <c r="A365" s="838">
        <v>46028</v>
      </c>
      <c r="B365" s="839" t="s">
        <v>411</v>
      </c>
      <c r="C365" s="840" t="s">
        <v>31</v>
      </c>
      <c r="D365" s="839" t="s">
        <v>159</v>
      </c>
      <c r="E365" s="841">
        <v>35</v>
      </c>
      <c r="F365" s="839" t="s">
        <v>279</v>
      </c>
      <c r="G365" s="839" t="s">
        <v>175</v>
      </c>
      <c r="I365" t="s">
        <v>280</v>
      </c>
      <c r="J365" t="s">
        <v>226</v>
      </c>
    </row>
    <row r="366" spans="1:10" ht="13.5" customHeight="1" x14ac:dyDescent="0.35">
      <c r="A366" s="838">
        <v>46027</v>
      </c>
      <c r="B366" s="839" t="s">
        <v>311</v>
      </c>
      <c r="C366" s="840" t="s">
        <v>62</v>
      </c>
      <c r="D366" s="839" t="s">
        <v>159</v>
      </c>
      <c r="E366" s="841">
        <v>79</v>
      </c>
      <c r="F366" s="839" t="s">
        <v>308</v>
      </c>
      <c r="G366" s="839" t="s">
        <v>175</v>
      </c>
      <c r="I366" t="s">
        <v>201</v>
      </c>
      <c r="J366" t="s">
        <v>202</v>
      </c>
    </row>
    <row r="367" spans="1:10" ht="13.5" customHeight="1" x14ac:dyDescent="0.35">
      <c r="A367" s="838">
        <v>46025</v>
      </c>
      <c r="B367" s="839" t="s">
        <v>311</v>
      </c>
      <c r="C367" s="840" t="s">
        <v>62</v>
      </c>
      <c r="D367" s="839" t="s">
        <v>159</v>
      </c>
      <c r="E367" s="841">
        <v>59</v>
      </c>
      <c r="F367" s="839" t="s">
        <v>308</v>
      </c>
      <c r="G367" s="839" t="s">
        <v>175</v>
      </c>
      <c r="I367" t="s">
        <v>201</v>
      </c>
      <c r="J367" t="s">
        <v>202</v>
      </c>
    </row>
    <row r="368" spans="1:10" ht="13.5" customHeight="1" x14ac:dyDescent="0.35">
      <c r="A368" s="838">
        <v>46025</v>
      </c>
      <c r="B368" s="839" t="s">
        <v>412</v>
      </c>
      <c r="C368" s="840" t="s">
        <v>62</v>
      </c>
      <c r="D368" s="839" t="s">
        <v>159</v>
      </c>
      <c r="E368" s="841">
        <v>20</v>
      </c>
      <c r="F368" s="839" t="s">
        <v>413</v>
      </c>
      <c r="G368" s="839" t="s">
        <v>175</v>
      </c>
      <c r="I368" t="s">
        <v>201</v>
      </c>
      <c r="J368" t="s">
        <v>202</v>
      </c>
    </row>
    <row r="369" spans="1:10" ht="13.5" customHeight="1" x14ac:dyDescent="0.35">
      <c r="A369" s="838">
        <v>46025</v>
      </c>
      <c r="B369" s="839" t="s">
        <v>87</v>
      </c>
      <c r="C369" s="840" t="s">
        <v>56</v>
      </c>
      <c r="D369" s="839" t="s">
        <v>160</v>
      </c>
      <c r="E369" s="841">
        <v>236.67</v>
      </c>
      <c r="F369" s="839" t="s">
        <v>414</v>
      </c>
      <c r="G369" s="839" t="s">
        <v>87</v>
      </c>
      <c r="I369" t="s">
        <v>285</v>
      </c>
      <c r="J369" t="s">
        <v>286</v>
      </c>
    </row>
    <row r="370" spans="1:10" ht="13.5" customHeight="1" x14ac:dyDescent="0.35">
      <c r="A370" s="838">
        <v>46023</v>
      </c>
      <c r="B370" s="839" t="s">
        <v>292</v>
      </c>
      <c r="C370" s="840" t="s">
        <v>44</v>
      </c>
      <c r="D370" s="839" t="s">
        <v>159</v>
      </c>
      <c r="E370" s="841">
        <v>20</v>
      </c>
      <c r="F370" s="839" t="s">
        <v>293</v>
      </c>
      <c r="G370" s="839" t="s">
        <v>175</v>
      </c>
      <c r="I370" t="s">
        <v>294</v>
      </c>
      <c r="J370" t="s">
        <v>295</v>
      </c>
    </row>
  </sheetData>
  <sortState xmlns:xlrd2="http://schemas.microsoft.com/office/spreadsheetml/2017/richdata2" ref="A206:P214">
    <sortCondition descending="1" ref="A206:A214"/>
  </sortState>
  <mergeCells count="1">
    <mergeCell ref="Z20:AA20"/>
  </mergeCells>
  <conditionalFormatting sqref="D48:D64 D65:F68 E2:E25 E27:E29 E31 E33:E42 E44:E45 E48:E49 E51:E63 E69:E146 E185:E187 E229:E230 E233:E250 E253:E323 E334:E1048576 G66 N31:N33 P31:V33 X46:X51 X129 X138:X148 X162 X167 Y24:Y34 X6:X29 V176:V537 E192:E227">
    <cfRule type="cellIs" dxfId="4200" priority="267" operator="lessThan">
      <formula>0</formula>
    </cfRule>
  </conditionalFormatting>
  <conditionalFormatting sqref="X44">
    <cfRule type="cellIs" dxfId="4199" priority="266" operator="lessThan">
      <formula>0</formula>
    </cfRule>
  </conditionalFormatting>
  <conditionalFormatting sqref="X6:X18">
    <cfRule type="cellIs" dxfId="4198" priority="182" operator="lessThan">
      <formula>0</formula>
    </cfRule>
    <cfRule type="cellIs" dxfId="4197" priority="183" operator="lessThan">
      <formula>0</formula>
    </cfRule>
    <cfRule type="cellIs" dxfId="4196" priority="184" operator="lessThan">
      <formula>0</formula>
    </cfRule>
    <cfRule type="cellIs" dxfId="4195" priority="185" operator="lessThan">
      <formula>0</formula>
    </cfRule>
    <cfRule type="cellIs" dxfId="4194" priority="186" operator="lessThan">
      <formula>0</formula>
    </cfRule>
    <cfRule type="cellIs" dxfId="4193" priority="187" operator="lessThan">
      <formula>0</formula>
    </cfRule>
    <cfRule type="cellIs" dxfId="4192" priority="188" operator="lessThan">
      <formula>0</formula>
    </cfRule>
    <cfRule type="cellIs" dxfId="4191" priority="189" operator="lessThan">
      <formula>0</formula>
    </cfRule>
    <cfRule type="cellIs" dxfId="4190" priority="190" operator="lessThan">
      <formula>0</formula>
    </cfRule>
    <cfRule type="cellIs" dxfId="4189" priority="191" operator="lessThan">
      <formula>0</formula>
    </cfRule>
    <cfRule type="cellIs" dxfId="4188" priority="192" operator="lessThan">
      <formula>0</formula>
    </cfRule>
    <cfRule type="cellIs" dxfId="4187" priority="193" operator="lessThan">
      <formula>0</formula>
    </cfRule>
    <cfRule type="cellIs" dxfId="4186" priority="194" operator="lessThan">
      <formula>0</formula>
    </cfRule>
    <cfRule type="cellIs" dxfId="4185" priority="195" operator="lessThan">
      <formula>0</formula>
    </cfRule>
    <cfRule type="cellIs" dxfId="4184" priority="196" operator="lessThan">
      <formula>0</formula>
    </cfRule>
    <cfRule type="cellIs" dxfId="4183" priority="197" operator="lessThan">
      <formula>0</formula>
    </cfRule>
    <cfRule type="cellIs" dxfId="4182" priority="198" operator="lessThan">
      <formula>0</formula>
    </cfRule>
    <cfRule type="cellIs" dxfId="4181" priority="199" operator="lessThan">
      <formula>0</formula>
    </cfRule>
    <cfRule type="cellIs" dxfId="4180" priority="239" operator="lessThan">
      <formula>0</formula>
    </cfRule>
    <cfRule type="cellIs" dxfId="4179" priority="240" operator="lessThan">
      <formula>0</formula>
    </cfRule>
    <cfRule type="cellIs" dxfId="4178" priority="243" operator="lessThan">
      <formula>0</formula>
    </cfRule>
    <cfRule type="cellIs" dxfId="4177" priority="249" operator="lessThan">
      <formula>0</formula>
    </cfRule>
    <cfRule type="cellIs" dxfId="4176" priority="250" operator="lessThan">
      <formula>0</formula>
    </cfRule>
    <cfRule type="cellIs" dxfId="4175" priority="251" operator="lessThan">
      <formula>0</formula>
    </cfRule>
    <cfRule type="cellIs" dxfId="4174" priority="252" operator="lessThan">
      <formula>0</formula>
    </cfRule>
    <cfRule type="cellIs" dxfId="4173" priority="255" operator="lessThan">
      <formula>0</formula>
    </cfRule>
    <cfRule type="cellIs" dxfId="4172" priority="262" operator="lessThan">
      <formula>0</formula>
    </cfRule>
    <cfRule type="cellIs" dxfId="4171" priority="264" operator="lessThan">
      <formula>0</formula>
    </cfRule>
  </conditionalFormatting>
  <conditionalFormatting sqref="X45">
    <cfRule type="cellIs" dxfId="4170" priority="265" operator="lessThan">
      <formula>0</formula>
    </cfRule>
  </conditionalFormatting>
  <conditionalFormatting sqref="Y24:Y34 X6:X29">
    <cfRule type="cellIs" dxfId="4169" priority="263" operator="greaterThan">
      <formula>0</formula>
    </cfRule>
  </conditionalFormatting>
  <conditionalFormatting sqref="J49">
    <cfRule type="cellIs" dxfId="4168" priority="260" operator="greaterThan">
      <formula>0</formula>
    </cfRule>
    <cfRule type="cellIs" dxfId="4167" priority="261" operator="lessThan">
      <formula>0</formula>
    </cfRule>
  </conditionalFormatting>
  <conditionalFormatting sqref="Y6">
    <cfRule type="cellIs" dxfId="4166" priority="258" operator="greaterThan">
      <formula>0</formula>
    </cfRule>
    <cfRule type="cellIs" dxfId="4165" priority="259" operator="lessThan">
      <formula>0</formula>
    </cfRule>
  </conditionalFormatting>
  <conditionalFormatting sqref="Z6">
    <cfRule type="cellIs" dxfId="4164" priority="256" operator="greaterThan">
      <formula>0</formula>
    </cfRule>
    <cfRule type="cellIs" dxfId="4163" priority="257" operator="lessThan">
      <formula>0</formula>
    </cfRule>
  </conditionalFormatting>
  <conditionalFormatting sqref="AB6:AB18">
    <cfRule type="cellIs" dxfId="4162" priority="253" operator="lessThan">
      <formula>0</formula>
    </cfRule>
    <cfRule type="cellIs" dxfId="4161" priority="254" operator="greaterThan">
      <formula>0</formula>
    </cfRule>
  </conditionalFormatting>
  <conditionalFormatting sqref="W19">
    <cfRule type="cellIs" dxfId="4160" priority="246" operator="greaterThan">
      <formula>0.8</formula>
    </cfRule>
    <cfRule type="cellIs" dxfId="4159" priority="247" operator="between">
      <formula>0.51</formula>
      <formula>0.8</formula>
    </cfRule>
    <cfRule type="cellIs" dxfId="4158" priority="248" operator="lessThan">
      <formula>0.5</formula>
    </cfRule>
  </conditionalFormatting>
  <conditionalFormatting sqref="X150">
    <cfRule type="cellIs" dxfId="4157" priority="245" operator="lessThan">
      <formula>0</formula>
    </cfRule>
  </conditionalFormatting>
  <conditionalFormatting sqref="X164:X166">
    <cfRule type="cellIs" dxfId="4156" priority="244" operator="lessThan">
      <formula>0</formula>
    </cfRule>
  </conditionalFormatting>
  <conditionalFormatting sqref="Y41">
    <cfRule type="cellIs" dxfId="4155" priority="241" operator="greaterThan">
      <formula>0</formula>
    </cfRule>
    <cfRule type="cellIs" dxfId="4154" priority="242" operator="lessThan">
      <formula>0</formula>
    </cfRule>
  </conditionalFormatting>
  <conditionalFormatting sqref="X41">
    <cfRule type="cellIs" dxfId="4153" priority="232" operator="lessThan">
      <formula>0</formula>
    </cfRule>
    <cfRule type="cellIs" dxfId="4152" priority="233" operator="lessThan">
      <formula>0</formula>
    </cfRule>
    <cfRule type="cellIs" dxfId="4151" priority="234" operator="lessThan">
      <formula>0</formula>
    </cfRule>
    <cfRule type="cellIs" dxfId="4150" priority="235" operator="lessThan">
      <formula>0</formula>
    </cfRule>
    <cfRule type="cellIs" dxfId="4149" priority="236" operator="lessThan">
      <formula>0</formula>
    </cfRule>
    <cfRule type="cellIs" dxfId="4148" priority="237" operator="greaterThan">
      <formula>0</formula>
    </cfRule>
    <cfRule type="cellIs" dxfId="4147" priority="238" operator="lessThan">
      <formula>0</formula>
    </cfRule>
  </conditionalFormatting>
  <conditionalFormatting sqref="Z110:Z111">
    <cfRule type="cellIs" dxfId="4146" priority="230" operator="lessThan">
      <formula>0</formula>
    </cfRule>
    <cfRule type="cellIs" dxfId="4145" priority="231" operator="greaterThan">
      <formula>0</formula>
    </cfRule>
  </conditionalFormatting>
  <conditionalFormatting sqref="X169:X170">
    <cfRule type="cellIs" dxfId="4144" priority="229" operator="lessThan">
      <formula>0</formula>
    </cfRule>
  </conditionalFormatting>
  <conditionalFormatting sqref="X171:X172">
    <cfRule type="cellIs" dxfId="4143" priority="228" operator="lessThan">
      <formula>0</formula>
    </cfRule>
  </conditionalFormatting>
  <conditionalFormatting sqref="X174:X175">
    <cfRule type="cellIs" dxfId="4142" priority="227" operator="lessThan">
      <formula>0</formula>
    </cfRule>
  </conditionalFormatting>
  <conditionalFormatting sqref="X38:X40">
    <cfRule type="cellIs" dxfId="4141" priority="220" operator="lessThan">
      <formula>0</formula>
    </cfRule>
    <cfRule type="cellIs" dxfId="4140" priority="221" operator="lessThan">
      <formula>0</formula>
    </cfRule>
    <cfRule type="cellIs" dxfId="4139" priority="222" operator="lessThan">
      <formula>0</formula>
    </cfRule>
    <cfRule type="cellIs" dxfId="4138" priority="223" operator="lessThan">
      <formula>0</formula>
    </cfRule>
    <cfRule type="cellIs" dxfId="4137" priority="224" operator="lessThan">
      <formula>0</formula>
    </cfRule>
    <cfRule type="cellIs" dxfId="4136" priority="225" operator="greaterThan">
      <formula>0</formula>
    </cfRule>
    <cfRule type="cellIs" dxfId="4135" priority="226" operator="lessThan">
      <formula>0</formula>
    </cfRule>
  </conditionalFormatting>
  <conditionalFormatting sqref="Y38:Y40">
    <cfRule type="cellIs" dxfId="4134" priority="218" operator="greaterThan">
      <formula>0</formula>
    </cfRule>
    <cfRule type="cellIs" dxfId="4133" priority="219" operator="lessThan">
      <formula>0</formula>
    </cfRule>
  </conditionalFormatting>
  <conditionalFormatting sqref="K68:W68 K69:V79 W69:W80">
    <cfRule type="cellIs" dxfId="4132" priority="216" operator="lessThan">
      <formula>0</formula>
    </cfRule>
    <cfRule type="cellIs" dxfId="4131" priority="217" operator="greaterThan">
      <formula>0.1</formula>
    </cfRule>
  </conditionalFormatting>
  <conditionalFormatting sqref="K80">
    <cfRule type="cellIs" dxfId="4130" priority="214" operator="lessThan">
      <formula>0</formula>
    </cfRule>
    <cfRule type="cellIs" dxfId="4129" priority="215" operator="greaterThan">
      <formula>0.1</formula>
    </cfRule>
  </conditionalFormatting>
  <conditionalFormatting sqref="W68:W80">
    <cfRule type="cellIs" dxfId="4128" priority="212" operator="lessThan">
      <formula>0</formula>
    </cfRule>
    <cfRule type="cellIs" dxfId="4127" priority="213" operator="greaterThan">
      <formula>0.1</formula>
    </cfRule>
  </conditionalFormatting>
  <conditionalFormatting sqref="L68:V71 L73:V75 L77:V79">
    <cfRule type="cellIs" dxfId="4126" priority="210" operator="lessThan">
      <formula>0</formula>
    </cfRule>
    <cfRule type="cellIs" dxfId="4125" priority="211" operator="greaterThan">
      <formula>0.1</formula>
    </cfRule>
  </conditionalFormatting>
  <conditionalFormatting sqref="K72:V72">
    <cfRule type="cellIs" dxfId="4124" priority="206" operator="lessThan">
      <formula>0</formula>
    </cfRule>
    <cfRule type="cellIs" dxfId="4123" priority="207" operator="greaterThan">
      <formula>0.1</formula>
    </cfRule>
    <cfRule type="cellIs" dxfId="4122" priority="208" operator="lessThan">
      <formula>0</formula>
    </cfRule>
    <cfRule type="cellIs" dxfId="4121" priority="209" operator="greaterThan">
      <formula>0.1</formula>
    </cfRule>
  </conditionalFormatting>
  <conditionalFormatting sqref="L72:V72">
    <cfRule type="cellIs" dxfId="4120" priority="202" operator="lessThan">
      <formula>0</formula>
    </cfRule>
    <cfRule type="cellIs" dxfId="4119" priority="203" operator="greaterThan">
      <formula>0.1</formula>
    </cfRule>
    <cfRule type="cellIs" dxfId="4118" priority="204" operator="lessThan">
      <formula>0</formula>
    </cfRule>
    <cfRule type="cellIs" dxfId="4117" priority="205" operator="greaterThan">
      <formula>0.1</formula>
    </cfRule>
  </conditionalFormatting>
  <conditionalFormatting sqref="L80:V80">
    <cfRule type="cellIs" dxfId="4116" priority="200" operator="lessThan">
      <formula>0</formula>
    </cfRule>
    <cfRule type="cellIs" dxfId="4115" priority="201" operator="greaterThan">
      <formula>0.1</formula>
    </cfRule>
  </conditionalFormatting>
  <conditionalFormatting sqref="Z43">
    <cfRule type="cellIs" dxfId="4114" priority="180" operator="greaterThan">
      <formula>0</formula>
    </cfRule>
    <cfRule type="cellIs" dxfId="4113" priority="181" operator="lessThan">
      <formula>0</formula>
    </cfRule>
  </conditionalFormatting>
  <conditionalFormatting sqref="X37">
    <cfRule type="cellIs" dxfId="4112" priority="162" operator="lessThan">
      <formula>0</formula>
    </cfRule>
    <cfRule type="cellIs" dxfId="4111" priority="163" operator="lessThan">
      <formula>0</formula>
    </cfRule>
    <cfRule type="cellIs" dxfId="4110" priority="164" operator="lessThan">
      <formula>0</formula>
    </cfRule>
    <cfRule type="cellIs" dxfId="4109" priority="165" operator="lessThan">
      <formula>0</formula>
    </cfRule>
    <cfRule type="cellIs" dxfId="4108" priority="166" operator="lessThan">
      <formula>0</formula>
    </cfRule>
    <cfRule type="cellIs" dxfId="4107" priority="167" operator="greaterThan">
      <formula>0</formula>
    </cfRule>
    <cfRule type="cellIs" dxfId="4106" priority="168" operator="lessThan">
      <formula>0</formula>
    </cfRule>
  </conditionalFormatting>
  <conditionalFormatting sqref="Z7:Z18">
    <cfRule type="cellIs" dxfId="4105" priority="156" operator="greaterThan">
      <formula>0</formula>
    </cfRule>
    <cfRule type="cellIs" dxfId="4104" priority="157" operator="lessThan">
      <formula>0</formula>
    </cfRule>
  </conditionalFormatting>
  <conditionalFormatting sqref="K19:V19 K20:W20">
    <cfRule type="cellIs" dxfId="4103" priority="177" operator="greaterThan">
      <formula>0.81</formula>
    </cfRule>
    <cfRule type="cellIs" dxfId="4102" priority="178" operator="between">
      <formula>0.301</formula>
      <formula>0.8</formula>
    </cfRule>
    <cfRule type="cellIs" dxfId="4101" priority="179" operator="lessThan">
      <formula>0.3</formula>
    </cfRule>
  </conditionalFormatting>
  <conditionalFormatting sqref="K24:W24">
    <cfRule type="cellIs" dxfId="4100" priority="175" operator="lessThan">
      <formula>0</formula>
    </cfRule>
    <cfRule type="cellIs" dxfId="4099" priority="176" operator="greaterThan">
      <formula>0.0001</formula>
    </cfRule>
  </conditionalFormatting>
  <conditionalFormatting sqref="Q19">
    <cfRule type="cellIs" dxfId="4098" priority="172" operator="greaterThan">
      <formula>0.75</formula>
    </cfRule>
    <cfRule type="cellIs" dxfId="4097" priority="173" operator="between">
      <formula>0.301</formula>
      <formula>0.7499</formula>
    </cfRule>
    <cfRule type="cellIs" dxfId="4096" priority="174" operator="lessThan">
      <formula>0.3</formula>
    </cfRule>
  </conditionalFormatting>
  <conditionalFormatting sqref="Y43">
    <cfRule type="cellIs" dxfId="4095" priority="170" operator="lessThan">
      <formula>0</formula>
    </cfRule>
    <cfRule type="cellIs" dxfId="4094" priority="171" operator="greaterThan">
      <formula>0</formula>
    </cfRule>
  </conditionalFormatting>
  <conditionalFormatting sqref="X36">
    <cfRule type="cellIs" dxfId="4093" priority="144" operator="lessThan">
      <formula>0</formula>
    </cfRule>
    <cfRule type="cellIs" dxfId="4092" priority="145" operator="lessThan">
      <formula>0</formula>
    </cfRule>
    <cfRule type="cellIs" dxfId="4091" priority="146" operator="lessThan">
      <formula>0</formula>
    </cfRule>
    <cfRule type="cellIs" dxfId="4090" priority="147" operator="lessThan">
      <formula>0</formula>
    </cfRule>
    <cfRule type="cellIs" dxfId="4089" priority="148" operator="lessThan">
      <formula>0</formula>
    </cfRule>
    <cfRule type="cellIs" dxfId="4088" priority="149" operator="greaterThan">
      <formula>0</formula>
    </cfRule>
    <cfRule type="cellIs" dxfId="4087" priority="150" operator="lessThan">
      <formula>0</formula>
    </cfRule>
  </conditionalFormatting>
  <conditionalFormatting sqref="X151:X161">
    <cfRule type="cellIs" dxfId="4086" priority="169" operator="lessThan">
      <formula>0</formula>
    </cfRule>
  </conditionalFormatting>
  <conditionalFormatting sqref="Y37">
    <cfRule type="cellIs" dxfId="4085" priority="160" operator="greaterThan">
      <formula>0</formula>
    </cfRule>
    <cfRule type="cellIs" dxfId="4084" priority="161" operator="lessThan">
      <formula>0</formula>
    </cfRule>
  </conditionalFormatting>
  <conditionalFormatting sqref="X130:X137">
    <cfRule type="cellIs" dxfId="4083" priority="159" operator="lessThan">
      <formula>0</formula>
    </cfRule>
  </conditionalFormatting>
  <conditionalFormatting sqref="K6:V17 K18:W18">
    <cfRule type="cellIs" dxfId="4082" priority="158" operator="lessThan">
      <formula>0</formula>
    </cfRule>
  </conditionalFormatting>
  <conditionalFormatting sqref="K33:V42">
    <cfRule type="aboveAverage" dxfId="4081" priority="104"/>
    <cfRule type="aboveAverage" dxfId="4080" priority="105"/>
    <cfRule type="aboveAverage" dxfId="4079" priority="151"/>
    <cfRule type="aboveAverage" dxfId="4078" priority="155"/>
  </conditionalFormatting>
  <conditionalFormatting sqref="X68:X80">
    <cfRule type="cellIs" dxfId="4077" priority="152" operator="greaterThan">
      <formula>0</formula>
    </cfRule>
    <cfRule type="cellIs" dxfId="4076" priority="153" operator="greaterThan">
      <formula>0</formula>
    </cfRule>
    <cfRule type="cellIs" dxfId="4075" priority="154" operator="lessThan">
      <formula>0</formula>
    </cfRule>
  </conditionalFormatting>
  <conditionalFormatting sqref="Y36">
    <cfRule type="cellIs" dxfId="4074" priority="142" operator="greaterThan">
      <formula>0</formula>
    </cfRule>
    <cfRule type="cellIs" dxfId="4073" priority="143" operator="lessThan">
      <formula>0</formula>
    </cfRule>
  </conditionalFormatting>
  <conditionalFormatting sqref="L170:V170">
    <cfRule type="cellIs" dxfId="4072" priority="137" operator="lessThan">
      <formula>0</formula>
    </cfRule>
  </conditionalFormatting>
  <conditionalFormatting sqref="K76:V76">
    <cfRule type="cellIs" dxfId="4071" priority="140" operator="lessThan">
      <formula>0</formula>
    </cfRule>
    <cfRule type="cellIs" dxfId="4070" priority="141" operator="greaterThan">
      <formula>0.1</formula>
    </cfRule>
  </conditionalFormatting>
  <conditionalFormatting sqref="K83:K94">
    <cfRule type="cellIs" dxfId="4069" priority="139" operator="lessThan">
      <formula>0</formula>
    </cfRule>
  </conditionalFormatting>
  <conditionalFormatting sqref="L83:V83">
    <cfRule type="cellIs" dxfId="4068" priority="138" operator="lessThan">
      <formula>0</formula>
    </cfRule>
  </conditionalFormatting>
  <conditionalFormatting sqref="Y19:Y23">
    <cfRule type="cellIs" dxfId="4067" priority="135" operator="greaterThan">
      <formula>0</formula>
    </cfRule>
    <cfRule type="cellIs" dxfId="4066" priority="136" operator="lessThan">
      <formula>0</formula>
    </cfRule>
  </conditionalFormatting>
  <conditionalFormatting sqref="X35">
    <cfRule type="cellIs" dxfId="4065" priority="124" operator="lessThan">
      <formula>0</formula>
    </cfRule>
    <cfRule type="cellIs" dxfId="4064" priority="125" operator="lessThan">
      <formula>0</formula>
    </cfRule>
    <cfRule type="cellIs" dxfId="4063" priority="126" operator="lessThan">
      <formula>0</formula>
    </cfRule>
    <cfRule type="cellIs" dxfId="4062" priority="127" operator="lessThan">
      <formula>0</formula>
    </cfRule>
    <cfRule type="cellIs" dxfId="4061" priority="128" operator="lessThan">
      <formula>0</formula>
    </cfRule>
    <cfRule type="cellIs" dxfId="4060" priority="129" operator="greaterThan">
      <formula>0</formula>
    </cfRule>
    <cfRule type="cellIs" dxfId="4059" priority="130" operator="lessThan">
      <formula>0</formula>
    </cfRule>
  </conditionalFormatting>
  <conditionalFormatting sqref="Y7:Y18">
    <cfRule type="cellIs" dxfId="4058" priority="133" operator="greaterThan">
      <formula>0</formula>
    </cfRule>
    <cfRule type="cellIs" dxfId="4057" priority="134" operator="lessThan">
      <formula>0</formula>
    </cfRule>
  </conditionalFormatting>
  <conditionalFormatting sqref="Y35">
    <cfRule type="cellIs" dxfId="4056" priority="122" operator="greaterThan">
      <formula>0</formula>
    </cfRule>
    <cfRule type="cellIs" dxfId="4055" priority="123" operator="lessThan">
      <formula>0</formula>
    </cfRule>
  </conditionalFormatting>
  <conditionalFormatting sqref="K129:K137">
    <cfRule type="cellIs" dxfId="4054" priority="121" operator="lessThan">
      <formula>0</formula>
    </cfRule>
  </conditionalFormatting>
  <conditionalFormatting sqref="L129:V129">
    <cfRule type="cellIs" dxfId="4053" priority="120" operator="lessThan">
      <formula>0</formula>
    </cfRule>
  </conditionalFormatting>
  <conditionalFormatting sqref="K150:K160">
    <cfRule type="cellIs" dxfId="4052" priority="119" operator="lessThan">
      <formula>0</formula>
    </cfRule>
  </conditionalFormatting>
  <conditionalFormatting sqref="L150:V150">
    <cfRule type="cellIs" dxfId="4051" priority="118" operator="lessThan">
      <formula>0</formula>
    </cfRule>
  </conditionalFormatting>
  <conditionalFormatting sqref="E31">
    <cfRule type="cellIs" dxfId="4050" priority="117" operator="lessThan">
      <formula>0</formula>
    </cfRule>
  </conditionalFormatting>
  <conditionalFormatting sqref="E30">
    <cfRule type="cellIs" dxfId="4049" priority="116" operator="lessThan">
      <formula>0</formula>
    </cfRule>
  </conditionalFormatting>
  <conditionalFormatting sqref="S34">
    <cfRule type="aboveAverage" dxfId="4048" priority="114"/>
    <cfRule type="aboveAverage" dxfId="4047" priority="115"/>
  </conditionalFormatting>
  <conditionalFormatting sqref="T34">
    <cfRule type="aboveAverage" dxfId="4046" priority="112"/>
    <cfRule type="aboveAverage" dxfId="4045" priority="113"/>
  </conditionalFormatting>
  <conditionalFormatting sqref="U34">
    <cfRule type="aboveAverage" dxfId="4044" priority="108"/>
    <cfRule type="aboveAverage" dxfId="4043" priority="109"/>
    <cfRule type="aboveAverage" dxfId="4042" priority="110"/>
    <cfRule type="aboveAverage" dxfId="4041" priority="111"/>
  </conditionalFormatting>
  <conditionalFormatting sqref="V31:V34">
    <cfRule type="cellIs" dxfId="4040" priority="107" operator="lessThan">
      <formula>0</formula>
    </cfRule>
  </conditionalFormatting>
  <conditionalFormatting sqref="E32">
    <cfRule type="cellIs" dxfId="4039" priority="106" operator="lessThan">
      <formula>0</formula>
    </cfRule>
  </conditionalFormatting>
  <conditionalFormatting sqref="X30:X34">
    <cfRule type="cellIs" dxfId="4038" priority="97" operator="lessThan">
      <formula>0</formula>
    </cfRule>
    <cfRule type="cellIs" dxfId="4037" priority="98" operator="lessThan">
      <formula>0</formula>
    </cfRule>
    <cfRule type="cellIs" dxfId="4036" priority="99" operator="lessThan">
      <formula>0</formula>
    </cfRule>
    <cfRule type="cellIs" dxfId="4035" priority="100" operator="lessThan">
      <formula>0</formula>
    </cfRule>
    <cfRule type="cellIs" dxfId="4034" priority="101" operator="lessThan">
      <formula>0</formula>
    </cfRule>
    <cfRule type="cellIs" dxfId="4033" priority="102" operator="greaterThan">
      <formula>0</formula>
    </cfRule>
    <cfRule type="cellIs" dxfId="4032" priority="103" operator="lessThan">
      <formula>0</formula>
    </cfRule>
  </conditionalFormatting>
  <conditionalFormatting sqref="L28:P29 P25:Q25">
    <cfRule type="cellIs" dxfId="4031" priority="96" operator="lessThan">
      <formula>0</formula>
    </cfRule>
  </conditionalFormatting>
  <conditionalFormatting sqref="P25:Q25">
    <cfRule type="cellIs" dxfId="4030" priority="87" operator="greaterThan">
      <formula>935</formula>
    </cfRule>
    <cfRule type="cellIs" dxfId="4029" priority="88" operator="lessThan">
      <formula>935</formula>
    </cfRule>
    <cfRule type="cellIs" dxfId="4028" priority="95" operator="lessThan">
      <formula>0</formula>
    </cfRule>
  </conditionalFormatting>
  <conditionalFormatting sqref="K22:W22 W23">
    <cfRule type="cellIs" dxfId="4027" priority="91" operator="between">
      <formula>1601</formula>
      <formula>1800</formula>
    </cfRule>
    <cfRule type="aboveAverage" dxfId="4026" priority="94"/>
  </conditionalFormatting>
  <conditionalFormatting sqref="W23">
    <cfRule type="aboveAverage" dxfId="4025" priority="92"/>
    <cfRule type="aboveAverage" dxfId="4024" priority="93"/>
  </conditionalFormatting>
  <conditionalFormatting sqref="K22:V22 W23">
    <cfRule type="cellIs" dxfId="4023" priority="89" operator="lessThan">
      <formula>1600</formula>
    </cfRule>
    <cfRule type="cellIs" dxfId="4022" priority="90" operator="greaterThan">
      <formula>1801</formula>
    </cfRule>
  </conditionalFormatting>
  <conditionalFormatting sqref="G6:G17">
    <cfRule type="cellIs" dxfId="4021" priority="84" operator="lessThan">
      <formula>0.04</formula>
    </cfRule>
    <cfRule type="cellIs" dxfId="4020" priority="85" operator="between">
      <formula>0.04</formula>
      <formula>0.09</formula>
    </cfRule>
    <cfRule type="cellIs" dxfId="4019" priority="86" operator="greaterThan">
      <formula>10%</formula>
    </cfRule>
  </conditionalFormatting>
  <conditionalFormatting sqref="H6:H17">
    <cfRule type="cellIs" dxfId="4018" priority="81" operator="lessThan">
      <formula>0.04</formula>
    </cfRule>
    <cfRule type="cellIs" dxfId="4017" priority="82" operator="between">
      <formula>0.04</formula>
      <formula>0.09</formula>
    </cfRule>
    <cfRule type="cellIs" dxfId="4016" priority="83" operator="greaterThan">
      <formula>10%</formula>
    </cfRule>
  </conditionalFormatting>
  <conditionalFormatting sqref="K32:V32">
    <cfRule type="aboveAverage" dxfId="4015" priority="77"/>
    <cfRule type="aboveAverage" dxfId="4014" priority="78"/>
    <cfRule type="aboveAverage" dxfId="4013" priority="79"/>
    <cfRule type="aboveAverage" dxfId="4012" priority="80"/>
  </conditionalFormatting>
  <conditionalFormatting sqref="D9">
    <cfRule type="cellIs" dxfId="4011" priority="75" operator="lessThan">
      <formula>0</formula>
    </cfRule>
    <cfRule type="cellIs" dxfId="4010" priority="76" operator="greaterThan">
      <formula>0.01</formula>
    </cfRule>
  </conditionalFormatting>
  <conditionalFormatting sqref="D5">
    <cfRule type="cellIs" dxfId="4009" priority="73" operator="greaterThan">
      <formula>15.01</formula>
    </cfRule>
    <cfRule type="cellIs" dxfId="4008" priority="74" operator="lessThan">
      <formula>15</formula>
    </cfRule>
  </conditionalFormatting>
  <conditionalFormatting sqref="K31:V31">
    <cfRule type="aboveAverage" dxfId="4007" priority="68"/>
    <cfRule type="aboveAverage" dxfId="4006" priority="69"/>
    <cfRule type="aboveAverage" dxfId="4005" priority="70"/>
    <cfRule type="aboveAverage" dxfId="4004" priority="71"/>
  </conditionalFormatting>
  <conditionalFormatting sqref="A147">
    <cfRule type="cellIs" dxfId="4003" priority="58" operator="lessThan">
      <formula>0</formula>
    </cfRule>
  </conditionalFormatting>
  <conditionalFormatting sqref="E147">
    <cfRule type="cellIs" dxfId="4002" priority="56" operator="lessThan">
      <formula>0</formula>
    </cfRule>
  </conditionalFormatting>
  <conditionalFormatting sqref="D69">
    <cfRule type="cellIs" dxfId="4001" priority="55" operator="lessThan">
      <formula>0</formula>
    </cfRule>
  </conditionalFormatting>
  <conditionalFormatting sqref="F48:F64">
    <cfRule type="cellIs" dxfId="4000" priority="52" operator="lessThan">
      <formula>0</formula>
    </cfRule>
  </conditionalFormatting>
  <conditionalFormatting sqref="D66:G66">
    <cfRule type="cellIs" dxfId="3999" priority="51" operator="lessThan">
      <formula>0</formula>
    </cfRule>
  </conditionalFormatting>
  <conditionalFormatting sqref="E66">
    <cfRule type="cellIs" dxfId="3998" priority="45" operator="lessThan">
      <formula>0</formula>
    </cfRule>
  </conditionalFormatting>
  <conditionalFormatting sqref="F66">
    <cfRule type="cellIs" dxfId="3997" priority="44" operator="lessThan">
      <formula>0</formula>
    </cfRule>
  </conditionalFormatting>
  <conditionalFormatting sqref="G66">
    <cfRule type="cellIs" dxfId="3996" priority="43" operator="lessThan">
      <formula>0</formula>
    </cfRule>
  </conditionalFormatting>
  <conditionalFormatting sqref="E64">
    <cfRule type="cellIs" dxfId="3995" priority="42" operator="lessThan">
      <formula>0</formula>
    </cfRule>
  </conditionalFormatting>
  <conditionalFormatting sqref="K30 M30 O30 Q30 S30 U30">
    <cfRule type="cellIs" dxfId="3994" priority="37" operator="lessThan">
      <formula>0</formula>
    </cfRule>
  </conditionalFormatting>
  <conditionalFormatting sqref="K30:V30">
    <cfRule type="aboveAverage" dxfId="3993" priority="33"/>
    <cfRule type="aboveAverage" dxfId="3992" priority="34"/>
    <cfRule type="aboveAverage" dxfId="3991" priority="35"/>
    <cfRule type="aboveAverage" dxfId="3990" priority="36"/>
  </conditionalFormatting>
  <conditionalFormatting sqref="L84:U94">
    <cfRule type="cellIs" dxfId="3989" priority="32" operator="lessThan">
      <formula>0</formula>
    </cfRule>
  </conditionalFormatting>
  <conditionalFormatting sqref="V84:V94">
    <cfRule type="cellIs" dxfId="3988" priority="31" operator="lessThan">
      <formula>0</formula>
    </cfRule>
  </conditionalFormatting>
  <conditionalFormatting sqref="L130:U137">
    <cfRule type="cellIs" dxfId="3987" priority="30" operator="lessThan">
      <formula>0</formula>
    </cfRule>
  </conditionalFormatting>
  <conditionalFormatting sqref="V130:V137">
    <cfRule type="cellIs" dxfId="3986" priority="29" operator="lessThan">
      <formula>0</formula>
    </cfRule>
  </conditionalFormatting>
  <conditionalFormatting sqref="L151:V160">
    <cfRule type="cellIs" dxfId="3985" priority="28" operator="lessThan">
      <formula>0</formula>
    </cfRule>
  </conditionalFormatting>
  <conditionalFormatting sqref="E324:E333">
    <cfRule type="cellIs" dxfId="3984" priority="27" operator="lessThan">
      <formula>0</formula>
    </cfRule>
  </conditionalFormatting>
  <conditionalFormatting sqref="E50">
    <cfRule type="cellIs" dxfId="3983" priority="26" operator="lessThan">
      <formula>0</formula>
    </cfRule>
  </conditionalFormatting>
  <conditionalFormatting sqref="E251:E252">
    <cfRule type="cellIs" dxfId="3982" priority="25" operator="lessThan">
      <formula>0</formula>
    </cfRule>
  </conditionalFormatting>
  <conditionalFormatting sqref="E231:E232">
    <cfRule type="cellIs" dxfId="3981" priority="24" operator="lessThan">
      <formula>0</formula>
    </cfRule>
  </conditionalFormatting>
  <conditionalFormatting sqref="E228">
    <cfRule type="cellIs" dxfId="3980" priority="23" operator="lessThan">
      <formula>0</formula>
    </cfRule>
  </conditionalFormatting>
  <conditionalFormatting sqref="K52:W63">
    <cfRule type="cellIs" dxfId="3979" priority="21" operator="lessThan">
      <formula>0</formula>
    </cfRule>
    <cfRule type="cellIs" dxfId="3978" priority="22" operator="greaterThan">
      <formula>0.1</formula>
    </cfRule>
  </conditionalFormatting>
  <conditionalFormatting sqref="K64">
    <cfRule type="cellIs" dxfId="3977" priority="19" operator="lessThan">
      <formula>0</formula>
    </cfRule>
    <cfRule type="cellIs" dxfId="3976" priority="20" operator="greaterThan">
      <formula>0.1</formula>
    </cfRule>
  </conditionalFormatting>
  <conditionalFormatting sqref="W52">
    <cfRule type="cellIs" dxfId="3975" priority="17" operator="lessThan">
      <formula>0</formula>
    </cfRule>
    <cfRule type="cellIs" dxfId="3974" priority="18" operator="greaterThan">
      <formula>0.1</formula>
    </cfRule>
  </conditionalFormatting>
  <conditionalFormatting sqref="L52:V55 L53:N63 L57:V59 L61:V63">
    <cfRule type="cellIs" dxfId="3973" priority="15" operator="lessThan">
      <formula>0</formula>
    </cfRule>
    <cfRule type="cellIs" dxfId="3972" priority="16" operator="greaterThan">
      <formula>0.1</formula>
    </cfRule>
  </conditionalFormatting>
  <conditionalFormatting sqref="K56:V56">
    <cfRule type="cellIs" dxfId="3971" priority="11" operator="lessThan">
      <formula>0</formula>
    </cfRule>
    <cfRule type="cellIs" dxfId="3970" priority="12" operator="greaterThan">
      <formula>0.1</formula>
    </cfRule>
    <cfRule type="cellIs" dxfId="3969" priority="13" operator="lessThan">
      <formula>0</formula>
    </cfRule>
    <cfRule type="cellIs" dxfId="3968" priority="14" operator="greaterThan">
      <formula>0.1</formula>
    </cfRule>
  </conditionalFormatting>
  <conditionalFormatting sqref="L56:V56">
    <cfRule type="cellIs" dxfId="3967" priority="7" operator="lessThan">
      <formula>0</formula>
    </cfRule>
    <cfRule type="cellIs" dxfId="3966" priority="8" operator="greaterThan">
      <formula>0.1</formula>
    </cfRule>
    <cfRule type="cellIs" dxfId="3965" priority="9" operator="lessThan">
      <formula>0</formula>
    </cfRule>
    <cfRule type="cellIs" dxfId="3964" priority="10" operator="greaterThan">
      <formula>0.1</formula>
    </cfRule>
  </conditionalFormatting>
  <conditionalFormatting sqref="L64:W64">
    <cfRule type="cellIs" dxfId="3963" priority="5" operator="lessThan">
      <formula>0</formula>
    </cfRule>
    <cfRule type="cellIs" dxfId="3962" priority="6" operator="greaterThan">
      <formula>0.1</formula>
    </cfRule>
  </conditionalFormatting>
  <conditionalFormatting sqref="K60:V60">
    <cfRule type="cellIs" dxfId="3961" priority="3" operator="lessThan">
      <formula>0</formula>
    </cfRule>
    <cfRule type="cellIs" dxfId="3960" priority="4" operator="greaterThan">
      <formula>0.1</formula>
    </cfRule>
  </conditionalFormatting>
  <conditionalFormatting sqref="W53:W63">
    <cfRule type="cellIs" dxfId="3959" priority="1" operator="lessThan">
      <formula>0</formula>
    </cfRule>
    <cfRule type="cellIs" dxfId="3958" priority="2" operator="greaterThan">
      <formula>0.1</formula>
    </cfRule>
  </conditionalFormatting>
  <dataValidations count="3">
    <dataValidation type="list" allowBlank="1" showInputMessage="1" showErrorMessage="1" sqref="C15:C19 C371:C374 C376:C384 C386:C413 C415:C418 C421:C425 C427 C429:C430 C432:C454 C456:C490 C493:C504 C506:C535 C537:C589 C592:C626" xr:uid="{00000000-0002-0000-0500-000000000000}">
      <formula1>$I$5:$I$45</formula1>
    </dataValidation>
    <dataValidation type="list" allowBlank="1" showInputMessage="1" showErrorMessage="1" sqref="C20:C27 C29:C33 C35:C42 C45 C47:C143" xr:uid="{00000000-0002-0000-0500-000001000000}">
      <formula1>$I$4:$I$42</formula1>
    </dataValidation>
    <dataValidation type="list" allowBlank="1" showInputMessage="1" showErrorMessage="1" sqref="C192:C370" xr:uid="{00000000-0002-0000-0500-000002000000}">
      <formula1>$I$6:$I$17</formula1>
    </dataValidation>
  </dataValidations>
  <pageMargins left="0.25" right="0.25" top="0.75" bottom="0.75" header="0.3" footer="0.3"/>
  <pageSetup paperSize="9" scale="14" orientation="landscape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500-000003000000}">
          <x14:formula1>
            <xm:f>ProductList!$A$2:$A$100</xm:f>
          </x14:formula1>
          <xm:sqref>I216:I370 I196:I214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pageSetUpPr fitToPage="1"/>
  </sheetPr>
  <dimension ref="A1:AJ698"/>
  <sheetViews>
    <sheetView showZeros="0" topLeftCell="A174" zoomScaleNormal="100" workbookViewId="0">
      <selection activeCell="A211" sqref="A211:XFD211"/>
    </sheetView>
  </sheetViews>
  <sheetFormatPr defaultColWidth="9.1328125" defaultRowHeight="12.75" x14ac:dyDescent="0.35"/>
  <cols>
    <col min="1" max="1" width="9.796875" style="426" bestFit="1" customWidth="1"/>
    <col min="2" max="2" width="19.33203125" style="426" bestFit="1" customWidth="1"/>
    <col min="3" max="3" width="26.86328125" style="426" bestFit="1" customWidth="1"/>
    <col min="4" max="4" width="18.796875" style="426" customWidth="1"/>
    <col min="5" max="5" width="11" style="435" bestFit="1" customWidth="1"/>
    <col min="6" max="6" width="16.33203125" style="426" customWidth="1"/>
    <col min="7" max="7" width="13.46484375" style="426" customWidth="1"/>
    <col min="8" max="8" width="11.53125" style="426" customWidth="1"/>
    <col min="9" max="9" width="30.1328125" style="426" bestFit="1" customWidth="1"/>
    <col min="10" max="10" width="16.46484375" style="426" bestFit="1" customWidth="1"/>
    <col min="11" max="11" width="8.86328125" style="426" customWidth="1"/>
    <col min="12" max="12" width="7.46484375" style="426" bestFit="1" customWidth="1"/>
    <col min="13" max="13" width="7.796875" style="426" customWidth="1"/>
    <col min="14" max="14" width="7.46484375" style="426" customWidth="1"/>
    <col min="15" max="22" width="7.796875" style="426" customWidth="1"/>
    <col min="23" max="23" width="8.398437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0.1328125" style="426" customWidth="1"/>
    <col min="28" max="28" width="12.132812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6" width="9.1328125" style="426" customWidth="1"/>
    <col min="37" max="16384" width="9.1328125" style="426"/>
  </cols>
  <sheetData>
    <row r="1" spans="2:35" ht="20.65" customHeight="1" x14ac:dyDescent="0.6">
      <c r="C1" s="995">
        <f ca="1">NOW()</f>
        <v>46191.757036689814</v>
      </c>
      <c r="D1" s="986"/>
      <c r="I1" s="908" t="s">
        <v>563</v>
      </c>
      <c r="J1" s="45" t="s">
        <v>1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  <c r="AA1" s="45"/>
    </row>
    <row r="2" spans="2:35" ht="15" customHeight="1" x14ac:dyDescent="0.4">
      <c r="C2" s="989" t="s">
        <v>2</v>
      </c>
      <c r="D2" s="987">
        <f ca="1">NETWORKDAYS(TODAY(),EOMONTH(TODAY(),0))</f>
        <v>9</v>
      </c>
      <c r="E2" s="419"/>
      <c r="F2" s="418"/>
      <c r="J2" s="45" t="s">
        <v>3</v>
      </c>
      <c r="K2" s="800">
        <f t="shared" ref="K2:V2" si="0">SUM(K43/$W43)</f>
        <v>8.0847003059957526E-2</v>
      </c>
      <c r="L2" s="800">
        <f t="shared" si="0"/>
        <v>6.1501476125667344E-2</v>
      </c>
      <c r="M2" s="800">
        <f t="shared" si="0"/>
        <v>9.7335093365975109E-2</v>
      </c>
      <c r="N2" s="800">
        <f t="shared" si="0"/>
        <v>9.0364133176819766E-2</v>
      </c>
      <c r="O2" s="800">
        <f t="shared" si="0"/>
        <v>8.639085636913113E-2</v>
      </c>
      <c r="P2" s="800">
        <f t="shared" si="0"/>
        <v>5.1504866375201554E-2</v>
      </c>
      <c r="Q2" s="800">
        <f t="shared" si="0"/>
        <v>4.2435610989814604E-2</v>
      </c>
      <c r="R2" s="800">
        <f t="shared" si="0"/>
        <v>9.9661484467698097E-2</v>
      </c>
      <c r="S2" s="800">
        <f t="shared" si="0"/>
        <v>6.0008352427095346E-2</v>
      </c>
      <c r="T2" s="800">
        <f t="shared" si="0"/>
        <v>0.1140763347795002</v>
      </c>
      <c r="U2" s="800">
        <f t="shared" si="0"/>
        <v>0.10246038964893713</v>
      </c>
      <c r="V2" s="800">
        <f t="shared" si="0"/>
        <v>0.11341439921420234</v>
      </c>
      <c r="W2" s="836">
        <f>SUM(K2:V2)</f>
        <v>1.0000000000000002</v>
      </c>
      <c r="AD2" s="46" t="s">
        <v>4</v>
      </c>
      <c r="AE2" s="46"/>
      <c r="AF2" s="46" t="s">
        <v>5</v>
      </c>
      <c r="AG2" s="45" t="s">
        <v>6</v>
      </c>
      <c r="AH2" s="45" t="s">
        <v>7</v>
      </c>
      <c r="AI2" s="45" t="s">
        <v>8</v>
      </c>
    </row>
    <row r="3" spans="2:35" ht="26.25" customHeight="1" x14ac:dyDescent="0.4">
      <c r="C3" s="992" t="s">
        <v>9</v>
      </c>
      <c r="D3" s="987">
        <f ca="1">25-D2</f>
        <v>16</v>
      </c>
      <c r="E3" s="695"/>
      <c r="F3" s="427"/>
      <c r="G3" s="59" t="s">
        <v>10</v>
      </c>
      <c r="H3" s="59" t="s">
        <v>11</v>
      </c>
      <c r="I3"/>
      <c r="J3" s="647" t="s">
        <v>12</v>
      </c>
      <c r="K3" s="737">
        <f t="shared" ref="K3:V3" si="1">SUM(K2+K1)*$J19</f>
        <v>4516.113590929227</v>
      </c>
      <c r="L3" s="737">
        <f t="shared" si="1"/>
        <v>3435.4724563797777</v>
      </c>
      <c r="M3" s="737">
        <f t="shared" si="1"/>
        <v>5437.1383154233699</v>
      </c>
      <c r="N3" s="737">
        <f t="shared" si="1"/>
        <v>5047.7404792571524</v>
      </c>
      <c r="O3" s="737">
        <f t="shared" si="1"/>
        <v>4825.7932367796648</v>
      </c>
      <c r="P3" s="737">
        <f t="shared" si="1"/>
        <v>2877.0618357187586</v>
      </c>
      <c r="Q3" s="737">
        <f t="shared" si="1"/>
        <v>2370.453229891044</v>
      </c>
      <c r="R3" s="737">
        <f t="shared" si="1"/>
        <v>5567.0905223656155</v>
      </c>
      <c r="S3" s="737">
        <f t="shared" si="1"/>
        <v>3352.0665665775459</v>
      </c>
      <c r="T3" s="737">
        <f t="shared" si="1"/>
        <v>6372.3040607828816</v>
      </c>
      <c r="U3" s="737">
        <f t="shared" si="1"/>
        <v>5723.4373657896276</v>
      </c>
      <c r="V3" s="737">
        <f t="shared" si="1"/>
        <v>6335.3283401053422</v>
      </c>
      <c r="W3" s="801">
        <f>SUM(K3:V3)</f>
        <v>55860.000000000007</v>
      </c>
      <c r="AA3" s="559" t="s">
        <v>13</v>
      </c>
      <c r="AB3" s="816">
        <v>12</v>
      </c>
      <c r="AD3" s="426">
        <v>0.9995056846267919</v>
      </c>
      <c r="AF3" s="46"/>
    </row>
    <row r="4" spans="2:35" ht="15" customHeight="1" x14ac:dyDescent="0.4">
      <c r="C4" s="992" t="s">
        <v>14</v>
      </c>
      <c r="D4" s="1178">
        <f ca="1">V18/D3</f>
        <v>337.18437499999999</v>
      </c>
      <c r="E4" s="695"/>
      <c r="F4" s="427"/>
      <c r="I4"/>
      <c r="J4" s="647" t="s">
        <v>15</v>
      </c>
      <c r="K4" s="737">
        <f t="shared" ref="K4:V4" si="2">NETWORKDAYS(K5,EOMONTH(K5,0))</f>
        <v>23</v>
      </c>
      <c r="L4" s="737">
        <f t="shared" si="2"/>
        <v>21</v>
      </c>
      <c r="M4" s="737">
        <f t="shared" si="2"/>
        <v>21</v>
      </c>
      <c r="N4" s="737">
        <f t="shared" si="2"/>
        <v>22</v>
      </c>
      <c r="O4" s="737">
        <f t="shared" si="2"/>
        <v>23</v>
      </c>
      <c r="P4" s="737">
        <f t="shared" si="2"/>
        <v>20</v>
      </c>
      <c r="Q4" s="737">
        <f t="shared" si="2"/>
        <v>23</v>
      </c>
      <c r="R4" s="737">
        <f t="shared" si="2"/>
        <v>22</v>
      </c>
      <c r="S4" s="737">
        <f t="shared" si="2"/>
        <v>21</v>
      </c>
      <c r="T4" s="737">
        <f t="shared" si="2"/>
        <v>23</v>
      </c>
      <c r="U4" s="737">
        <f t="shared" si="2"/>
        <v>21</v>
      </c>
      <c r="V4" s="737">
        <f t="shared" si="2"/>
        <v>22</v>
      </c>
      <c r="W4" s="801">
        <f>SUM(K4:V4)</f>
        <v>262</v>
      </c>
      <c r="AF4" s="46"/>
    </row>
    <row r="5" spans="2:35" ht="15" customHeight="1" x14ac:dyDescent="0.4">
      <c r="C5" s="989" t="s">
        <v>16</v>
      </c>
      <c r="D5" s="1059">
        <f ca="1">D4/8</f>
        <v>42.148046874999999</v>
      </c>
      <c r="E5" s="695"/>
      <c r="F5" s="49"/>
      <c r="I5" s="980" t="s">
        <v>140</v>
      </c>
      <c r="J5" s="421" t="s">
        <v>18</v>
      </c>
      <c r="K5" s="1021">
        <v>45292</v>
      </c>
      <c r="L5" s="1021">
        <v>45323</v>
      </c>
      <c r="M5" s="1021">
        <v>45352</v>
      </c>
      <c r="N5" s="1021">
        <v>45383</v>
      </c>
      <c r="O5" s="1021">
        <v>45413</v>
      </c>
      <c r="P5" s="1021">
        <v>45444</v>
      </c>
      <c r="Q5" s="1021">
        <v>45474</v>
      </c>
      <c r="R5" s="1021">
        <v>45505</v>
      </c>
      <c r="S5" s="1021">
        <v>45536</v>
      </c>
      <c r="T5" s="1021">
        <v>45566</v>
      </c>
      <c r="U5" s="1021">
        <v>45597</v>
      </c>
      <c r="V5" s="1021">
        <v>45627</v>
      </c>
      <c r="W5" s="423" t="s">
        <v>19</v>
      </c>
      <c r="X5" s="815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25</v>
      </c>
      <c r="AE5" s="45" t="s">
        <v>26</v>
      </c>
      <c r="AF5" s="928">
        <f>AG5+AH5</f>
        <v>46059.49</v>
      </c>
      <c r="AG5" s="443">
        <f>SUM(N31:V31)</f>
        <v>37708.959999999999</v>
      </c>
      <c r="AH5" s="443">
        <f>SUM(K18:M18)</f>
        <v>8350.5300000000007</v>
      </c>
      <c r="AI5" s="445">
        <f>SUM(AF5-AF6)/AF6</f>
        <v>-6.8738984623105154E-2</v>
      </c>
    </row>
    <row r="6" spans="2:35" ht="15.4" customHeight="1" thickBot="1" x14ac:dyDescent="0.45">
      <c r="C6" s="990" t="s">
        <v>27</v>
      </c>
      <c r="D6" s="1179">
        <f ca="1">D2*D4</f>
        <v>3034.6593749999997</v>
      </c>
      <c r="E6" s="695"/>
      <c r="F6" s="49"/>
      <c r="G6" s="445">
        <f t="shared" ref="G6:G18" si="3">W113/$W$125</f>
        <v>0.20589498293599334</v>
      </c>
      <c r="H6" s="445">
        <f t="shared" ref="H6:H18" si="4">W6/$W$18</f>
        <v>0.1842290486695356</v>
      </c>
      <c r="I6" s="981" t="s">
        <v>28</v>
      </c>
      <c r="J6" s="431">
        <v>800</v>
      </c>
      <c r="K6" s="432">
        <f t="shared" ref="K6:K17" si="5">SUMIFS($E$209:$E$698,$A$209:$A$698,"&gt;31/12/2024",$A$209:$A$698,"&lt;1/2/2025",$C$209:$C$698,$I6)</f>
        <v>425</v>
      </c>
      <c r="L6" s="432">
        <f t="shared" ref="L6:L17" si="6">SUMIFS($E$209:$E$698,$A$209:$A$698,"&gt;31/1/2025",$A$209:$A$698,"&lt;1/3/2025",$C$209:$C$698,$I6)</f>
        <v>0</v>
      </c>
      <c r="M6" s="432">
        <f t="shared" ref="M6:M17" si="7">SUMIFS($E$209:$E$698,$A$209:$A$698,"&gt;28/2/2025",$A$209:$A$698,"&lt;1/4/2025",$C$209:$C$698,$I6)</f>
        <v>0</v>
      </c>
      <c r="N6" s="432">
        <f t="shared" ref="N6:N17" si="8">SUMIFS($E$209:$E$698,$A$209:$A$698,"&gt;31/3/2025",$A$209:$A$698,"&lt;1/5/2025",$C$209:$C$698,$I6)</f>
        <v>600</v>
      </c>
      <c r="O6" s="432">
        <f t="shared" ref="O6:O17" si="9">SUMIFS($E$209:$E$698,$A$209:$A$698,"&gt;30/4/2025",$A$209:$A$698,"&lt;1/6/2025",$C$209:$C$698,$I6)</f>
        <v>1200</v>
      </c>
      <c r="P6" s="432">
        <f t="shared" ref="P6:P17" si="10">SUMIFS($E$209:$E$698,$A$209:$A$698,"&gt;31/5/2025",$A$209:$A$698,"&lt;1/7/2025",$C$209:$C$698,$I6)</f>
        <v>450</v>
      </c>
      <c r="Q6" s="432">
        <f t="shared" ref="Q6:Q17" si="11">SUMIFS($E$209:$E$698,$A$209:$A$698,"&gt;30/6/2025",$A$209:$A$698,"&lt;1/8/2025",$C$209:$C$698,$I6)</f>
        <v>1500</v>
      </c>
      <c r="R6" s="432">
        <f t="shared" ref="R6:R17" si="12">SUMIFS($E$209:$E$698,$A$209:$A$698,"&gt;31/7/2025",$A$209:$A$698,"&lt;1/9/2025",$C$209:$C$698,$I6)</f>
        <v>775</v>
      </c>
      <c r="S6" s="432">
        <f t="shared" ref="S6:S17" si="13">SUMIFS($E$209:$E$698,$A$209:$A$698,"&gt;31/8/2025",$A$209:$A$698,"&lt;1/10/2025",$C$209:$C$698,$I6)</f>
        <v>0</v>
      </c>
      <c r="T6" s="432">
        <f t="shared" ref="T6:T17" si="14">SUMIFS($E$209:$E$698,$A$209:$A$698,"&gt;30/9/2025",$A$209:$A$698,"&lt;1/11/2025",$C$209:$C$698,$I6)</f>
        <v>420</v>
      </c>
      <c r="U6" s="432">
        <f t="shared" ref="U6:U17" si="15">SUMIFS($E$209:$E$698,$A$209:$A$698,"&gt;31/10/2025",$A$209:$A$698,"&lt;1/12/2025",$C$209:$C$698,$I6)</f>
        <v>2640</v>
      </c>
      <c r="V6" s="432">
        <f t="shared" ref="V6:V17" si="16">SUMIFS($E$209:$E$698,$A$209:$A$698,"&gt;30/11/2025",$A$209:$A$698,"&lt;1/1/2026",$C$209:$C$698,$I6)</f>
        <v>570</v>
      </c>
      <c r="W6" s="431">
        <f t="shared" ref="W6:W17" si="17">SUM(K6:V6)</f>
        <v>8580</v>
      </c>
      <c r="X6" s="432">
        <f t="shared" ref="X6:X18" si="18">SUM(V6-(J6*12)*(V$2+V$1))</f>
        <v>-518.77823245634249</v>
      </c>
      <c r="Y6" s="432">
        <f t="shared" ref="Y6:Y18" si="19">W6-AA6</f>
        <v>-1020.0000000000018</v>
      </c>
      <c r="Z6" s="433">
        <f t="shared" ref="Z6:Z18" si="20">Y6/AA6</f>
        <v>-0.10625000000000016</v>
      </c>
      <c r="AA6" s="814">
        <f t="shared" ref="AA6:AA18" si="21">SUM(J6*12)*((K$2+K$1+L$1+L$2+M$1+M$2+N$1+N$2+O$1+O$2+P$1+P$2+Q$1+Q$2+R$1+R$2+S$1+S$2+T$1+T$2+U$1+U$2+V$1+V$2))</f>
        <v>9600.0000000000018</v>
      </c>
      <c r="AB6" s="813">
        <f t="shared" ref="AB6:AB18" si="22">W6/$AB$3</f>
        <v>715</v>
      </c>
      <c r="AD6" s="48" t="s">
        <v>29</v>
      </c>
      <c r="AE6" s="584" t="s">
        <v>30</v>
      </c>
      <c r="AF6" s="928">
        <f>AG6+AH6</f>
        <v>49459.270000000004</v>
      </c>
      <c r="AG6" s="443">
        <f>SUM(N32:V32)</f>
        <v>33771.410000000003</v>
      </c>
      <c r="AH6" s="443">
        <f>SUM(K31:M31)</f>
        <v>15687.86</v>
      </c>
      <c r="AI6" s="445">
        <f>SUM(AF6-AF7)/AF7</f>
        <v>-0.32845261712503676</v>
      </c>
    </row>
    <row r="7" spans="2:35" ht="15.4" customHeight="1" thickTop="1" x14ac:dyDescent="0.4">
      <c r="C7" s="989"/>
      <c r="D7" s="1059"/>
      <c r="E7" s="695"/>
      <c r="F7" s="49"/>
      <c r="G7" s="445">
        <f t="shared" si="3"/>
        <v>0.40309128946263184</v>
      </c>
      <c r="H7" s="445">
        <f t="shared" si="4"/>
        <v>0.4057591117153786</v>
      </c>
      <c r="I7" s="981" t="s">
        <v>31</v>
      </c>
      <c r="J7" s="431">
        <v>1200</v>
      </c>
      <c r="K7" s="432">
        <f t="shared" si="5"/>
        <v>497</v>
      </c>
      <c r="L7" s="432">
        <f t="shared" si="6"/>
        <v>328</v>
      </c>
      <c r="M7" s="432">
        <f t="shared" si="7"/>
        <v>1312</v>
      </c>
      <c r="N7" s="432">
        <f t="shared" si="8"/>
        <v>1193</v>
      </c>
      <c r="O7" s="432">
        <f t="shared" si="9"/>
        <v>1172</v>
      </c>
      <c r="P7" s="432">
        <f t="shared" si="10"/>
        <v>3437.2</v>
      </c>
      <c r="Q7" s="432">
        <f t="shared" si="11"/>
        <v>2380</v>
      </c>
      <c r="R7" s="432">
        <f t="shared" si="12"/>
        <v>634</v>
      </c>
      <c r="S7" s="432">
        <f t="shared" si="13"/>
        <v>1894</v>
      </c>
      <c r="T7" s="432">
        <f t="shared" si="14"/>
        <v>1022</v>
      </c>
      <c r="U7" s="432">
        <f t="shared" si="15"/>
        <v>940</v>
      </c>
      <c r="V7" s="432">
        <f t="shared" si="16"/>
        <v>4088</v>
      </c>
      <c r="W7" s="431">
        <f t="shared" si="17"/>
        <v>18897.2</v>
      </c>
      <c r="X7" s="432">
        <f t="shared" si="18"/>
        <v>2454.8326513154861</v>
      </c>
      <c r="Y7" s="432">
        <f t="shared" si="19"/>
        <v>4497.1999999999971</v>
      </c>
      <c r="Z7" s="433">
        <f t="shared" si="20"/>
        <v>0.31230555555555528</v>
      </c>
      <c r="AA7" s="814">
        <f t="shared" si="21"/>
        <v>14400.000000000004</v>
      </c>
      <c r="AB7" s="813">
        <f t="shared" si="22"/>
        <v>1574.7666666666667</v>
      </c>
      <c r="AD7" s="48" t="s">
        <v>32</v>
      </c>
      <c r="AE7" s="584" t="s">
        <v>33</v>
      </c>
      <c r="AF7" s="928">
        <f>AG7+AH7</f>
        <v>73649.709999999992</v>
      </c>
      <c r="AG7" s="443">
        <f>SUM(N33:V33)</f>
        <v>46094.1</v>
      </c>
      <c r="AH7" s="443">
        <f>SUM(K32:M32)</f>
        <v>27555.61</v>
      </c>
      <c r="AI7" s="445">
        <f>SUM(AF7-AF9)/AF9</f>
        <v>0.20558309119269375</v>
      </c>
    </row>
    <row r="8" spans="2:35" ht="15.4" customHeight="1" thickBot="1" x14ac:dyDescent="0.45">
      <c r="C8" s="993" t="s">
        <v>34</v>
      </c>
      <c r="D8" s="1179">
        <f ca="1">V18+D6</f>
        <v>8429.609375</v>
      </c>
      <c r="E8" s="1018"/>
      <c r="F8" s="49"/>
      <c r="G8" s="445">
        <f t="shared" si="3"/>
        <v>0.11660449875365009</v>
      </c>
      <c r="H8" s="445">
        <f t="shared" si="4"/>
        <v>0.18780197567403567</v>
      </c>
      <c r="I8" s="982" t="s">
        <v>35</v>
      </c>
      <c r="J8" s="431">
        <v>1000</v>
      </c>
      <c r="K8" s="432">
        <f t="shared" si="5"/>
        <v>3404</v>
      </c>
      <c r="L8" s="432">
        <f t="shared" si="6"/>
        <v>995</v>
      </c>
      <c r="M8" s="432">
        <f t="shared" si="7"/>
        <v>0</v>
      </c>
      <c r="N8" s="432">
        <f t="shared" si="8"/>
        <v>0</v>
      </c>
      <c r="O8" s="432">
        <f t="shared" si="9"/>
        <v>0</v>
      </c>
      <c r="P8" s="432">
        <f t="shared" si="10"/>
        <v>2620</v>
      </c>
      <c r="Q8" s="432">
        <f t="shared" si="11"/>
        <v>895</v>
      </c>
      <c r="R8" s="432">
        <f t="shared" si="12"/>
        <v>82.4</v>
      </c>
      <c r="S8" s="432">
        <f t="shared" si="13"/>
        <v>750</v>
      </c>
      <c r="T8" s="432">
        <f t="shared" si="14"/>
        <v>0</v>
      </c>
      <c r="U8" s="432">
        <f t="shared" si="15"/>
        <v>0</v>
      </c>
      <c r="V8" s="432">
        <f t="shared" si="16"/>
        <v>0</v>
      </c>
      <c r="W8" s="431">
        <f t="shared" si="17"/>
        <v>8746.4</v>
      </c>
      <c r="X8" s="432">
        <f t="shared" si="18"/>
        <v>-1360.9727905704281</v>
      </c>
      <c r="Y8" s="432">
        <f t="shared" si="19"/>
        <v>-3253.6000000000022</v>
      </c>
      <c r="Z8" s="433">
        <f t="shared" si="20"/>
        <v>-0.27113333333333345</v>
      </c>
      <c r="AA8" s="814">
        <f t="shared" si="21"/>
        <v>12000.000000000002</v>
      </c>
      <c r="AB8" s="813">
        <f t="shared" si="22"/>
        <v>728.86666666666667</v>
      </c>
      <c r="AD8" s="48"/>
      <c r="AE8" s="584"/>
      <c r="AF8" s="928"/>
      <c r="AG8" s="443"/>
      <c r="AH8" s="443"/>
      <c r="AI8" s="445"/>
    </row>
    <row r="9" spans="2:35" ht="15.4" customHeight="1" thickTop="1" x14ac:dyDescent="0.4">
      <c r="C9" s="992" t="s">
        <v>36</v>
      </c>
      <c r="D9" s="987">
        <f ca="1">D8-U3</f>
        <v>2706.1720092103724</v>
      </c>
      <c r="E9" s="1018"/>
      <c r="F9" s="49"/>
      <c r="G9" s="445">
        <f t="shared" si="3"/>
        <v>1.9330984541387614E-2</v>
      </c>
      <c r="H9" s="445">
        <f t="shared" si="4"/>
        <v>3.1134279786809629E-2</v>
      </c>
      <c r="I9" s="983" t="s">
        <v>37</v>
      </c>
      <c r="J9" s="431">
        <v>150</v>
      </c>
      <c r="K9" s="432">
        <f t="shared" si="5"/>
        <v>250</v>
      </c>
      <c r="L9" s="432">
        <f t="shared" si="6"/>
        <v>0</v>
      </c>
      <c r="M9" s="432">
        <f t="shared" si="7"/>
        <v>0</v>
      </c>
      <c r="N9" s="432">
        <f t="shared" si="8"/>
        <v>0</v>
      </c>
      <c r="O9" s="432">
        <f t="shared" si="9"/>
        <v>0</v>
      </c>
      <c r="P9" s="432">
        <f t="shared" si="10"/>
        <v>0</v>
      </c>
      <c r="Q9" s="432">
        <f t="shared" si="11"/>
        <v>0</v>
      </c>
      <c r="R9" s="432">
        <f t="shared" si="12"/>
        <v>0</v>
      </c>
      <c r="S9" s="432">
        <f t="shared" si="13"/>
        <v>1200</v>
      </c>
      <c r="T9" s="432">
        <f t="shared" si="14"/>
        <v>0</v>
      </c>
      <c r="U9" s="432">
        <f t="shared" si="15"/>
        <v>0</v>
      </c>
      <c r="V9" s="432">
        <f t="shared" si="16"/>
        <v>0</v>
      </c>
      <c r="W9" s="431">
        <f t="shared" si="17"/>
        <v>1450</v>
      </c>
      <c r="X9" s="432">
        <f t="shared" si="18"/>
        <v>-204.1459185855642</v>
      </c>
      <c r="Y9" s="432">
        <f t="shared" si="19"/>
        <v>-350.00000000000045</v>
      </c>
      <c r="Z9" s="433">
        <f t="shared" si="20"/>
        <v>-0.19444444444444464</v>
      </c>
      <c r="AA9" s="814">
        <f t="shared" si="21"/>
        <v>1800.0000000000005</v>
      </c>
      <c r="AB9" s="813">
        <f t="shared" si="22"/>
        <v>120.83333333333333</v>
      </c>
      <c r="AD9" s="48" t="s">
        <v>38</v>
      </c>
      <c r="AE9" s="584" t="s">
        <v>39</v>
      </c>
      <c r="AF9" s="928">
        <f t="shared" ref="AF9:AF16" si="23">AG9+AH9</f>
        <v>61090.53</v>
      </c>
      <c r="AG9" s="443">
        <f t="shared" ref="AG9:AG16" si="24">SUM(N34:V34)</f>
        <v>37518.659999999996</v>
      </c>
      <c r="AH9" s="443">
        <f t="shared" ref="AH9:AH16" si="25">SUM(K33:M33)</f>
        <v>23571.870000000003</v>
      </c>
      <c r="AI9" s="445">
        <f t="shared" ref="AI9:AI14" si="26">SUM(AF9-AF10)/AF10</f>
        <v>-0.12252847628215617</v>
      </c>
    </row>
    <row r="10" spans="2:35" ht="15" customHeight="1" x14ac:dyDescent="0.4">
      <c r="C10" s="992" t="s">
        <v>40</v>
      </c>
      <c r="D10" s="988">
        <f ca="1">D8/V3</f>
        <v>1.3305718224005789</v>
      </c>
      <c r="E10" s="695"/>
      <c r="F10" s="49"/>
      <c r="G10" s="445">
        <f t="shared" si="3"/>
        <v>-2.436603942874525E-2</v>
      </c>
      <c r="H10" s="445">
        <f t="shared" si="4"/>
        <v>-4.3604095639354246E-2</v>
      </c>
      <c r="I10" s="983" t="s">
        <v>41</v>
      </c>
      <c r="J10" s="431">
        <v>-100</v>
      </c>
      <c r="K10" s="432">
        <f t="shared" si="5"/>
        <v>-845.75</v>
      </c>
      <c r="L10" s="432">
        <f t="shared" si="6"/>
        <v>-65</v>
      </c>
      <c r="M10" s="432">
        <f t="shared" si="7"/>
        <v>0</v>
      </c>
      <c r="N10" s="432">
        <f t="shared" si="8"/>
        <v>0</v>
      </c>
      <c r="O10" s="432">
        <f t="shared" si="9"/>
        <v>0</v>
      </c>
      <c r="P10" s="432">
        <f t="shared" si="10"/>
        <v>-1120</v>
      </c>
      <c r="Q10" s="432">
        <f t="shared" si="11"/>
        <v>0</v>
      </c>
      <c r="R10" s="432">
        <f t="shared" si="12"/>
        <v>0</v>
      </c>
      <c r="S10" s="432">
        <f t="shared" si="13"/>
        <v>0</v>
      </c>
      <c r="T10" s="432">
        <f t="shared" si="14"/>
        <v>0</v>
      </c>
      <c r="U10" s="432">
        <f t="shared" si="15"/>
        <v>0</v>
      </c>
      <c r="V10" s="432">
        <f t="shared" si="16"/>
        <v>0</v>
      </c>
      <c r="W10" s="704">
        <f t="shared" si="17"/>
        <v>-2030.75</v>
      </c>
      <c r="X10" s="432">
        <f t="shared" si="18"/>
        <v>136.09727905704281</v>
      </c>
      <c r="Y10" s="432">
        <f t="shared" si="19"/>
        <v>-830.74999999999977</v>
      </c>
      <c r="Z10" s="433">
        <f t="shared" si="20"/>
        <v>0.69229166666666631</v>
      </c>
      <c r="AA10" s="814">
        <f t="shared" si="21"/>
        <v>-1200.0000000000002</v>
      </c>
      <c r="AB10" s="813">
        <f t="shared" si="22"/>
        <v>-169.22916666666666</v>
      </c>
      <c r="AD10" s="48" t="s">
        <v>42</v>
      </c>
      <c r="AE10" s="584" t="s">
        <v>43</v>
      </c>
      <c r="AF10" s="928">
        <f t="shared" si="23"/>
        <v>69621.096923076926</v>
      </c>
      <c r="AG10" s="443">
        <f t="shared" si="24"/>
        <v>52137.860000000008</v>
      </c>
      <c r="AH10" s="443">
        <f t="shared" si="25"/>
        <v>17483.236923076925</v>
      </c>
      <c r="AI10" s="445">
        <f t="shared" si="26"/>
        <v>0.25201643354615522</v>
      </c>
    </row>
    <row r="11" spans="2:35" ht="13.9" customHeight="1" x14ac:dyDescent="0.4">
      <c r="B11" s="986"/>
      <c r="D11" s="693"/>
      <c r="E11" s="695"/>
      <c r="F11" s="693"/>
      <c r="G11" s="445">
        <f t="shared" si="3"/>
        <v>2.4443696659747719E-2</v>
      </c>
      <c r="H11" s="445">
        <f t="shared" si="4"/>
        <v>2.0720399996049167E-2</v>
      </c>
      <c r="I11" s="981" t="s">
        <v>44</v>
      </c>
      <c r="J11" s="431">
        <v>80</v>
      </c>
      <c r="K11" s="432">
        <f t="shared" si="5"/>
        <v>85</v>
      </c>
      <c r="L11" s="432">
        <f t="shared" si="6"/>
        <v>55</v>
      </c>
      <c r="M11" s="432">
        <f t="shared" si="7"/>
        <v>70</v>
      </c>
      <c r="N11" s="432">
        <f t="shared" si="8"/>
        <v>50</v>
      </c>
      <c r="O11" s="432">
        <f t="shared" si="9"/>
        <v>200</v>
      </c>
      <c r="P11" s="432">
        <f t="shared" si="10"/>
        <v>50</v>
      </c>
      <c r="Q11" s="432">
        <f t="shared" si="11"/>
        <v>35</v>
      </c>
      <c r="R11" s="432">
        <f t="shared" si="12"/>
        <v>35</v>
      </c>
      <c r="S11" s="432">
        <f t="shared" si="13"/>
        <v>35</v>
      </c>
      <c r="T11" s="432">
        <f t="shared" si="14"/>
        <v>35</v>
      </c>
      <c r="U11" s="432">
        <f t="shared" si="15"/>
        <v>275</v>
      </c>
      <c r="V11" s="432">
        <f t="shared" si="16"/>
        <v>40</v>
      </c>
      <c r="W11" s="431">
        <f t="shared" si="17"/>
        <v>965</v>
      </c>
      <c r="X11" s="432">
        <f t="shared" si="18"/>
        <v>-68.877823245634247</v>
      </c>
      <c r="Y11" s="432">
        <f t="shared" si="19"/>
        <v>4.9999999999997726</v>
      </c>
      <c r="Z11" s="433">
        <f t="shared" si="20"/>
        <v>5.2083333333330954E-3</v>
      </c>
      <c r="AA11" s="814">
        <f t="shared" si="21"/>
        <v>960.00000000000023</v>
      </c>
      <c r="AB11" s="813">
        <f t="shared" si="22"/>
        <v>80.416666666666671</v>
      </c>
      <c r="AD11" s="48" t="s">
        <v>45</v>
      </c>
      <c r="AE11" s="45" t="s">
        <v>46</v>
      </c>
      <c r="AF11" s="928">
        <f t="shared" si="23"/>
        <v>55607.175000000003</v>
      </c>
      <c r="AG11" s="443">
        <f t="shared" si="24"/>
        <v>42562.105000000003</v>
      </c>
      <c r="AH11" s="443">
        <f t="shared" si="25"/>
        <v>13045.07</v>
      </c>
      <c r="AI11" s="445">
        <f t="shared" si="26"/>
        <v>-0.35771029934576909</v>
      </c>
    </row>
    <row r="12" spans="2:35" ht="13.9" customHeight="1" x14ac:dyDescent="0.4">
      <c r="B12" s="986"/>
      <c r="D12" s="463"/>
      <c r="E12" s="465"/>
      <c r="F12" s="45"/>
      <c r="G12" s="445">
        <f t="shared" si="3"/>
        <v>0.15426125664027318</v>
      </c>
      <c r="H12" s="445">
        <f t="shared" si="4"/>
        <v>0.13076397510460044</v>
      </c>
      <c r="I12" s="982" t="s">
        <v>47</v>
      </c>
      <c r="J12" s="431">
        <v>800</v>
      </c>
      <c r="K12" s="432">
        <f t="shared" si="5"/>
        <v>780</v>
      </c>
      <c r="L12" s="432">
        <f t="shared" si="6"/>
        <v>600</v>
      </c>
      <c r="M12" s="432">
        <f t="shared" si="7"/>
        <v>315</v>
      </c>
      <c r="N12" s="432">
        <f t="shared" si="8"/>
        <v>150</v>
      </c>
      <c r="O12" s="432">
        <f t="shared" si="9"/>
        <v>1260</v>
      </c>
      <c r="P12" s="432">
        <f t="shared" si="10"/>
        <v>365</v>
      </c>
      <c r="Q12" s="432">
        <f t="shared" si="11"/>
        <v>1055</v>
      </c>
      <c r="R12" s="432">
        <f t="shared" si="12"/>
        <v>0</v>
      </c>
      <c r="S12" s="432">
        <f t="shared" si="13"/>
        <v>755</v>
      </c>
      <c r="T12" s="432">
        <f t="shared" si="14"/>
        <v>505</v>
      </c>
      <c r="U12" s="432">
        <f t="shared" si="15"/>
        <v>240</v>
      </c>
      <c r="V12" s="432">
        <f t="shared" si="16"/>
        <v>65</v>
      </c>
      <c r="W12" s="431">
        <f t="shared" si="17"/>
        <v>6090</v>
      </c>
      <c r="X12" s="432">
        <f t="shared" si="18"/>
        <v>-1023.7782324563425</v>
      </c>
      <c r="Y12" s="432">
        <f t="shared" si="19"/>
        <v>-3510.0000000000018</v>
      </c>
      <c r="Z12" s="433">
        <f t="shared" si="20"/>
        <v>-0.36562500000000014</v>
      </c>
      <c r="AA12" s="814">
        <f t="shared" si="21"/>
        <v>9600.0000000000018</v>
      </c>
      <c r="AB12" s="813">
        <f t="shared" si="22"/>
        <v>507.5</v>
      </c>
      <c r="AD12" s="48" t="s">
        <v>48</v>
      </c>
      <c r="AE12" s="45" t="s">
        <v>49</v>
      </c>
      <c r="AF12" s="928">
        <f t="shared" si="23"/>
        <v>86576.47</v>
      </c>
      <c r="AG12" s="443">
        <f t="shared" si="24"/>
        <v>60536.84</v>
      </c>
      <c r="AH12" s="443">
        <f t="shared" si="25"/>
        <v>26039.63</v>
      </c>
      <c r="AI12" s="445">
        <f t="shared" si="26"/>
        <v>0.41480239758156645</v>
      </c>
    </row>
    <row r="13" spans="2:35" ht="13.15" customHeight="1" x14ac:dyDescent="0.4">
      <c r="B13" s="986"/>
      <c r="C13" s="45"/>
      <c r="D13" s="45">
        <v>2673</v>
      </c>
      <c r="E13" s="465"/>
      <c r="F13" s="45"/>
      <c r="G13" s="445">
        <f t="shared" si="3"/>
        <v>1.5038172801851882E-2</v>
      </c>
      <c r="H13" s="445">
        <f t="shared" si="4"/>
        <v>2.0183602068690382E-2</v>
      </c>
      <c r="I13" s="982" t="s">
        <v>50</v>
      </c>
      <c r="J13" s="431">
        <v>225</v>
      </c>
      <c r="K13" s="432">
        <f t="shared" si="5"/>
        <v>0</v>
      </c>
      <c r="L13" s="432">
        <f t="shared" si="6"/>
        <v>0</v>
      </c>
      <c r="M13" s="432">
        <f t="shared" si="7"/>
        <v>0</v>
      </c>
      <c r="N13" s="432">
        <f t="shared" si="8"/>
        <v>0</v>
      </c>
      <c r="O13" s="432">
        <f t="shared" si="9"/>
        <v>125</v>
      </c>
      <c r="P13" s="432">
        <f t="shared" si="10"/>
        <v>400</v>
      </c>
      <c r="Q13" s="432">
        <f t="shared" si="11"/>
        <v>0</v>
      </c>
      <c r="R13" s="432">
        <f t="shared" si="12"/>
        <v>100</v>
      </c>
      <c r="S13" s="432">
        <f t="shared" si="13"/>
        <v>150</v>
      </c>
      <c r="T13" s="432">
        <f t="shared" si="14"/>
        <v>65</v>
      </c>
      <c r="U13" s="432">
        <f t="shared" si="15"/>
        <v>0</v>
      </c>
      <c r="V13" s="432">
        <f t="shared" si="16"/>
        <v>100</v>
      </c>
      <c r="W13" s="431">
        <f t="shared" si="17"/>
        <v>940</v>
      </c>
      <c r="X13" s="432">
        <f t="shared" si="18"/>
        <v>-206.21887787834629</v>
      </c>
      <c r="Y13" s="432">
        <f t="shared" si="19"/>
        <v>-1760.0000000000005</v>
      </c>
      <c r="Z13" s="433">
        <f t="shared" si="20"/>
        <v>-0.6518518518518519</v>
      </c>
      <c r="AA13" s="814">
        <f t="shared" si="21"/>
        <v>2700.0000000000005</v>
      </c>
      <c r="AB13" s="813">
        <f t="shared" si="22"/>
        <v>78.333333333333329</v>
      </c>
      <c r="AD13" s="48" t="s">
        <v>51</v>
      </c>
      <c r="AE13" s="584" t="s">
        <v>52</v>
      </c>
      <c r="AF13" s="928">
        <f t="shared" si="23"/>
        <v>61193.33</v>
      </c>
      <c r="AG13" s="443">
        <f t="shared" si="24"/>
        <v>45062</v>
      </c>
      <c r="AH13" s="443">
        <f t="shared" si="25"/>
        <v>16131.33</v>
      </c>
      <c r="AI13" s="445">
        <f t="shared" si="26"/>
        <v>7.2175246171636856E-2</v>
      </c>
    </row>
    <row r="14" spans="2:35" ht="13.15" customHeight="1" x14ac:dyDescent="0.4">
      <c r="B14" s="464"/>
      <c r="C14" s="45"/>
      <c r="D14" s="45"/>
      <c r="E14" s="465"/>
      <c r="F14" s="45"/>
      <c r="G14" s="445">
        <f t="shared" si="3"/>
        <v>-2.1170761001188643E-2</v>
      </c>
      <c r="H14" s="445">
        <f t="shared" si="4"/>
        <v>-3.4097404345830133E-2</v>
      </c>
      <c r="I14" s="984" t="s">
        <v>53</v>
      </c>
      <c r="J14" s="431">
        <v>-150</v>
      </c>
      <c r="K14" s="432">
        <f t="shared" si="5"/>
        <v>-589</v>
      </c>
      <c r="L14" s="432">
        <f t="shared" si="6"/>
        <v>0</v>
      </c>
      <c r="M14" s="432">
        <f t="shared" si="7"/>
        <v>-100</v>
      </c>
      <c r="N14" s="432">
        <f t="shared" si="8"/>
        <v>-50</v>
      </c>
      <c r="O14" s="432">
        <f t="shared" si="9"/>
        <v>-150</v>
      </c>
      <c r="P14" s="432">
        <f t="shared" si="10"/>
        <v>0</v>
      </c>
      <c r="Q14" s="432">
        <f t="shared" si="11"/>
        <v>-300</v>
      </c>
      <c r="R14" s="432">
        <f t="shared" si="12"/>
        <v>-99</v>
      </c>
      <c r="S14" s="432">
        <f t="shared" si="13"/>
        <v>0</v>
      </c>
      <c r="T14" s="432">
        <f t="shared" si="14"/>
        <v>0</v>
      </c>
      <c r="U14" s="432">
        <f t="shared" si="15"/>
        <v>-300</v>
      </c>
      <c r="V14" s="432">
        <f t="shared" si="16"/>
        <v>0</v>
      </c>
      <c r="W14" s="431">
        <f t="shared" si="17"/>
        <v>-1588</v>
      </c>
      <c r="X14" s="432">
        <f t="shared" si="18"/>
        <v>204.1459185855642</v>
      </c>
      <c r="Y14" s="432">
        <f t="shared" si="19"/>
        <v>212.00000000000045</v>
      </c>
      <c r="Z14" s="433">
        <f t="shared" si="20"/>
        <v>-0.11777777777777799</v>
      </c>
      <c r="AA14" s="814">
        <f t="shared" si="21"/>
        <v>-1800.0000000000005</v>
      </c>
      <c r="AB14" s="813">
        <f t="shared" si="22"/>
        <v>-132.33333333333334</v>
      </c>
      <c r="AD14" s="48" t="s">
        <v>54</v>
      </c>
      <c r="AE14" s="45" t="s">
        <v>55</v>
      </c>
      <c r="AF14" s="928">
        <f t="shared" si="23"/>
        <v>57074</v>
      </c>
      <c r="AG14" s="443">
        <f t="shared" si="24"/>
        <v>44496</v>
      </c>
      <c r="AH14" s="443">
        <f t="shared" si="25"/>
        <v>12578</v>
      </c>
      <c r="AI14" s="445">
        <f t="shared" si="26"/>
        <v>5.0776934973120261E-2</v>
      </c>
    </row>
    <row r="15" spans="2:35" ht="13.15" customHeight="1" x14ac:dyDescent="0.4">
      <c r="B15" s="464"/>
      <c r="C15" s="464"/>
      <c r="D15" s="45"/>
      <c r="E15" s="465"/>
      <c r="F15" s="45"/>
      <c r="G15" s="445">
        <f t="shared" si="3"/>
        <v>1.6962842946730596E-2</v>
      </c>
      <c r="H15" s="445">
        <f t="shared" si="4"/>
        <v>1.37980686440012E-2</v>
      </c>
      <c r="I15" s="982" t="s">
        <v>56</v>
      </c>
      <c r="J15" s="431">
        <v>100</v>
      </c>
      <c r="K15" s="432">
        <f t="shared" si="5"/>
        <v>67.61</v>
      </c>
      <c r="L15" s="432">
        <f t="shared" si="6"/>
        <v>70.84</v>
      </c>
      <c r="M15" s="432">
        <f t="shared" si="7"/>
        <v>80.83</v>
      </c>
      <c r="N15" s="432">
        <f t="shared" si="8"/>
        <v>0</v>
      </c>
      <c r="O15" s="432">
        <f t="shared" si="9"/>
        <v>0</v>
      </c>
      <c r="P15" s="432">
        <f t="shared" si="10"/>
        <v>87.1</v>
      </c>
      <c r="Q15" s="432">
        <f t="shared" si="11"/>
        <v>0</v>
      </c>
      <c r="R15" s="432">
        <f t="shared" si="12"/>
        <v>0</v>
      </c>
      <c r="S15" s="432">
        <f t="shared" si="13"/>
        <v>14.48</v>
      </c>
      <c r="T15" s="432">
        <f t="shared" si="14"/>
        <v>0</v>
      </c>
      <c r="U15" s="432">
        <f t="shared" si="15"/>
        <v>279.8</v>
      </c>
      <c r="V15" s="432">
        <f t="shared" si="16"/>
        <v>41.95</v>
      </c>
      <c r="W15" s="431">
        <f t="shared" si="17"/>
        <v>642.61000000000013</v>
      </c>
      <c r="X15" s="432">
        <f t="shared" si="18"/>
        <v>-94.147279057042809</v>
      </c>
      <c r="Y15" s="432">
        <f t="shared" si="19"/>
        <v>-557.3900000000001</v>
      </c>
      <c r="Z15" s="433">
        <f t="shared" si="20"/>
        <v>-0.46449166666666664</v>
      </c>
      <c r="AA15" s="814">
        <f t="shared" si="21"/>
        <v>1200.0000000000002</v>
      </c>
      <c r="AB15" s="813">
        <f t="shared" si="22"/>
        <v>53.550833333333344</v>
      </c>
      <c r="AD15" s="48" t="s">
        <v>57</v>
      </c>
      <c r="AE15" s="45" t="s">
        <v>58</v>
      </c>
      <c r="AF15" s="928">
        <f t="shared" si="23"/>
        <v>54316</v>
      </c>
      <c r="AG15" s="443">
        <f t="shared" si="24"/>
        <v>39743</v>
      </c>
      <c r="AH15" s="443">
        <f t="shared" si="25"/>
        <v>14573</v>
      </c>
      <c r="AI15" s="445"/>
    </row>
    <row r="16" spans="2:35" ht="13.15" customHeight="1" x14ac:dyDescent="0.4">
      <c r="B16" s="464"/>
      <c r="C16" s="464"/>
      <c r="D16" s="45"/>
      <c r="E16" s="465"/>
      <c r="F16" s="45"/>
      <c r="G16" s="445">
        <f t="shared" si="3"/>
        <v>6.4312185812175071E-2</v>
      </c>
      <c r="H16" s="445">
        <f t="shared" si="4"/>
        <v>5.7544737812861936E-2</v>
      </c>
      <c r="I16" s="982" t="s">
        <v>59</v>
      </c>
      <c r="J16" s="431">
        <v>500</v>
      </c>
      <c r="K16" s="432">
        <f t="shared" si="5"/>
        <v>150</v>
      </c>
      <c r="L16" s="432">
        <f t="shared" si="6"/>
        <v>335</v>
      </c>
      <c r="M16" s="432">
        <f t="shared" si="7"/>
        <v>0</v>
      </c>
      <c r="N16" s="432">
        <f t="shared" si="8"/>
        <v>0</v>
      </c>
      <c r="O16" s="432">
        <f t="shared" si="9"/>
        <v>225</v>
      </c>
      <c r="P16" s="432">
        <f t="shared" si="10"/>
        <v>800</v>
      </c>
      <c r="Q16" s="432">
        <f t="shared" si="11"/>
        <v>0</v>
      </c>
      <c r="R16" s="432">
        <f t="shared" si="12"/>
        <v>75</v>
      </c>
      <c r="S16" s="432">
        <f t="shared" si="13"/>
        <v>0</v>
      </c>
      <c r="T16" s="432">
        <f t="shared" si="14"/>
        <v>695</v>
      </c>
      <c r="U16" s="432">
        <f t="shared" si="15"/>
        <v>0</v>
      </c>
      <c r="V16" s="432">
        <f t="shared" si="16"/>
        <v>400</v>
      </c>
      <c r="W16" s="431">
        <f t="shared" si="17"/>
        <v>2680</v>
      </c>
      <c r="X16" s="432">
        <f t="shared" si="18"/>
        <v>-280.48639528521403</v>
      </c>
      <c r="Y16" s="432">
        <f t="shared" si="19"/>
        <v>-3320.0000000000009</v>
      </c>
      <c r="Z16" s="433">
        <f t="shared" si="20"/>
        <v>-0.55333333333333345</v>
      </c>
      <c r="AA16" s="814">
        <f t="shared" si="21"/>
        <v>6000.0000000000009</v>
      </c>
      <c r="AB16" s="813">
        <f t="shared" si="22"/>
        <v>223.33333333333334</v>
      </c>
      <c r="AD16" s="48" t="s">
        <v>60</v>
      </c>
      <c r="AE16" s="45" t="s">
        <v>61</v>
      </c>
      <c r="AF16" s="928">
        <f t="shared" si="23"/>
        <v>20273</v>
      </c>
      <c r="AG16" s="443">
        <f t="shared" si="24"/>
        <v>9394</v>
      </c>
      <c r="AH16" s="443">
        <f t="shared" si="25"/>
        <v>10879</v>
      </c>
    </row>
    <row r="17" spans="2:36" ht="13.5" customHeight="1" x14ac:dyDescent="0.4">
      <c r="B17" s="464"/>
      <c r="C17" s="464"/>
      <c r="E17" s="465">
        <v>0</v>
      </c>
      <c r="F17" s="49"/>
      <c r="G17" s="445">
        <f t="shared" si="3"/>
        <v>2.5596889875492568E-2</v>
      </c>
      <c r="H17" s="445">
        <f t="shared" si="4"/>
        <v>2.5766300513221763E-2</v>
      </c>
      <c r="I17" s="982" t="s">
        <v>62</v>
      </c>
      <c r="J17" s="431">
        <v>50</v>
      </c>
      <c r="K17" s="432">
        <f t="shared" si="5"/>
        <v>75</v>
      </c>
      <c r="L17" s="432">
        <f t="shared" si="6"/>
        <v>25</v>
      </c>
      <c r="M17" s="432">
        <f t="shared" si="7"/>
        <v>30</v>
      </c>
      <c r="N17" s="432">
        <f t="shared" si="8"/>
        <v>25</v>
      </c>
      <c r="O17" s="432">
        <f t="shared" si="9"/>
        <v>60</v>
      </c>
      <c r="P17" s="432">
        <f t="shared" si="10"/>
        <v>55</v>
      </c>
      <c r="Q17" s="432">
        <f t="shared" si="11"/>
        <v>135</v>
      </c>
      <c r="R17" s="432">
        <f t="shared" si="12"/>
        <v>25</v>
      </c>
      <c r="S17" s="432">
        <f t="shared" si="13"/>
        <v>310</v>
      </c>
      <c r="T17" s="432">
        <f t="shared" si="14"/>
        <v>350</v>
      </c>
      <c r="U17" s="432">
        <f t="shared" si="15"/>
        <v>20</v>
      </c>
      <c r="V17" s="432">
        <f t="shared" si="16"/>
        <v>90</v>
      </c>
      <c r="W17" s="431">
        <f t="shared" si="17"/>
        <v>1200</v>
      </c>
      <c r="X17" s="432">
        <f t="shared" si="18"/>
        <v>21.951360471478594</v>
      </c>
      <c r="Y17" s="432">
        <f t="shared" si="19"/>
        <v>599.99999999999989</v>
      </c>
      <c r="Z17" s="433">
        <f t="shared" si="20"/>
        <v>0.99999999999999967</v>
      </c>
      <c r="AA17" s="814">
        <f t="shared" si="21"/>
        <v>600.00000000000011</v>
      </c>
      <c r="AB17" s="813">
        <f t="shared" si="22"/>
        <v>100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3"/>
        <v>1</v>
      </c>
      <c r="H18" s="445">
        <f t="shared" si="4"/>
        <v>1</v>
      </c>
      <c r="I18" s="979" t="s">
        <v>63</v>
      </c>
      <c r="J18" s="926">
        <f t="shared" ref="J18:W18" si="27">SUM(J6:J17)</f>
        <v>4655</v>
      </c>
      <c r="K18" s="985">
        <f t="shared" si="27"/>
        <v>4298.8600000000006</v>
      </c>
      <c r="L18" s="985">
        <f t="shared" si="27"/>
        <v>2343.84</v>
      </c>
      <c r="M18" s="985">
        <f t="shared" si="27"/>
        <v>1707.83</v>
      </c>
      <c r="N18" s="985">
        <f t="shared" si="27"/>
        <v>1968</v>
      </c>
      <c r="O18" s="985">
        <f t="shared" si="27"/>
        <v>4092</v>
      </c>
      <c r="P18" s="985">
        <f t="shared" si="27"/>
        <v>7144.3</v>
      </c>
      <c r="Q18" s="985">
        <f t="shared" si="27"/>
        <v>5700</v>
      </c>
      <c r="R18" s="985">
        <f t="shared" si="27"/>
        <v>1627.4</v>
      </c>
      <c r="S18" s="985">
        <f t="shared" si="27"/>
        <v>5108.4799999999996</v>
      </c>
      <c r="T18" s="985">
        <f t="shared" si="27"/>
        <v>3092</v>
      </c>
      <c r="U18" s="985">
        <f t="shared" si="27"/>
        <v>4094.8</v>
      </c>
      <c r="V18" s="985">
        <f t="shared" si="27"/>
        <v>5394.95</v>
      </c>
      <c r="W18" s="985">
        <f t="shared" si="27"/>
        <v>46572.46</v>
      </c>
      <c r="X18" s="432">
        <f t="shared" si="18"/>
        <v>-940.37834010534243</v>
      </c>
      <c r="Y18" s="820">
        <f t="shared" si="19"/>
        <v>-9287.5400000000154</v>
      </c>
      <c r="Z18" s="833">
        <f t="shared" si="20"/>
        <v>-0.16626459004654517</v>
      </c>
      <c r="AA18" s="814">
        <f t="shared" si="21"/>
        <v>55860.000000000015</v>
      </c>
      <c r="AB18" s="834">
        <f t="shared" si="22"/>
        <v>3881.0383333333334</v>
      </c>
      <c r="AE18" s="928">
        <f>AF18-W45</f>
        <v>-81012.719999999972</v>
      </c>
      <c r="AF18" s="928">
        <f>SUM(AF5:AF16)</f>
        <v>634920.07192307687</v>
      </c>
      <c r="AG18" s="928">
        <f>SUM(AG5:AG16)</f>
        <v>449024.93500000006</v>
      </c>
      <c r="AH18" s="928">
        <f>SUM(AH5:AH16)</f>
        <v>185895.13692307691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18</v>
      </c>
      <c r="J19" s="441">
        <f>J18*12</f>
        <v>55860</v>
      </c>
      <c r="K19" s="671">
        <f t="shared" ref="K19:V19" si="28">K18/K3</f>
        <v>0.95189368324003454</v>
      </c>
      <c r="L19" s="671">
        <f t="shared" si="28"/>
        <v>0.68224677384544807</v>
      </c>
      <c r="M19" s="671">
        <f t="shared" si="28"/>
        <v>0.31410457136163872</v>
      </c>
      <c r="N19" s="671">
        <f t="shared" si="28"/>
        <v>0.38987741308951357</v>
      </c>
      <c r="O19" s="671">
        <f t="shared" si="28"/>
        <v>0.84794349845180317</v>
      </c>
      <c r="P19" s="671">
        <f t="shared" si="28"/>
        <v>2.4831930656836869</v>
      </c>
      <c r="Q19" s="671">
        <f t="shared" si="28"/>
        <v>2.4046034438156774</v>
      </c>
      <c r="R19" s="671">
        <f t="shared" si="28"/>
        <v>0.29232504725079833</v>
      </c>
      <c r="S19" s="671">
        <f t="shared" si="28"/>
        <v>1.5239792821941924</v>
      </c>
      <c r="T19" s="671">
        <f t="shared" si="28"/>
        <v>0.48522480573849552</v>
      </c>
      <c r="U19" s="671">
        <f t="shared" si="28"/>
        <v>0.71544418822080802</v>
      </c>
      <c r="V19" s="671">
        <f t="shared" si="28"/>
        <v>0.85156596633637049</v>
      </c>
      <c r="W19" s="671">
        <f>W18/AA18</f>
        <v>0.83373540995345485</v>
      </c>
      <c r="X19" s="583"/>
      <c r="Y19" s="832"/>
      <c r="AB19" s="445"/>
    </row>
    <row r="20" spans="2:36" ht="15.75" customHeight="1" thickBot="1" x14ac:dyDescent="0.45">
      <c r="B20" s="427" t="s">
        <v>64</v>
      </c>
      <c r="C20" s="427" t="s">
        <v>65</v>
      </c>
      <c r="D20" s="548" t="s">
        <v>66</v>
      </c>
      <c r="E20" s="751"/>
      <c r="F20" s="763" t="s">
        <v>67</v>
      </c>
      <c r="I20" s="968" t="s">
        <v>68</v>
      </c>
      <c r="J20" s="969"/>
      <c r="K20" s="970">
        <f t="shared" ref="K20:W20" si="29">K125</f>
        <v>3015.6963999999998</v>
      </c>
      <c r="L20" s="970">
        <f t="shared" si="29"/>
        <v>1744.5316</v>
      </c>
      <c r="M20" s="970">
        <f t="shared" si="29"/>
        <v>1469.3717000000001</v>
      </c>
      <c r="N20" s="970">
        <f t="shared" si="29"/>
        <v>1679.4</v>
      </c>
      <c r="O20" s="970">
        <f t="shared" si="29"/>
        <v>3655.1</v>
      </c>
      <c r="P20" s="970">
        <f t="shared" si="29"/>
        <v>5445.2390000000005</v>
      </c>
      <c r="Q20" s="970">
        <f t="shared" si="29"/>
        <v>4695</v>
      </c>
      <c r="R20" s="970">
        <f t="shared" si="29"/>
        <v>1377.15</v>
      </c>
      <c r="S20" s="970">
        <f t="shared" si="29"/>
        <v>3593.0351999999998</v>
      </c>
      <c r="T20" s="970">
        <f t="shared" si="29"/>
        <v>2653.1</v>
      </c>
      <c r="U20" s="970">
        <f t="shared" si="29"/>
        <v>3760.252</v>
      </c>
      <c r="V20" s="970">
        <f t="shared" si="29"/>
        <v>4416.6805000000004</v>
      </c>
      <c r="W20" s="971">
        <f t="shared" si="29"/>
        <v>37504.556400000001</v>
      </c>
      <c r="X20" s="583">
        <f>W20/AB3</f>
        <v>3125.3797</v>
      </c>
      <c r="Y20" s="832"/>
      <c r="Z20" s="1225" t="s">
        <v>69</v>
      </c>
      <c r="AA20" s="1226"/>
      <c r="AB20" s="954">
        <f ca="1">SUM(W18)++D8+(AB18*(12-AB3))+G65</f>
        <v>55197.069374999999</v>
      </c>
      <c r="AD20" s="469" t="s">
        <v>70</v>
      </c>
      <c r="AE20" s="469"/>
      <c r="AF20" s="469" t="s">
        <v>71</v>
      </c>
      <c r="AG20" s="469" t="s">
        <v>72</v>
      </c>
      <c r="AH20" s="469" t="s">
        <v>73</v>
      </c>
      <c r="AI20" s="469" t="s">
        <v>74</v>
      </c>
      <c r="AJ20" s="469" t="s">
        <v>75</v>
      </c>
    </row>
    <row r="21" spans="2:36" ht="13.9" customHeight="1" x14ac:dyDescent="0.4">
      <c r="B21" s="427"/>
      <c r="C21" s="427"/>
      <c r="D21" s="470"/>
      <c r="E21" s="751"/>
      <c r="F21" s="462"/>
      <c r="I21" s="46" t="s">
        <v>76</v>
      </c>
      <c r="J21" s="441"/>
      <c r="K21" s="918">
        <f t="shared" ref="K21:W21" si="30">K20/K18</f>
        <v>0.7015107260994774</v>
      </c>
      <c r="L21" s="918">
        <f t="shared" si="30"/>
        <v>0.74430490135845451</v>
      </c>
      <c r="M21" s="918">
        <f t="shared" si="30"/>
        <v>0.86037351492830094</v>
      </c>
      <c r="N21" s="918">
        <f t="shared" si="30"/>
        <v>0.8533536585365854</v>
      </c>
      <c r="O21" s="918">
        <f t="shared" si="30"/>
        <v>0.89323069403714561</v>
      </c>
      <c r="P21" s="918">
        <f t="shared" si="30"/>
        <v>0.76217949974105237</v>
      </c>
      <c r="Q21" s="918">
        <f t="shared" si="30"/>
        <v>0.8236842105263158</v>
      </c>
      <c r="R21" s="918">
        <f t="shared" si="30"/>
        <v>0.84622711072876977</v>
      </c>
      <c r="S21" s="918">
        <f t="shared" si="30"/>
        <v>0.70334721874216988</v>
      </c>
      <c r="T21" s="918">
        <f t="shared" si="30"/>
        <v>0.85805304010349281</v>
      </c>
      <c r="U21" s="918">
        <f t="shared" si="30"/>
        <v>0.91829930643743274</v>
      </c>
      <c r="V21" s="918">
        <f t="shared" si="30"/>
        <v>0.81866940379428921</v>
      </c>
      <c r="W21" s="918">
        <f t="shared" si="30"/>
        <v>0.80529472568122884</v>
      </c>
      <c r="X21" s="583"/>
      <c r="Y21" s="832"/>
      <c r="AB21" s="445"/>
    </row>
    <row r="22" spans="2:36" ht="14.25" customHeight="1" thickBot="1" x14ac:dyDescent="0.45">
      <c r="B22" s="427"/>
      <c r="C22" s="427"/>
      <c r="D22" s="548"/>
      <c r="E22" s="751"/>
      <c r="F22" s="763"/>
      <c r="I22" s="919" t="s">
        <v>77</v>
      </c>
      <c r="J22" s="920"/>
      <c r="K22" s="921">
        <f t="shared" ref="K22:V22" si="31">SUM((K128+K129)*-25%)+(K128+K129)+(K130+K131+K132+K133+K134+K135+K136)</f>
        <v>3437.4575</v>
      </c>
      <c r="L22" s="921">
        <f t="shared" si="31"/>
        <v>1804.13</v>
      </c>
      <c r="M22" s="921">
        <f t="shared" si="31"/>
        <v>1361.08</v>
      </c>
      <c r="N22" s="921">
        <f t="shared" si="31"/>
        <v>1812.25</v>
      </c>
      <c r="O22" s="921">
        <f t="shared" si="31"/>
        <v>3777.5</v>
      </c>
      <c r="P22" s="921">
        <f t="shared" si="31"/>
        <v>6422.4750000000004</v>
      </c>
      <c r="Q22" s="921">
        <f t="shared" si="31"/>
        <v>5158.75</v>
      </c>
      <c r="R22" s="921">
        <f t="shared" si="31"/>
        <v>1475.55</v>
      </c>
      <c r="S22" s="921">
        <f t="shared" si="31"/>
        <v>4156.3600000000006</v>
      </c>
      <c r="T22" s="921">
        <f t="shared" si="31"/>
        <v>2461.5</v>
      </c>
      <c r="U22" s="921">
        <f t="shared" si="31"/>
        <v>3702.35</v>
      </c>
      <c r="V22" s="921">
        <f t="shared" si="31"/>
        <v>4963.4624999999996</v>
      </c>
      <c r="W22" s="921">
        <f>SUM((W128+W129)*-30%)+(W128+W129)+(W130+W131+W132+W133+W134+W135+W136)</f>
        <v>39324.945999999996</v>
      </c>
      <c r="X22" s="583">
        <f>W22/AB3</f>
        <v>3277.078833333333</v>
      </c>
      <c r="Y22" s="832"/>
      <c r="AB22" s="445"/>
    </row>
    <row r="23" spans="2:36" ht="13.9" customHeight="1" x14ac:dyDescent="0.4">
      <c r="B23" s="427" t="s">
        <v>78</v>
      </c>
      <c r="C23" s="427" t="s">
        <v>65</v>
      </c>
      <c r="D23" s="48"/>
      <c r="E23" s="751"/>
      <c r="F23" s="763"/>
      <c r="I23" s="922" t="s">
        <v>79</v>
      </c>
      <c r="J23" s="923"/>
      <c r="K23" s="925">
        <f t="shared" ref="K23:W23" si="32">K22/K18</f>
        <v>0.79962071339843577</v>
      </c>
      <c r="L23" s="925">
        <f t="shared" si="32"/>
        <v>0.76973257560243025</v>
      </c>
      <c r="M23" s="925">
        <f t="shared" si="32"/>
        <v>0.79696456907303415</v>
      </c>
      <c r="N23" s="925">
        <f t="shared" si="32"/>
        <v>0.92085873983739841</v>
      </c>
      <c r="O23" s="925">
        <f t="shared" si="32"/>
        <v>0.92314271749755616</v>
      </c>
      <c r="P23" s="925">
        <f t="shared" si="32"/>
        <v>0.89896490908836413</v>
      </c>
      <c r="Q23" s="925">
        <f t="shared" si="32"/>
        <v>0.90504385964912282</v>
      </c>
      <c r="R23" s="925">
        <f t="shared" si="32"/>
        <v>0.9066916554012534</v>
      </c>
      <c r="S23" s="925">
        <f t="shared" si="32"/>
        <v>0.81361970684039109</v>
      </c>
      <c r="T23" s="925">
        <f t="shared" si="32"/>
        <v>0.79608667529107369</v>
      </c>
      <c r="U23" s="925">
        <f t="shared" si="32"/>
        <v>0.90415893328123464</v>
      </c>
      <c r="V23" s="925">
        <f t="shared" si="32"/>
        <v>0.92002011140047635</v>
      </c>
      <c r="W23" s="924">
        <f t="shared" si="32"/>
        <v>0.8443819802518483</v>
      </c>
      <c r="X23" s="583"/>
      <c r="Y23" s="832"/>
      <c r="AB23" s="445"/>
    </row>
    <row r="24" spans="2:36" ht="13.9" customHeight="1" x14ac:dyDescent="0.4">
      <c r="B24" s="427" t="s">
        <v>80</v>
      </c>
      <c r="C24" s="427" t="s">
        <v>65</v>
      </c>
      <c r="D24" s="470"/>
      <c r="E24" s="751">
        <v>100</v>
      </c>
      <c r="F24" s="45" t="s">
        <v>81</v>
      </c>
      <c r="I24" s="446" t="s">
        <v>82</v>
      </c>
      <c r="J24" s="850" t="s">
        <v>564</v>
      </c>
      <c r="K24" s="917">
        <f t="shared" ref="K24:W24" si="33">IFERROR((K18-K30)/K31,0)</f>
        <v>0.35052143252005813</v>
      </c>
      <c r="L24" s="917">
        <f t="shared" si="33"/>
        <v>-0.25876274853924813</v>
      </c>
      <c r="M24" s="917">
        <f t="shared" si="33"/>
        <v>-2.1185197043677818E-2</v>
      </c>
      <c r="N24" s="917">
        <f t="shared" si="33"/>
        <v>-1.0354698383771723</v>
      </c>
      <c r="O24" s="917">
        <f t="shared" si="33"/>
        <v>-0.11156997567461441</v>
      </c>
      <c r="P24" s="917">
        <f t="shared" si="33"/>
        <v>1.7737339480331371</v>
      </c>
      <c r="Q24" s="917">
        <f t="shared" si="33"/>
        <v>1.5760265975623646</v>
      </c>
      <c r="R24" s="917">
        <f t="shared" si="33"/>
        <v>-0.3460699317730549</v>
      </c>
      <c r="S24" s="917">
        <f t="shared" si="33"/>
        <v>0.74165693373822295</v>
      </c>
      <c r="T24" s="917">
        <f t="shared" si="33"/>
        <v>-1.4509406323960703</v>
      </c>
      <c r="U24" s="917">
        <f t="shared" si="33"/>
        <v>-0.14693983195954277</v>
      </c>
      <c r="V24" s="917">
        <f t="shared" si="33"/>
        <v>0.33178988034502899</v>
      </c>
      <c r="W24" s="917">
        <f t="shared" si="33"/>
        <v>7.0822007752521565E-2</v>
      </c>
      <c r="X24" s="583"/>
      <c r="Y24" s="585"/>
      <c r="Z24" s="45" t="s">
        <v>84</v>
      </c>
      <c r="AB24" s="817">
        <f>SUM(T30+U30+V30+K18+S30+R30)/6</f>
        <v>4403.8433333333332</v>
      </c>
    </row>
    <row r="25" spans="2:36" ht="13.9" customHeight="1" x14ac:dyDescent="0.4">
      <c r="B25" s="427" t="s">
        <v>85</v>
      </c>
      <c r="C25" s="427" t="s">
        <v>65</v>
      </c>
      <c r="E25" s="751">
        <v>15</v>
      </c>
      <c r="F25" s="45" t="s">
        <v>86</v>
      </c>
      <c r="I25" s="446"/>
      <c r="J25" s="441"/>
      <c r="K25" s="441"/>
      <c r="L25" s="441"/>
      <c r="V25" s="432">
        <v>3692</v>
      </c>
      <c r="W25" s="432">
        <f>V18-V25</f>
        <v>1702.9499999999998</v>
      </c>
      <c r="X25" s="583"/>
      <c r="Y25" s="585"/>
      <c r="Z25" s="45"/>
      <c r="AB25" s="817"/>
    </row>
    <row r="26" spans="2:36" ht="13.9" customHeight="1" x14ac:dyDescent="0.4">
      <c r="B26" s="427" t="s">
        <v>87</v>
      </c>
      <c r="C26" s="427" t="s">
        <v>65</v>
      </c>
      <c r="D26" s="470"/>
      <c r="E26" s="751"/>
      <c r="F26" s="763"/>
      <c r="I26" s="446"/>
      <c r="J26" s="850" t="s">
        <v>88</v>
      </c>
      <c r="K26" s="443">
        <f t="shared" ref="K26:V26" si="34">SUM(K20/K4)/8</f>
        <v>16.389654347826085</v>
      </c>
      <c r="L26" s="443">
        <f t="shared" si="34"/>
        <v>10.384116666666667</v>
      </c>
      <c r="M26" s="443">
        <f t="shared" si="34"/>
        <v>8.7462601190476192</v>
      </c>
      <c r="N26" s="443">
        <f t="shared" si="34"/>
        <v>9.5420454545454554</v>
      </c>
      <c r="O26" s="443">
        <f t="shared" si="34"/>
        <v>19.864673913043479</v>
      </c>
      <c r="P26" s="443">
        <f t="shared" si="34"/>
        <v>34.032743750000002</v>
      </c>
      <c r="Q26" s="443">
        <f t="shared" si="34"/>
        <v>25.516304347826086</v>
      </c>
      <c r="R26" s="443">
        <f t="shared" si="34"/>
        <v>7.8247159090909095</v>
      </c>
      <c r="S26" s="443">
        <f t="shared" si="34"/>
        <v>21.387114285714283</v>
      </c>
      <c r="T26" s="443">
        <f t="shared" si="34"/>
        <v>14.419021739130434</v>
      </c>
      <c r="U26" s="443">
        <f t="shared" si="34"/>
        <v>22.38245238095238</v>
      </c>
      <c r="V26" s="443">
        <f t="shared" si="34"/>
        <v>25.09477556818182</v>
      </c>
      <c r="W26" s="1041">
        <f>AVERAGE(K26:V26)</f>
        <v>17.965323206835439</v>
      </c>
      <c r="X26" s="583"/>
      <c r="Y26" s="585"/>
      <c r="Z26" s="45"/>
      <c r="AB26" s="817"/>
    </row>
    <row r="27" spans="2:36" ht="13.9" customHeight="1" x14ac:dyDescent="0.4">
      <c r="B27" s="427" t="s">
        <v>89</v>
      </c>
      <c r="C27" s="427" t="s">
        <v>65</v>
      </c>
      <c r="D27" s="470"/>
      <c r="E27" s="751">
        <v>0</v>
      </c>
      <c r="F27" s="763"/>
      <c r="I27" s="446"/>
      <c r="J27" s="850" t="s">
        <v>90</v>
      </c>
      <c r="K27" s="443">
        <f t="shared" ref="K27:V27" si="35">K20/K4</f>
        <v>131.11723478260868</v>
      </c>
      <c r="L27" s="443">
        <f t="shared" si="35"/>
        <v>83.072933333333339</v>
      </c>
      <c r="M27" s="443">
        <f t="shared" si="35"/>
        <v>69.970080952380954</v>
      </c>
      <c r="N27" s="443">
        <f t="shared" si="35"/>
        <v>76.336363636363643</v>
      </c>
      <c r="O27" s="443">
        <f t="shared" si="35"/>
        <v>158.91739130434783</v>
      </c>
      <c r="P27" s="443">
        <f t="shared" si="35"/>
        <v>272.26195000000001</v>
      </c>
      <c r="Q27" s="443">
        <f t="shared" si="35"/>
        <v>204.13043478260869</v>
      </c>
      <c r="R27" s="443">
        <f t="shared" si="35"/>
        <v>62.597727272727276</v>
      </c>
      <c r="S27" s="443">
        <f t="shared" si="35"/>
        <v>171.09691428571426</v>
      </c>
      <c r="T27" s="443">
        <f t="shared" si="35"/>
        <v>115.35217391304347</v>
      </c>
      <c r="U27" s="443">
        <f t="shared" si="35"/>
        <v>179.05961904761904</v>
      </c>
      <c r="V27" s="443">
        <f t="shared" si="35"/>
        <v>200.75820454545456</v>
      </c>
      <c r="W27" s="443">
        <f>AVERAGE(K27:V27)</f>
        <v>143.72258565468351</v>
      </c>
      <c r="X27" s="583"/>
      <c r="Y27" s="585"/>
      <c r="Z27" s="45"/>
      <c r="AB27" s="817"/>
    </row>
    <row r="28" spans="2:36" ht="13.9" customHeight="1" x14ac:dyDescent="0.4">
      <c r="B28" s="427"/>
      <c r="C28" s="427"/>
      <c r="D28" s="470"/>
      <c r="E28" s="751">
        <v>0</v>
      </c>
      <c r="F28" s="763">
        <v>45596</v>
      </c>
      <c r="I28" s="446"/>
      <c r="J28" s="441"/>
      <c r="L28" s="454"/>
      <c r="M28" s="454"/>
      <c r="N28" s="454"/>
      <c r="O28" s="454"/>
      <c r="P28" s="454"/>
      <c r="X28" s="583"/>
      <c r="Y28" s="585"/>
      <c r="Z28" s="45"/>
      <c r="AB28" s="817"/>
    </row>
    <row r="29" spans="2:36" ht="13.9" customHeight="1" x14ac:dyDescent="0.4">
      <c r="B29" s="427" t="s">
        <v>92</v>
      </c>
      <c r="C29" s="427" t="s">
        <v>65</v>
      </c>
      <c r="D29" s="548"/>
      <c r="E29" s="751"/>
      <c r="F29" s="763" t="s">
        <v>93</v>
      </c>
      <c r="I29" s="446"/>
      <c r="J29" s="441"/>
      <c r="L29" s="454"/>
      <c r="M29" s="454"/>
      <c r="N29" s="454"/>
      <c r="O29" s="454"/>
      <c r="P29" s="454"/>
      <c r="X29" s="583"/>
      <c r="Y29" s="1063"/>
      <c r="Z29" s="45"/>
      <c r="AB29" s="817"/>
    </row>
    <row r="30" spans="2:36" ht="13.9" customHeight="1" x14ac:dyDescent="0.4">
      <c r="B30" s="427" t="s">
        <v>97</v>
      </c>
      <c r="C30" s="427" t="s">
        <v>65</v>
      </c>
      <c r="D30" s="548"/>
      <c r="E30" s="751"/>
      <c r="F30" s="763" t="s">
        <v>98</v>
      </c>
      <c r="I30" s="541" t="s">
        <v>99</v>
      </c>
      <c r="J30" s="584" t="s">
        <v>100</v>
      </c>
      <c r="K30" s="558">
        <v>2422</v>
      </c>
      <c r="L30" s="558">
        <v>3078.1</v>
      </c>
      <c r="M30" s="558">
        <v>1866.63</v>
      </c>
      <c r="N30" s="558">
        <v>5388.54</v>
      </c>
      <c r="O30" s="558">
        <v>4515.34</v>
      </c>
      <c r="P30" s="558">
        <v>2123.48</v>
      </c>
      <c r="Q30" s="558">
        <v>1272.5</v>
      </c>
      <c r="R30" s="558">
        <v>3673.58</v>
      </c>
      <c r="S30" s="558">
        <v>3203.46</v>
      </c>
      <c r="T30" s="558">
        <v>7757.34</v>
      </c>
      <c r="U30" s="558">
        <v>4832.82</v>
      </c>
      <c r="V30" s="558">
        <v>2657</v>
      </c>
      <c r="W30" s="431">
        <f t="shared" ref="W30:W41" si="36">SUM(K30:V30)</f>
        <v>42790.79</v>
      </c>
      <c r="X30" s="583">
        <f t="shared" ref="X30:X40" si="37">W30-W31</f>
        <v>-10606.029999999992</v>
      </c>
      <c r="Y30" s="585">
        <f t="shared" ref="Y30:Y40" si="38">X30/W31</f>
        <v>-0.19862662233443851</v>
      </c>
      <c r="Z30" s="45" t="s">
        <v>96</v>
      </c>
      <c r="AB30" s="817"/>
    </row>
    <row r="31" spans="2:36" ht="13.9" customHeight="1" x14ac:dyDescent="0.4">
      <c r="B31" s="427" t="s">
        <v>101</v>
      </c>
      <c r="C31" s="427" t="s">
        <v>65</v>
      </c>
      <c r="D31" s="470"/>
      <c r="E31" s="751"/>
      <c r="F31" s="763" t="s">
        <v>102</v>
      </c>
      <c r="I31" s="541" t="s">
        <v>103</v>
      </c>
      <c r="J31" s="584" t="s">
        <v>26</v>
      </c>
      <c r="K31" s="558">
        <v>5354.48</v>
      </c>
      <c r="L31" s="558">
        <v>2837.58</v>
      </c>
      <c r="M31" s="558">
        <v>7495.8</v>
      </c>
      <c r="N31" s="558">
        <v>3303.37</v>
      </c>
      <c r="O31" s="558">
        <v>3794.39</v>
      </c>
      <c r="P31" s="558">
        <v>2830.65</v>
      </c>
      <c r="Q31" s="558">
        <v>2809.28</v>
      </c>
      <c r="R31" s="558">
        <v>5912.62</v>
      </c>
      <c r="S31" s="558">
        <v>2568.6</v>
      </c>
      <c r="T31" s="558">
        <v>3215.39</v>
      </c>
      <c r="U31" s="558">
        <v>5022.6000000000004</v>
      </c>
      <c r="V31" s="558">
        <v>8252.06</v>
      </c>
      <c r="W31" s="431">
        <f t="shared" si="36"/>
        <v>53396.819999999992</v>
      </c>
      <c r="X31" s="583">
        <f t="shared" si="37"/>
        <v>-7930.2000000000116</v>
      </c>
      <c r="Y31" s="585">
        <f t="shared" si="38"/>
        <v>-0.12931004963228299</v>
      </c>
      <c r="Z31" s="45"/>
      <c r="AB31" s="817"/>
    </row>
    <row r="32" spans="2:36" ht="13.9" customHeight="1" x14ac:dyDescent="0.4">
      <c r="B32" s="427" t="s">
        <v>104</v>
      </c>
      <c r="C32" s="427" t="s">
        <v>65</v>
      </c>
      <c r="D32" s="470"/>
      <c r="E32" s="751"/>
      <c r="F32" s="763"/>
      <c r="I32" s="541" t="s">
        <v>105</v>
      </c>
      <c r="J32" s="584" t="s">
        <v>30</v>
      </c>
      <c r="K32" s="558">
        <v>18758.77</v>
      </c>
      <c r="L32" s="558">
        <v>3028.2</v>
      </c>
      <c r="M32" s="558">
        <v>5768.64</v>
      </c>
      <c r="N32" s="558">
        <v>7461.77</v>
      </c>
      <c r="O32" s="558">
        <v>5269.6500000000005</v>
      </c>
      <c r="P32" s="558">
        <v>2223</v>
      </c>
      <c r="Q32" s="558">
        <v>2500.94</v>
      </c>
      <c r="R32" s="558">
        <v>2796.35</v>
      </c>
      <c r="S32" s="558">
        <v>3928.56</v>
      </c>
      <c r="T32" s="558">
        <v>2389</v>
      </c>
      <c r="U32" s="558">
        <v>3577.95</v>
      </c>
      <c r="V32" s="558">
        <v>3624.19</v>
      </c>
      <c r="W32" s="431">
        <f t="shared" si="36"/>
        <v>61327.020000000004</v>
      </c>
      <c r="X32" s="583">
        <f t="shared" si="37"/>
        <v>-8338.9499999999971</v>
      </c>
      <c r="Y32" s="585">
        <f t="shared" si="38"/>
        <v>-0.11969904388039092</v>
      </c>
      <c r="Z32" s="45"/>
      <c r="AB32" s="817"/>
    </row>
    <row r="33" spans="1:28" ht="13.9" customHeight="1" x14ac:dyDescent="0.4">
      <c r="B33" s="427"/>
      <c r="C33" s="427"/>
      <c r="E33" s="751"/>
      <c r="I33" s="541" t="s">
        <v>106</v>
      </c>
      <c r="J33" s="584" t="s">
        <v>33</v>
      </c>
      <c r="K33" s="558">
        <v>1633</v>
      </c>
      <c r="L33" s="558">
        <v>3730.19</v>
      </c>
      <c r="M33" s="558">
        <v>18208.68</v>
      </c>
      <c r="N33" s="558">
        <v>3783</v>
      </c>
      <c r="O33" s="558">
        <v>3750.38</v>
      </c>
      <c r="P33" s="558">
        <v>4858.6000000000004</v>
      </c>
      <c r="Q33" s="558">
        <v>3785.35</v>
      </c>
      <c r="R33" s="558">
        <v>7391.76</v>
      </c>
      <c r="S33" s="558">
        <v>5355.23</v>
      </c>
      <c r="T33" s="558">
        <v>5201</v>
      </c>
      <c r="U33" s="558">
        <v>4340.0200000000004</v>
      </c>
      <c r="V33" s="558">
        <v>7628.76</v>
      </c>
      <c r="W33" s="431">
        <f t="shared" si="36"/>
        <v>69665.97</v>
      </c>
      <c r="X33" s="583">
        <f t="shared" si="37"/>
        <v>14664.073076923072</v>
      </c>
      <c r="Y33" s="585">
        <f t="shared" si="38"/>
        <v>0.26661031523024664</v>
      </c>
      <c r="Z33" s="45"/>
      <c r="AB33" s="817"/>
    </row>
    <row r="34" spans="1:28" ht="13.9" customHeight="1" x14ac:dyDescent="0.4">
      <c r="B34" s="464"/>
      <c r="C34" s="427"/>
      <c r="D34" s="470"/>
      <c r="E34" s="751"/>
      <c r="F34" s="763"/>
      <c r="I34" s="541" t="s">
        <v>108</v>
      </c>
      <c r="J34" s="584" t="s">
        <v>39</v>
      </c>
      <c r="K34" s="558">
        <v>7647.85</v>
      </c>
      <c r="L34" s="558">
        <v>5051.6400000000003</v>
      </c>
      <c r="M34" s="558">
        <v>4783.7469230769229</v>
      </c>
      <c r="N34" s="558">
        <v>1598.35</v>
      </c>
      <c r="O34" s="558">
        <v>1786.66</v>
      </c>
      <c r="P34" s="558">
        <v>6854.62</v>
      </c>
      <c r="Q34" s="558">
        <v>2667</v>
      </c>
      <c r="R34" s="558">
        <v>11694.07</v>
      </c>
      <c r="S34" s="558">
        <v>4126.62</v>
      </c>
      <c r="T34" s="558">
        <v>2423.69</v>
      </c>
      <c r="U34" s="558">
        <v>3332.58</v>
      </c>
      <c r="V34" s="558">
        <v>3035.07</v>
      </c>
      <c r="W34" s="431">
        <f t="shared" si="36"/>
        <v>55001.896923076929</v>
      </c>
      <c r="X34" s="583">
        <f t="shared" si="37"/>
        <v>-10181.033076923071</v>
      </c>
      <c r="Y34" s="585">
        <f t="shared" si="38"/>
        <v>-0.15619170658519141</v>
      </c>
      <c r="Z34" s="45"/>
      <c r="AB34" s="817"/>
    </row>
    <row r="35" spans="1:28" ht="13.9" customHeight="1" x14ac:dyDescent="0.4">
      <c r="B35" s="45"/>
      <c r="C35" s="427"/>
      <c r="D35" s="427"/>
      <c r="E35" s="751"/>
      <c r="F35" s="781"/>
      <c r="G35" s="763"/>
      <c r="I35" s="541" t="s">
        <v>109</v>
      </c>
      <c r="J35" s="584" t="s">
        <v>43</v>
      </c>
      <c r="K35" s="558">
        <v>5891.07</v>
      </c>
      <c r="L35" s="558">
        <v>2739.5</v>
      </c>
      <c r="M35" s="558">
        <v>4414.5</v>
      </c>
      <c r="N35" s="558">
        <v>5147.5</v>
      </c>
      <c r="O35" s="558">
        <v>6878</v>
      </c>
      <c r="P35" s="558">
        <v>4875.34</v>
      </c>
      <c r="Q35" s="558">
        <v>5769.97</v>
      </c>
      <c r="R35" s="558">
        <v>7463.89</v>
      </c>
      <c r="S35" s="558">
        <v>6034.39</v>
      </c>
      <c r="T35" s="558">
        <v>4573.58</v>
      </c>
      <c r="U35" s="558">
        <v>5973.75</v>
      </c>
      <c r="V35" s="558">
        <v>5421.4400000000014</v>
      </c>
      <c r="W35" s="431">
        <f t="shared" si="36"/>
        <v>65182.93</v>
      </c>
      <c r="X35" s="583">
        <f t="shared" si="37"/>
        <v>-3418.8049999999857</v>
      </c>
      <c r="Y35" s="585">
        <f t="shared" si="38"/>
        <v>-4.983554716218163E-2</v>
      </c>
      <c r="Z35" s="45" t="s">
        <v>110</v>
      </c>
      <c r="AB35" s="817">
        <f>SUM(L30+M30+Q30+P30+O30+N30)/6</f>
        <v>3040.7649999999999</v>
      </c>
    </row>
    <row r="36" spans="1:28" ht="13.9" customHeight="1" x14ac:dyDescent="0.4">
      <c r="B36" s="45" t="s">
        <v>111</v>
      </c>
      <c r="C36" s="427" t="s">
        <v>65</v>
      </c>
      <c r="D36" s="427"/>
      <c r="E36" s="751"/>
      <c r="F36" s="427"/>
      <c r="G36" s="1064"/>
      <c r="I36" s="541" t="s">
        <v>115</v>
      </c>
      <c r="J36" s="46" t="s">
        <v>46</v>
      </c>
      <c r="K36" s="558">
        <v>8277.4700000000012</v>
      </c>
      <c r="L36" s="558">
        <v>10607.11</v>
      </c>
      <c r="M36" s="558">
        <v>7155.05</v>
      </c>
      <c r="N36" s="558">
        <v>4371.0150000000003</v>
      </c>
      <c r="O36" s="558">
        <v>4002.63</v>
      </c>
      <c r="P36" s="558">
        <v>3243.6</v>
      </c>
      <c r="Q36" s="558">
        <v>2859.03</v>
      </c>
      <c r="R36" s="558">
        <v>4792.59</v>
      </c>
      <c r="S36" s="558">
        <v>6443.88</v>
      </c>
      <c r="T36" s="558">
        <v>3908.03</v>
      </c>
      <c r="U36" s="558">
        <v>8299.08</v>
      </c>
      <c r="V36" s="558">
        <v>4642.25</v>
      </c>
      <c r="W36" s="431">
        <f t="shared" si="36"/>
        <v>68601.734999999986</v>
      </c>
      <c r="X36" s="583">
        <f t="shared" si="37"/>
        <v>-8066.4350000000122</v>
      </c>
      <c r="Y36" s="585">
        <f t="shared" si="38"/>
        <v>-0.10521230648912075</v>
      </c>
      <c r="AB36" s="445">
        <f>SUM(AB24-AB35)/AB24</f>
        <v>0.30952016912499919</v>
      </c>
    </row>
    <row r="37" spans="1:28" ht="13.9" customHeight="1" x14ac:dyDescent="0.4">
      <c r="B37" s="45" t="s">
        <v>111</v>
      </c>
      <c r="C37" s="427" t="s">
        <v>65</v>
      </c>
      <c r="D37" s="427" t="s">
        <v>237</v>
      </c>
      <c r="E37" s="751">
        <v>240</v>
      </c>
      <c r="F37" s="763" t="s">
        <v>565</v>
      </c>
      <c r="G37" s="1064"/>
      <c r="I37" s="440" t="s">
        <v>116</v>
      </c>
      <c r="J37" s="46" t="s">
        <v>49</v>
      </c>
      <c r="K37" s="558">
        <v>3203.5</v>
      </c>
      <c r="L37" s="558">
        <v>6685</v>
      </c>
      <c r="M37" s="558">
        <v>6242.83</v>
      </c>
      <c r="N37" s="558">
        <v>6063.17</v>
      </c>
      <c r="O37" s="558">
        <v>5851.71</v>
      </c>
      <c r="P37" s="558">
        <v>5479.93</v>
      </c>
      <c r="Q37" s="558">
        <v>3603.81</v>
      </c>
      <c r="R37" s="558">
        <v>4658.8500000000004</v>
      </c>
      <c r="S37" s="558">
        <v>10821.67</v>
      </c>
      <c r="T37" s="558">
        <v>9224.58</v>
      </c>
      <c r="U37" s="558">
        <v>10504.09</v>
      </c>
      <c r="V37" s="558">
        <v>4329.0300000000007</v>
      </c>
      <c r="W37" s="431">
        <f t="shared" si="36"/>
        <v>76668.17</v>
      </c>
      <c r="X37" s="583">
        <f t="shared" si="37"/>
        <v>19028.169999999998</v>
      </c>
      <c r="Y37" s="585">
        <f t="shared" si="38"/>
        <v>0.3301209229701596</v>
      </c>
    </row>
    <row r="38" spans="1:28" ht="13.9" customHeight="1" x14ac:dyDescent="0.4">
      <c r="B38" s="45" t="s">
        <v>111</v>
      </c>
      <c r="C38" s="427" t="s">
        <v>65</v>
      </c>
      <c r="D38" s="427" t="s">
        <v>238</v>
      </c>
      <c r="E38" s="751">
        <v>120</v>
      </c>
      <c r="F38" s="763" t="s">
        <v>565</v>
      </c>
      <c r="G38" s="1064" t="s">
        <v>566</v>
      </c>
      <c r="I38" s="440" t="s">
        <v>117</v>
      </c>
      <c r="J38" s="584" t="s">
        <v>52</v>
      </c>
      <c r="K38" s="558">
        <v>4537</v>
      </c>
      <c r="L38" s="558">
        <f>4583-264</f>
        <v>4319</v>
      </c>
      <c r="M38" s="558">
        <f>3935-213</f>
        <v>3722</v>
      </c>
      <c r="N38" s="558">
        <f>4947-396</f>
        <v>4551</v>
      </c>
      <c r="O38" s="558">
        <f>3911-293</f>
        <v>3618</v>
      </c>
      <c r="P38" s="558">
        <f>2992-213</f>
        <v>2779</v>
      </c>
      <c r="Q38" s="558">
        <f>2927-218</f>
        <v>2709</v>
      </c>
      <c r="R38" s="558">
        <f>7466-213</f>
        <v>7253</v>
      </c>
      <c r="S38" s="558">
        <f>4218-425</f>
        <v>3793</v>
      </c>
      <c r="T38" s="558">
        <f>10697-213</f>
        <v>10484</v>
      </c>
      <c r="U38" s="558">
        <f>5081-213</f>
        <v>4868</v>
      </c>
      <c r="V38" s="558">
        <f>5220-213</f>
        <v>5007</v>
      </c>
      <c r="W38" s="431">
        <f t="shared" si="36"/>
        <v>57640</v>
      </c>
      <c r="X38" s="583">
        <f t="shared" si="37"/>
        <v>-1429</v>
      </c>
      <c r="Y38" s="585">
        <f t="shared" si="38"/>
        <v>-2.4192046589581677E-2</v>
      </c>
      <c r="Z38" s="445"/>
      <c r="AA38" s="771"/>
      <c r="AB38" s="799"/>
    </row>
    <row r="39" spans="1:28" ht="13.9" customHeight="1" x14ac:dyDescent="0.4">
      <c r="B39" s="45" t="s">
        <v>111</v>
      </c>
      <c r="C39" s="427" t="s">
        <v>65</v>
      </c>
      <c r="D39" s="427"/>
      <c r="E39" s="751"/>
      <c r="F39" s="427"/>
      <c r="G39" s="1064"/>
      <c r="I39" s="440" t="s">
        <v>118</v>
      </c>
      <c r="J39" s="45" t="s">
        <v>55</v>
      </c>
      <c r="K39" s="558">
        <v>3710</v>
      </c>
      <c r="L39" s="558">
        <v>3750</v>
      </c>
      <c r="M39" s="558">
        <v>7113</v>
      </c>
      <c r="N39" s="558">
        <f>3928-213</f>
        <v>3715</v>
      </c>
      <c r="O39" s="558">
        <f>2501-213</f>
        <v>2288</v>
      </c>
      <c r="P39" s="558">
        <f>3468-213</f>
        <v>3255</v>
      </c>
      <c r="Q39" s="558">
        <f>1986-224</f>
        <v>1762</v>
      </c>
      <c r="R39" s="558">
        <f>4145-212</f>
        <v>3933</v>
      </c>
      <c r="S39" s="558">
        <f>8518-212</f>
        <v>8306</v>
      </c>
      <c r="T39" s="558">
        <f>5829-424</f>
        <v>5405</v>
      </c>
      <c r="U39" s="558">
        <f>3816-212</f>
        <v>3604</v>
      </c>
      <c r="V39" s="558">
        <f>12440-212</f>
        <v>12228</v>
      </c>
      <c r="W39" s="431">
        <f t="shared" si="36"/>
        <v>59069</v>
      </c>
      <c r="X39" s="583">
        <f t="shared" si="37"/>
        <v>8447</v>
      </c>
      <c r="Y39" s="585">
        <f t="shared" si="38"/>
        <v>0.16686420923709058</v>
      </c>
      <c r="Z39" s="445"/>
      <c r="AA39" s="445"/>
      <c r="AB39" s="45" t="s">
        <v>119</v>
      </c>
    </row>
    <row r="40" spans="1:28" ht="13.9" customHeight="1" x14ac:dyDescent="0.4">
      <c r="D40" s="427"/>
      <c r="E40" s="751"/>
      <c r="G40" s="1064"/>
      <c r="I40" s="440" t="s">
        <v>120</v>
      </c>
      <c r="J40" s="45" t="s">
        <v>58</v>
      </c>
      <c r="K40" s="558">
        <f>4439-1260</f>
        <v>3179</v>
      </c>
      <c r="L40" s="558">
        <f>3071-197</f>
        <v>2874</v>
      </c>
      <c r="M40" s="558">
        <f>4958-132</f>
        <v>4826</v>
      </c>
      <c r="N40" s="558">
        <f>3585-132</f>
        <v>3453</v>
      </c>
      <c r="O40" s="558">
        <f>5008-33</f>
        <v>4975</v>
      </c>
      <c r="P40" s="558">
        <v>3386</v>
      </c>
      <c r="Q40" s="558">
        <v>3633</v>
      </c>
      <c r="R40" s="558">
        <v>3855</v>
      </c>
      <c r="S40" s="558">
        <v>6440</v>
      </c>
      <c r="T40" s="558">
        <v>3536</v>
      </c>
      <c r="U40" s="558">
        <v>2851</v>
      </c>
      <c r="V40" s="558">
        <v>7614</v>
      </c>
      <c r="W40" s="431">
        <f t="shared" si="36"/>
        <v>50622</v>
      </c>
      <c r="X40" s="583">
        <f t="shared" si="37"/>
        <v>41228</v>
      </c>
      <c r="Y40" s="585">
        <f t="shared" si="38"/>
        <v>4.3887587822014051</v>
      </c>
    </row>
    <row r="41" spans="1:28" ht="13.9" customHeight="1" x14ac:dyDescent="0.4">
      <c r="D41" s="427"/>
      <c r="E41" s="751"/>
      <c r="G41" s="1064"/>
      <c r="I41" s="541" t="s">
        <v>121</v>
      </c>
      <c r="J41" s="45" t="s">
        <v>61</v>
      </c>
      <c r="K41" s="558"/>
      <c r="L41" s="558"/>
      <c r="M41" s="558"/>
      <c r="N41" s="558"/>
      <c r="O41" s="558"/>
      <c r="P41" s="558"/>
      <c r="Q41" s="558"/>
      <c r="R41" s="558"/>
      <c r="S41" s="558"/>
      <c r="T41" s="558"/>
      <c r="U41" s="558">
        <f>3346-338</f>
        <v>3008</v>
      </c>
      <c r="V41" s="558">
        <f>6776-390</f>
        <v>6386</v>
      </c>
      <c r="W41" s="431">
        <f t="shared" si="36"/>
        <v>9394</v>
      </c>
    </row>
    <row r="42" spans="1:28" ht="13.9" customHeight="1" x14ac:dyDescent="0.4">
      <c r="E42" s="914">
        <f>SUM(E35:E41)</f>
        <v>360</v>
      </c>
      <c r="X42" s="45" t="s">
        <v>122</v>
      </c>
      <c r="Y42" s="688">
        <f>W30-W31</f>
        <v>-10606.029999999992</v>
      </c>
      <c r="Z42" s="835">
        <f>Y42/W30</f>
        <v>-0.24785777500251785</v>
      </c>
    </row>
    <row r="43" spans="1:28" ht="15" customHeight="1" x14ac:dyDescent="0.4">
      <c r="I43" s="447" t="s">
        <v>123</v>
      </c>
      <c r="J43" s="448">
        <f ca="1">SUMIF($C2:E95,I43,$E2:$E64)</f>
        <v>0</v>
      </c>
      <c r="K43" s="558">
        <f t="shared" ref="K43:V43" si="39">AVERAGE(K30:K31)</f>
        <v>3888.24</v>
      </c>
      <c r="L43" s="558">
        <f t="shared" si="39"/>
        <v>2957.84</v>
      </c>
      <c r="M43" s="558">
        <f t="shared" si="39"/>
        <v>4681.2150000000001</v>
      </c>
      <c r="N43" s="558">
        <f t="shared" si="39"/>
        <v>4345.9549999999999</v>
      </c>
      <c r="O43" s="558">
        <f t="shared" si="39"/>
        <v>4154.8649999999998</v>
      </c>
      <c r="P43" s="558">
        <f t="shared" si="39"/>
        <v>2477.0650000000001</v>
      </c>
      <c r="Q43" s="558">
        <f t="shared" si="39"/>
        <v>2040.89</v>
      </c>
      <c r="R43" s="558">
        <f t="shared" si="39"/>
        <v>4793.1000000000004</v>
      </c>
      <c r="S43" s="558">
        <f t="shared" si="39"/>
        <v>2886.0299999999997</v>
      </c>
      <c r="T43" s="558">
        <f t="shared" si="39"/>
        <v>5486.3649999999998</v>
      </c>
      <c r="U43" s="558">
        <f t="shared" si="39"/>
        <v>4927.71</v>
      </c>
      <c r="V43" s="558">
        <f t="shared" si="39"/>
        <v>5454.53</v>
      </c>
      <c r="W43" s="449">
        <f>SUM(K43:V43)</f>
        <v>48093.804999999993</v>
      </c>
      <c r="X43" s="449" t="s">
        <v>124</v>
      </c>
    </row>
    <row r="44" spans="1:28" ht="15" customHeight="1" x14ac:dyDescent="0.4">
      <c r="B44" s="427"/>
      <c r="C44" s="427"/>
      <c r="D44" s="470"/>
      <c r="E44" s="751"/>
      <c r="F44" s="763"/>
      <c r="I44" s="450" t="s">
        <v>65</v>
      </c>
      <c r="J44" s="451">
        <f ca="1">SUMIF($C18:D144,I44,$E18:$E144)</f>
        <v>21522</v>
      </c>
      <c r="L44" s="449"/>
      <c r="M44" s="449"/>
      <c r="N44" s="449"/>
      <c r="O44" s="449"/>
      <c r="P44" s="449"/>
      <c r="Q44" s="449"/>
      <c r="R44" s="449"/>
      <c r="S44" s="449"/>
      <c r="T44" s="449"/>
      <c r="U44" s="449"/>
      <c r="V44" s="449"/>
      <c r="W44" s="449"/>
      <c r="X44" s="449"/>
    </row>
    <row r="45" spans="1:28" ht="32.75" customHeight="1" thickBot="1" x14ac:dyDescent="0.45">
      <c r="A45" s="46" t="s">
        <v>125</v>
      </c>
      <c r="B45" s="46" t="s">
        <v>126</v>
      </c>
      <c r="D45" s="46" t="s">
        <v>127</v>
      </c>
      <c r="E45" s="1166" t="s">
        <v>128</v>
      </c>
      <c r="F45" s="56" t="s">
        <v>129</v>
      </c>
      <c r="G45" s="56" t="s">
        <v>130</v>
      </c>
      <c r="H45" s="56"/>
      <c r="I45" s="452" t="s">
        <v>131</v>
      </c>
      <c r="J45" s="453">
        <f ca="1">SUM(J43:J44)</f>
        <v>21522</v>
      </c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795" t="s">
        <v>132</v>
      </c>
      <c r="V45" s="796"/>
      <c r="W45" s="688">
        <f>SUM(W30:W41)+W18</f>
        <v>715932.79192307685</v>
      </c>
      <c r="X45" s="454"/>
    </row>
    <row r="46" spans="1:28" ht="13.9" customHeight="1" thickBot="1" x14ac:dyDescent="0.4">
      <c r="A46" s="1113"/>
      <c r="B46" s="1119"/>
      <c r="C46" s="427"/>
      <c r="D46" s="1115"/>
      <c r="E46" s="1115"/>
      <c r="F46" s="1117"/>
      <c r="G46" s="1113"/>
      <c r="H46" s="1118"/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795" t="s">
        <v>133</v>
      </c>
      <c r="V46" s="796"/>
      <c r="W46" s="558">
        <f>SUM(W31:W40)/13</f>
        <v>47475.041686390527</v>
      </c>
      <c r="X46" s="454"/>
    </row>
    <row r="47" spans="1:28" ht="13.9" customHeight="1" x14ac:dyDescent="0.4">
      <c r="A47" s="1117">
        <v>45748</v>
      </c>
      <c r="B47" s="1120">
        <v>45777</v>
      </c>
      <c r="C47" s="427" t="s">
        <v>65</v>
      </c>
      <c r="D47" s="1138">
        <f>COUNTIFS('JLR Bookings'!$V$1:$V$272, "&gt;=" &amp; A47, 'JLR Bookings'!$V$1:$V$272, "&lt;=" &amp; B47)</f>
        <v>17</v>
      </c>
      <c r="E47" s="1122">
        <f>SUMIFS('JLR Bookings'!$Q$2:$Q$272, 'JLR Bookings'!$V$2:$V$272, "&gt;=" &amp; A47, 'JLR Bookings'!$V$2:$V$272, "&lt;=" &amp; B47)</f>
        <v>1319</v>
      </c>
      <c r="F47" s="1122">
        <f>SUMIFS('JLR Bookings'!$W$2:$W$272, 'JLR Bookings'!$V$2:$V$272, "&gt;=" &amp; A47, 'JLR Bookings'!$V$2:$V$272, "&lt;=" &amp; B47)</f>
        <v>1319</v>
      </c>
      <c r="G47" s="1143">
        <f t="shared" ref="G47:G63" si="40">E47-F47</f>
        <v>0</v>
      </c>
      <c r="H47" s="1118"/>
      <c r="I47" s="455" t="s">
        <v>134</v>
      </c>
      <c r="J47" s="456">
        <f>W18</f>
        <v>46572.46</v>
      </c>
      <c r="K47" s="454">
        <f>SUM(E209:E698)-J47</f>
        <v>0</v>
      </c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</row>
    <row r="48" spans="1:28" ht="14.25" customHeight="1" thickBot="1" x14ac:dyDescent="0.45">
      <c r="A48" s="1117">
        <v>45778</v>
      </c>
      <c r="B48" s="1120">
        <v>45808</v>
      </c>
      <c r="C48" s="427" t="s">
        <v>65</v>
      </c>
      <c r="D48" s="1138">
        <f>COUNTIFS('JLR Bookings'!$V$1:$V$272, "&gt;=" &amp; A48, 'JLR Bookings'!$V$1:$V$272, "&lt;=" &amp; B48)</f>
        <v>32</v>
      </c>
      <c r="E48" s="1122">
        <f>SUMIFS('JLR Bookings'!$Q$2:$Q$272, 'JLR Bookings'!$V$2:$V$272, "&gt;=" &amp; A48, 'JLR Bookings'!$V$2:$V$272, "&lt;=" &amp; B48)</f>
        <v>2760</v>
      </c>
      <c r="F48" s="1122">
        <f>SUMIFS('JLR Bookings'!$W$2:$W$272, 'JLR Bookings'!$V$2:$V$272, "&gt;=" &amp; A48, 'JLR Bookings'!$V$2:$V$272, "&lt;=" &amp; B48)</f>
        <v>2760</v>
      </c>
      <c r="G48" s="1143">
        <f t="shared" si="40"/>
        <v>0</v>
      </c>
      <c r="H48" s="1118"/>
      <c r="I48" s="457" t="s">
        <v>135</v>
      </c>
      <c r="J48" s="458">
        <f>J47-AA18</f>
        <v>-9287.5400000000154</v>
      </c>
      <c r="K48" s="454"/>
      <c r="L48" s="454"/>
      <c r="M48" s="454"/>
      <c r="N48" s="454"/>
      <c r="O48" s="454"/>
      <c r="P48" s="454"/>
      <c r="Q48" s="454"/>
      <c r="R48" s="454"/>
      <c r="S48" s="454"/>
      <c r="T48" s="454"/>
      <c r="U48" s="454"/>
      <c r="V48" s="454"/>
      <c r="W48" s="454"/>
      <c r="X48" s="454"/>
    </row>
    <row r="49" spans="1:23" ht="13.5" customHeight="1" x14ac:dyDescent="0.35">
      <c r="A49" s="1117">
        <v>45809</v>
      </c>
      <c r="B49" s="1120">
        <v>45838</v>
      </c>
      <c r="C49" s="427" t="s">
        <v>65</v>
      </c>
      <c r="D49" s="1138">
        <f>COUNTIFS('JLR Bookings'!$V$1:$V$272, "&gt;=" &amp; A49, 'JLR Bookings'!$V$1:$V$272, "&lt;=" &amp; B49)</f>
        <v>48</v>
      </c>
      <c r="E49" s="1122">
        <f>SUMIFS('JLR Bookings'!$Q$2:$Q$272, 'JLR Bookings'!$V$2:$V$272, "&gt;=" &amp; A49, 'JLR Bookings'!$V$2:$V$272, "&lt;=" &amp; B49)</f>
        <v>3607</v>
      </c>
      <c r="F49" s="1122">
        <f>SUMIFS('JLR Bookings'!$W$2:$W$272, 'JLR Bookings'!$V$2:$V$272, "&gt;=" &amp; A49, 'JLR Bookings'!$V$2:$V$272, "&lt;=" &amp; B49)</f>
        <v>3607</v>
      </c>
      <c r="G49" s="1143">
        <f t="shared" si="40"/>
        <v>0</v>
      </c>
      <c r="H49" s="1118"/>
    </row>
    <row r="50" spans="1:23" ht="13.9" customHeight="1" x14ac:dyDescent="0.4">
      <c r="A50" s="1117">
        <v>45839</v>
      </c>
      <c r="B50" s="1120">
        <v>45869</v>
      </c>
      <c r="C50" s="427" t="s">
        <v>65</v>
      </c>
      <c r="D50" s="1138">
        <f>COUNTIFS('JLR Bookings'!$V$1:$V$272, "&gt;=" &amp; A50, 'JLR Bookings'!$V$1:$V$272, "&lt;=" &amp; B50)</f>
        <v>37</v>
      </c>
      <c r="E50" s="1122">
        <f>SUMIFS('JLR Bookings'!$Q$2:$Q$272, 'JLR Bookings'!$V$2:$V$272, "&gt;=" &amp; A50, 'JLR Bookings'!$V$2:$V$272, "&lt;=" &amp; B50)</f>
        <v>3535</v>
      </c>
      <c r="F50" s="1122">
        <f>SUMIFS('JLR Bookings'!$W$2:$W$272, 'JLR Bookings'!$V$2:$V$272, "&gt;=" &amp; A50, 'JLR Bookings'!$V$2:$V$272, "&lt;=" &amp; B50)</f>
        <v>3535</v>
      </c>
      <c r="G50" s="1143">
        <f t="shared" si="40"/>
        <v>0</v>
      </c>
      <c r="H50" s="1118"/>
      <c r="I50" s="1202" t="s">
        <v>567</v>
      </c>
      <c r="J50" s="557"/>
      <c r="K50" s="1203" t="s">
        <v>137</v>
      </c>
      <c r="L50" s="1203" t="s">
        <v>126</v>
      </c>
      <c r="M50" s="1203" t="s">
        <v>138</v>
      </c>
      <c r="N50" s="1203" t="s">
        <v>139</v>
      </c>
      <c r="O50" s="577"/>
      <c r="P50" s="577"/>
      <c r="Q50" s="577"/>
      <c r="R50" s="577"/>
      <c r="S50" s="577"/>
      <c r="T50" s="577"/>
      <c r="U50" s="577"/>
      <c r="V50" s="577"/>
      <c r="W50" s="423"/>
    </row>
    <row r="51" spans="1:23" ht="13.5" customHeight="1" x14ac:dyDescent="0.35">
      <c r="A51" s="1117">
        <v>45870</v>
      </c>
      <c r="B51" s="1120">
        <v>45900</v>
      </c>
      <c r="C51" s="427" t="s">
        <v>65</v>
      </c>
      <c r="D51" s="1138">
        <f>COUNTIFS('JLR Bookings'!$V$1:$V$272, "&gt;=" &amp; A51, 'JLR Bookings'!$V$1:$V$272, "&lt;=" &amp; B51)</f>
        <v>8</v>
      </c>
      <c r="E51" s="1122">
        <f>SUMIFS('JLR Bookings'!$Q$2:$Q$272, 'JLR Bookings'!$V$2:$V$272, "&gt;=" &amp; A51, 'JLR Bookings'!$V$2:$V$272, "&lt;=" &amp; B51)</f>
        <v>800</v>
      </c>
      <c r="F51" s="1122">
        <f>SUMIFS('JLR Bookings'!$W$2:$W$272, 'JLR Bookings'!$V$2:$V$272, "&gt;=" &amp; A51, 'JLR Bookings'!$V$2:$V$272, "&lt;=" &amp; B51)</f>
        <v>800</v>
      </c>
      <c r="G51" s="1143">
        <f t="shared" si="40"/>
        <v>0</v>
      </c>
      <c r="H51" s="1118"/>
      <c r="I51" s="581" t="s">
        <v>28</v>
      </c>
      <c r="J51" s="431"/>
      <c r="K51" s="432">
        <f t="shared" ref="K51:K62" si="41">SUMIFS($E$206:$E$705, $C$206:$C$705, $I51, $G$206:$G$705, "&lt;&gt;JLR")</f>
        <v>2580</v>
      </c>
      <c r="L51" s="432">
        <f t="shared" ref="L51:L62" si="42">SUMIFS($E$206:$E$705, $C$206:$C$705, $I51, $G$206:$G$705, "JLR")</f>
        <v>6000</v>
      </c>
      <c r="M51" s="432">
        <f t="shared" ref="M51:M62" si="43">K51+L51</f>
        <v>8580</v>
      </c>
      <c r="N51" s="432">
        <f t="shared" ref="N51:N62" si="44">M51-W6</f>
        <v>0</v>
      </c>
      <c r="O51" s="432"/>
      <c r="P51" s="432"/>
      <c r="Q51" s="432"/>
      <c r="R51" s="432"/>
      <c r="S51" s="432"/>
      <c r="T51" s="432"/>
      <c r="U51" s="432"/>
      <c r="V51" s="432"/>
      <c r="W51" s="432"/>
    </row>
    <row r="52" spans="1:23" ht="13.5" customHeight="1" x14ac:dyDescent="0.35">
      <c r="A52" s="1117">
        <v>45901</v>
      </c>
      <c r="B52" s="1120">
        <v>45930</v>
      </c>
      <c r="C52" s="427" t="s">
        <v>65</v>
      </c>
      <c r="D52" s="1138">
        <f>COUNTIFS('JLR Bookings'!$V$1:$V$272, "&gt;=" &amp; A52, 'JLR Bookings'!$V$1:$V$272, "&lt;=" &amp; B52)</f>
        <v>8</v>
      </c>
      <c r="E52" s="1122">
        <f>SUMIFS('JLR Bookings'!$Q$2:$Q$272, 'JLR Bookings'!$V$2:$V$272, "&gt;=" &amp; A52, 'JLR Bookings'!$V$2:$V$272, "&lt;=" &amp; B52)</f>
        <v>1175</v>
      </c>
      <c r="F52" s="1122">
        <f>SUMIFS('JLR Bookings'!$W$2:$W$272, 'JLR Bookings'!$V$2:$V$272, "&gt;=" &amp; A52, 'JLR Bookings'!$V$2:$V$272, "&lt;=" &amp; B52)</f>
        <v>1175</v>
      </c>
      <c r="G52" s="1143">
        <f t="shared" si="40"/>
        <v>0</v>
      </c>
      <c r="H52" s="1118"/>
      <c r="I52" s="581" t="s">
        <v>31</v>
      </c>
      <c r="J52" s="431"/>
      <c r="K52" s="432">
        <f t="shared" si="41"/>
        <v>7262.2</v>
      </c>
      <c r="L52" s="432">
        <f t="shared" si="42"/>
        <v>11635</v>
      </c>
      <c r="M52" s="432">
        <f t="shared" si="43"/>
        <v>18897.2</v>
      </c>
      <c r="N52" s="432">
        <f t="shared" si="44"/>
        <v>0</v>
      </c>
      <c r="O52" s="432"/>
      <c r="P52" s="432"/>
      <c r="Q52" s="432"/>
      <c r="R52" s="432"/>
      <c r="S52" s="432"/>
      <c r="T52" s="432"/>
      <c r="U52" s="432"/>
      <c r="V52" s="432"/>
      <c r="W52" s="432"/>
    </row>
    <row r="53" spans="1:23" ht="13.5" customHeight="1" x14ac:dyDescent="0.35">
      <c r="A53" s="1117">
        <v>45931</v>
      </c>
      <c r="B53" s="1120">
        <v>45961</v>
      </c>
      <c r="C53" s="427" t="s">
        <v>65</v>
      </c>
      <c r="D53" s="1138">
        <f>COUNTIFS('JLR Bookings'!$V$1:$V$272, "&gt;=" &amp; A53, 'JLR Bookings'!$V$1:$V$272, "&lt;=" &amp; B53)</f>
        <v>15</v>
      </c>
      <c r="E53" s="1122">
        <f>SUMIFS('JLR Bookings'!$Q$2:$Q$272, 'JLR Bookings'!$V$2:$V$272, "&gt;=" &amp; A53, 'JLR Bookings'!$V$2:$V$272, "&lt;=" &amp; B53)</f>
        <v>1700</v>
      </c>
      <c r="F53" s="1122">
        <f>SUMIFS('JLR Bookings'!$W$2:$W$272, 'JLR Bookings'!$V$2:$V$272, "&gt;=" &amp; A53, 'JLR Bookings'!$V$2:$V$272, "&lt;=" &amp; B53)</f>
        <v>1700</v>
      </c>
      <c r="G53" s="1143">
        <f t="shared" si="40"/>
        <v>0</v>
      </c>
      <c r="H53" s="1118"/>
      <c r="I53" s="582" t="s">
        <v>35</v>
      </c>
      <c r="J53" s="431"/>
      <c r="K53" s="432">
        <f t="shared" si="41"/>
        <v>8746.4</v>
      </c>
      <c r="L53" s="432">
        <f t="shared" si="42"/>
        <v>0</v>
      </c>
      <c r="M53" s="432">
        <f t="shared" si="43"/>
        <v>8746.4</v>
      </c>
      <c r="N53" s="432">
        <f t="shared" si="44"/>
        <v>0</v>
      </c>
      <c r="O53" s="432"/>
      <c r="P53" s="432"/>
      <c r="Q53" s="432"/>
      <c r="R53" s="432"/>
      <c r="S53" s="432"/>
      <c r="T53" s="432"/>
      <c r="U53" s="432"/>
      <c r="V53" s="432"/>
      <c r="W53" s="432"/>
    </row>
    <row r="54" spans="1:23" ht="13.5" customHeight="1" x14ac:dyDescent="0.35">
      <c r="A54" s="1117">
        <v>45962</v>
      </c>
      <c r="B54" s="1120">
        <v>45991</v>
      </c>
      <c r="C54" s="427" t="s">
        <v>65</v>
      </c>
      <c r="D54" s="1138">
        <f>COUNTIFS('JLR Bookings'!$V$1:$V$272, "&gt;=" &amp; A54, 'JLR Bookings'!$V$1:$V$272, "&lt;=" &amp; B54)</f>
        <v>10</v>
      </c>
      <c r="E54" s="1122">
        <f>SUMIFS('JLR Bookings'!$Q$2:$Q$272, 'JLR Bookings'!$V$2:$V$272, "&gt;=" &amp; A54, 'JLR Bookings'!$V$2:$V$272, "&lt;=" &amp; B54)</f>
        <v>1100</v>
      </c>
      <c r="F54" s="1122">
        <f>SUMIFS('JLR Bookings'!$W$2:$W$272, 'JLR Bookings'!$V$2:$V$272, "&gt;=" &amp; A54, 'JLR Bookings'!$V$2:$V$272, "&lt;=" &amp; B54)</f>
        <v>1100</v>
      </c>
      <c r="G54" s="1143">
        <f t="shared" si="40"/>
        <v>0</v>
      </c>
      <c r="H54" s="1118"/>
      <c r="I54" s="581" t="s">
        <v>37</v>
      </c>
      <c r="J54" s="431"/>
      <c r="K54" s="432">
        <f t="shared" si="41"/>
        <v>1450</v>
      </c>
      <c r="L54" s="432">
        <f t="shared" si="42"/>
        <v>0</v>
      </c>
      <c r="M54" s="432">
        <f t="shared" si="43"/>
        <v>1450</v>
      </c>
      <c r="N54" s="432">
        <f t="shared" si="44"/>
        <v>0</v>
      </c>
      <c r="O54" s="432"/>
      <c r="P54" s="432"/>
      <c r="Q54" s="432"/>
      <c r="R54" s="432"/>
      <c r="S54" s="432"/>
      <c r="T54" s="432"/>
      <c r="U54" s="432"/>
      <c r="V54" s="432"/>
      <c r="W54" s="432"/>
    </row>
    <row r="55" spans="1:23" ht="13.5" customHeight="1" x14ac:dyDescent="0.35">
      <c r="A55" s="1117">
        <v>45992</v>
      </c>
      <c r="B55" s="1120">
        <v>46022</v>
      </c>
      <c r="C55" s="427" t="s">
        <v>65</v>
      </c>
      <c r="D55" s="1138">
        <f>COUNTIFS('JLR Bookings'!$V$1:$V$272, "&gt;=" &amp; A55, 'JLR Bookings'!$V$1:$V$272, "&lt;=" &amp; B55)</f>
        <v>54</v>
      </c>
      <c r="E55" s="1122">
        <f>SUMIFS('JLR Bookings'!$Q$2:$Q$272, 'JLR Bookings'!$V$2:$V$272, "&gt;=" &amp; A55, 'JLR Bookings'!$V$2:$V$272, "&lt;=" &amp; B55)</f>
        <v>3549</v>
      </c>
      <c r="F55" s="1122">
        <f>SUMIFS('JLR Bookings'!$W$2:$W$272, 'JLR Bookings'!$V$2:$V$272, "&gt;=" &amp; A55, 'JLR Bookings'!$V$2:$V$272, "&lt;=" &amp; B55)</f>
        <v>3549</v>
      </c>
      <c r="G55" s="1143">
        <f t="shared" si="40"/>
        <v>0</v>
      </c>
      <c r="H55" s="1118"/>
      <c r="I55" s="581" t="s">
        <v>41</v>
      </c>
      <c r="J55" s="431"/>
      <c r="K55" s="432">
        <f t="shared" si="41"/>
        <v>-2030.75</v>
      </c>
      <c r="L55" s="432">
        <f t="shared" si="42"/>
        <v>0</v>
      </c>
      <c r="M55" s="432">
        <f t="shared" si="43"/>
        <v>-2030.75</v>
      </c>
      <c r="N55" s="432">
        <f t="shared" si="44"/>
        <v>0</v>
      </c>
      <c r="O55" s="432"/>
      <c r="P55" s="432"/>
      <c r="Q55" s="432"/>
      <c r="R55" s="432"/>
      <c r="S55" s="432"/>
      <c r="T55" s="432"/>
      <c r="U55" s="432"/>
      <c r="V55" s="432"/>
      <c r="W55" s="432"/>
    </row>
    <row r="56" spans="1:23" ht="13.5" customHeight="1" x14ac:dyDescent="0.35">
      <c r="A56" s="1117">
        <v>46023</v>
      </c>
      <c r="B56" s="1120">
        <v>46053</v>
      </c>
      <c r="C56" s="427" t="s">
        <v>65</v>
      </c>
      <c r="D56" s="1138">
        <f>COUNTIFS('JLR Bookings'!$V$1:$V$272, "&gt;=" &amp; A56, 'JLR Bookings'!$V$1:$V$272, "&lt;=" &amp; B56)</f>
        <v>11</v>
      </c>
      <c r="E56" s="1122">
        <f>SUMIFS('JLR Bookings'!$Q$2:$Q$272, 'JLR Bookings'!$V$2:$V$272, "&gt;=" &amp; A56, 'JLR Bookings'!$V$2:$V$272, "&lt;=" &amp; B56)</f>
        <v>165</v>
      </c>
      <c r="F56" s="1122">
        <f>SUMIFS('JLR Bookings'!$W$2:$W$272, 'JLR Bookings'!$V$2:$V$272, "&gt;=" &amp; A56, 'JLR Bookings'!$V$2:$V$272, "&lt;=" &amp; B56)</f>
        <v>165</v>
      </c>
      <c r="G56" s="1143">
        <f t="shared" si="40"/>
        <v>0</v>
      </c>
      <c r="H56" s="1118"/>
      <c r="I56" s="581" t="s">
        <v>44</v>
      </c>
      <c r="J56" s="431"/>
      <c r="K56" s="432">
        <f t="shared" si="41"/>
        <v>815</v>
      </c>
      <c r="L56" s="432">
        <f t="shared" si="42"/>
        <v>150</v>
      </c>
      <c r="M56" s="432">
        <f t="shared" si="43"/>
        <v>965</v>
      </c>
      <c r="N56" s="432">
        <f t="shared" si="44"/>
        <v>0</v>
      </c>
      <c r="O56" s="432"/>
      <c r="P56" s="432"/>
      <c r="Q56" s="432"/>
      <c r="R56" s="432"/>
      <c r="S56" s="432"/>
      <c r="T56" s="432"/>
      <c r="U56" s="432"/>
      <c r="V56" s="432"/>
      <c r="W56" s="432"/>
    </row>
    <row r="57" spans="1:23" ht="13.5" customHeight="1" x14ac:dyDescent="0.35">
      <c r="A57" s="1117">
        <v>46054</v>
      </c>
      <c r="B57" s="1120">
        <v>46081</v>
      </c>
      <c r="C57" s="427" t="s">
        <v>65</v>
      </c>
      <c r="D57" s="1138">
        <f>COUNTIFS('JLR Bookings'!$V$1:$V$272, "&gt;=" &amp; A57, 'JLR Bookings'!$V$1:$V$272, "&lt;=" &amp; B57)</f>
        <v>4</v>
      </c>
      <c r="E57" s="1122">
        <f>SUMIFS('JLR Bookings'!$Q$2:$Q$272, 'JLR Bookings'!$V$2:$V$272, "&gt;=" &amp; A57, 'JLR Bookings'!$V$2:$V$272, "&lt;=" &amp; B57)</f>
        <v>170</v>
      </c>
      <c r="F57" s="1122">
        <f>SUMIFS('JLR Bookings'!$W$2:$W$272, 'JLR Bookings'!$V$2:$V$272, "&gt;=" &amp; A57, 'JLR Bookings'!$V$2:$V$272, "&lt;=" &amp; B57)</f>
        <v>170</v>
      </c>
      <c r="G57" s="1143">
        <f t="shared" si="40"/>
        <v>0</v>
      </c>
      <c r="H57" s="1118"/>
      <c r="I57" s="582" t="s">
        <v>47</v>
      </c>
      <c r="J57" s="431"/>
      <c r="K57" s="432">
        <f t="shared" si="41"/>
        <v>4330</v>
      </c>
      <c r="L57" s="432">
        <f t="shared" si="42"/>
        <v>1760</v>
      </c>
      <c r="M57" s="432">
        <f t="shared" si="43"/>
        <v>6090</v>
      </c>
      <c r="N57" s="432">
        <f t="shared" si="44"/>
        <v>0</v>
      </c>
      <c r="O57" s="432"/>
      <c r="P57" s="432"/>
      <c r="Q57" s="432"/>
      <c r="R57" s="432"/>
      <c r="S57" s="432"/>
      <c r="T57" s="432"/>
      <c r="U57" s="432"/>
      <c r="V57" s="432"/>
      <c r="W57" s="432"/>
    </row>
    <row r="58" spans="1:23" ht="13.5" customHeight="1" x14ac:dyDescent="0.35">
      <c r="A58" s="1117">
        <v>46082</v>
      </c>
      <c r="B58" s="1120">
        <v>46112</v>
      </c>
      <c r="C58" s="427" t="s">
        <v>65</v>
      </c>
      <c r="D58" s="1138">
        <f>COUNTIFS('JLR Bookings'!$V$1:$V$272, "&gt;=" &amp; A58, 'JLR Bookings'!$V$1:$V$272, "&lt;=" &amp; B58)</f>
        <v>2</v>
      </c>
      <c r="E58" s="1122">
        <f>SUMIFS('JLR Bookings'!$Q$2:$Q$272, 'JLR Bookings'!$V$2:$V$272, "&gt;=" &amp; A58, 'JLR Bookings'!$V$2:$V$272, "&lt;=" &amp; B58)</f>
        <v>30</v>
      </c>
      <c r="F58" s="1122">
        <f>SUMIFS('JLR Bookings'!$W$2:$W$272, 'JLR Bookings'!$V$2:$V$272, "&gt;=" &amp; A58, 'JLR Bookings'!$V$2:$V$272, "&lt;=" &amp; B58)</f>
        <v>30</v>
      </c>
      <c r="G58" s="1143">
        <f t="shared" si="40"/>
        <v>0</v>
      </c>
      <c r="H58" s="1118"/>
      <c r="I58" s="582" t="s">
        <v>50</v>
      </c>
      <c r="J58" s="431"/>
      <c r="K58" s="432">
        <f t="shared" si="41"/>
        <v>940</v>
      </c>
      <c r="L58" s="432">
        <f t="shared" si="42"/>
        <v>0</v>
      </c>
      <c r="M58" s="432">
        <f t="shared" si="43"/>
        <v>940</v>
      </c>
      <c r="N58" s="432">
        <f t="shared" si="44"/>
        <v>0</v>
      </c>
      <c r="O58" s="432"/>
      <c r="P58" s="432"/>
      <c r="Q58" s="432"/>
      <c r="R58" s="432"/>
      <c r="S58" s="432"/>
      <c r="T58" s="432"/>
      <c r="U58" s="432"/>
      <c r="V58" s="432"/>
      <c r="W58" s="432"/>
    </row>
    <row r="59" spans="1:23" ht="13.5" customHeight="1" x14ac:dyDescent="0.35">
      <c r="A59" s="1117">
        <v>46113</v>
      </c>
      <c r="B59" s="1120">
        <v>46142</v>
      </c>
      <c r="C59" s="427" t="s">
        <v>65</v>
      </c>
      <c r="D59" s="1138">
        <f>COUNTIFS('JLR Bookings'!$V$1:$V$272, "&gt;=" &amp; A59, 'JLR Bookings'!$V$1:$V$272, "&lt;=" &amp; B59)</f>
        <v>0</v>
      </c>
      <c r="E59" s="1122">
        <f>SUMIFS('JLR Bookings'!$Q$2:$Q$272, 'JLR Bookings'!$V$2:$V$272, "&gt;=" &amp; A59, 'JLR Bookings'!$V$2:$V$272, "&lt;=" &amp; B59)</f>
        <v>0</v>
      </c>
      <c r="F59" s="1122">
        <f>SUMIFS('JLR Bookings'!$W$2:$W$272, 'JLR Bookings'!$V$2:$V$272, "&gt;=" &amp; A59, 'JLR Bookings'!$V$2:$V$272, "&lt;=" &amp; B59)</f>
        <v>0</v>
      </c>
      <c r="G59" s="1143">
        <f t="shared" si="40"/>
        <v>0</v>
      </c>
      <c r="H59" s="1118"/>
      <c r="I59" s="582" t="s">
        <v>53</v>
      </c>
      <c r="J59" s="431"/>
      <c r="K59" s="432">
        <f t="shared" si="41"/>
        <v>-1588</v>
      </c>
      <c r="L59" s="432">
        <f t="shared" si="42"/>
        <v>0</v>
      </c>
      <c r="M59" s="432">
        <f t="shared" si="43"/>
        <v>-1588</v>
      </c>
      <c r="N59" s="432">
        <f t="shared" si="44"/>
        <v>0</v>
      </c>
      <c r="O59" s="432"/>
      <c r="P59" s="432"/>
      <c r="Q59" s="432"/>
      <c r="R59" s="432"/>
      <c r="S59" s="432"/>
      <c r="T59" s="432"/>
      <c r="U59" s="432"/>
      <c r="V59" s="432"/>
      <c r="W59" s="432"/>
    </row>
    <row r="60" spans="1:23" ht="13.5" customHeight="1" x14ac:dyDescent="0.35">
      <c r="A60" s="1117">
        <v>46143</v>
      </c>
      <c r="B60" s="1120">
        <v>46173</v>
      </c>
      <c r="C60" s="427" t="s">
        <v>65</v>
      </c>
      <c r="D60" s="1138">
        <f>COUNTIFS('JLR Bookings'!$V$1:$V$272, "&gt;=" &amp; A60, 'JLR Bookings'!$V$1:$V$272, "&lt;=" &amp; B60)</f>
        <v>0</v>
      </c>
      <c r="E60" s="1122">
        <f>SUMIFS('JLR Bookings'!$Q$2:$Q$272, 'JLR Bookings'!$V$2:$V$272, "&gt;=" &amp; A60, 'JLR Bookings'!$V$2:$V$272, "&lt;=" &amp; B60)</f>
        <v>0</v>
      </c>
      <c r="F60" s="1122">
        <f>SUMIFS('JLR Bookings'!$W$2:$W$272, 'JLR Bookings'!$V$2:$V$272, "&gt;=" &amp; A60, 'JLR Bookings'!$V$2:$V$272, "&lt;=" &amp; B60)</f>
        <v>0</v>
      </c>
      <c r="G60" s="1143">
        <f t="shared" si="40"/>
        <v>0</v>
      </c>
      <c r="H60" s="1118">
        <f>G65+F65-E65</f>
        <v>0</v>
      </c>
      <c r="I60" s="582" t="s">
        <v>56</v>
      </c>
      <c r="J60" s="431"/>
      <c r="K60" s="432">
        <f t="shared" si="41"/>
        <v>642.61</v>
      </c>
      <c r="L60" s="432">
        <f t="shared" si="42"/>
        <v>0</v>
      </c>
      <c r="M60" s="432">
        <f t="shared" si="43"/>
        <v>642.61</v>
      </c>
      <c r="N60" s="432">
        <f t="shared" si="44"/>
        <v>0</v>
      </c>
      <c r="O60" s="432"/>
      <c r="P60" s="432"/>
      <c r="Q60" s="432"/>
      <c r="R60" s="432"/>
      <c r="S60" s="432"/>
      <c r="T60" s="432"/>
      <c r="U60" s="432"/>
      <c r="V60" s="432"/>
      <c r="W60" s="432"/>
    </row>
    <row r="61" spans="1:23" ht="13.5" customHeight="1" x14ac:dyDescent="0.35">
      <c r="A61" s="1117">
        <v>46174</v>
      </c>
      <c r="B61" s="1120">
        <v>46203</v>
      </c>
      <c r="C61" s="427" t="s">
        <v>65</v>
      </c>
      <c r="D61" s="1138">
        <f>COUNTIFS('JLR Bookings'!$V$1:$V$272, "&gt;=" &amp; A61, 'JLR Bookings'!$V$1:$V$272, "&lt;=" &amp; B61)</f>
        <v>10</v>
      </c>
      <c r="E61" s="1122">
        <f>SUMIFS('JLR Bookings'!$Q$2:$Q$272, 'JLR Bookings'!$V$2:$V$272, "&gt;=" &amp; A61, 'JLR Bookings'!$V$2:$V$272, "&lt;=" &amp; B61)</f>
        <v>1092</v>
      </c>
      <c r="F61" s="1122">
        <f>SUMIFS('JLR Bookings'!$W$2:$W$272, 'JLR Bookings'!$V$2:$V$272, "&gt;=" &amp; A61, 'JLR Bookings'!$V$2:$V$272, "&lt;=" &amp; B61)</f>
        <v>942</v>
      </c>
      <c r="G61" s="1143">
        <f t="shared" si="40"/>
        <v>150</v>
      </c>
      <c r="H61" s="1118"/>
      <c r="I61" s="582" t="s">
        <v>59</v>
      </c>
      <c r="J61" s="431"/>
      <c r="K61" s="432">
        <f t="shared" si="41"/>
        <v>2680</v>
      </c>
      <c r="L61" s="432">
        <f t="shared" si="42"/>
        <v>0</v>
      </c>
      <c r="M61" s="432">
        <f t="shared" si="43"/>
        <v>2680</v>
      </c>
      <c r="N61" s="432">
        <f t="shared" si="44"/>
        <v>0</v>
      </c>
      <c r="O61" s="432"/>
      <c r="P61" s="432"/>
      <c r="Q61" s="432"/>
      <c r="R61" s="432"/>
      <c r="S61" s="432"/>
      <c r="T61" s="432"/>
      <c r="U61" s="432"/>
      <c r="V61" s="432"/>
      <c r="W61" s="432"/>
    </row>
    <row r="62" spans="1:23" ht="14.25" customHeight="1" thickBot="1" x14ac:dyDescent="0.45">
      <c r="A62" s="1117">
        <v>46204</v>
      </c>
      <c r="B62" s="1120">
        <v>46234</v>
      </c>
      <c r="C62" s="427" t="s">
        <v>65</v>
      </c>
      <c r="D62" s="1138">
        <f>COUNTIFS('JLR Bookings'!$V$1:$V$272, "&gt;=" &amp; A62, 'JLR Bookings'!$V$1:$V$272, "&lt;=" &amp; B62)</f>
        <v>1</v>
      </c>
      <c r="E62" s="1122">
        <f>SUMIFS('JLR Bookings'!$Q$2:$Q$272, 'JLR Bookings'!$V$2:$V$272, "&gt;=" &amp; A62, 'JLR Bookings'!$V$2:$V$272, "&lt;=" &amp; B62)</f>
        <v>45</v>
      </c>
      <c r="F62" s="1122">
        <f>SUMIFS('JLR Bookings'!$W$2:$W$272, 'JLR Bookings'!$V$2:$V$272, "&gt;=" &amp; A62, 'JLR Bookings'!$V$2:$V$272, "&lt;=" &amp; B62)</f>
        <v>0</v>
      </c>
      <c r="G62" s="1143">
        <f t="shared" si="40"/>
        <v>45</v>
      </c>
      <c r="H62" s="1118"/>
      <c r="I62" s="982" t="s">
        <v>62</v>
      </c>
      <c r="J62" s="431"/>
      <c r="K62" s="432">
        <f t="shared" si="41"/>
        <v>1200</v>
      </c>
      <c r="L62" s="432">
        <f t="shared" si="42"/>
        <v>0</v>
      </c>
      <c r="M62" s="432">
        <f t="shared" si="43"/>
        <v>1200</v>
      </c>
      <c r="N62" s="432">
        <f t="shared" si="44"/>
        <v>0</v>
      </c>
      <c r="O62" s="432"/>
      <c r="P62" s="432"/>
      <c r="Q62" s="432"/>
      <c r="R62" s="432"/>
      <c r="S62" s="432"/>
      <c r="T62" s="432"/>
      <c r="U62" s="432"/>
      <c r="V62" s="432"/>
      <c r="W62" s="432"/>
    </row>
    <row r="63" spans="1:23" ht="14.65" customHeight="1" thickTop="1" thickBot="1" x14ac:dyDescent="0.45">
      <c r="A63" s="1117">
        <v>46235</v>
      </c>
      <c r="B63" s="1120">
        <v>46265</v>
      </c>
      <c r="C63" s="427" t="s">
        <v>65</v>
      </c>
      <c r="D63" s="1138">
        <f>COUNTIFS('JLR Bookings'!$V$1:$V$272, "&gt;=" &amp; A63, 'JLR Bookings'!$V$1:$V$272, "&lt;=" &amp; B63)</f>
        <v>0</v>
      </c>
      <c r="E63" s="1122">
        <f>SUMIFS('JLR Bookings'!$Q$2:$Q$272, 'JLR Bookings'!$V$2:$V$272, "&gt;=" &amp; A63, 'JLR Bookings'!$V$2:$V$272, "&lt;=" &amp; B63)</f>
        <v>0</v>
      </c>
      <c r="F63" s="1122">
        <f>SUMIFS('JLR Bookings'!$W$2:$W$272, 'JLR Bookings'!$V$2:$V$272, "&gt;=" &amp; A63, 'JLR Bookings'!$V$2:$V$272, "&lt;=" &amp; B63)</f>
        <v>0</v>
      </c>
      <c r="G63" s="1143">
        <f t="shared" si="40"/>
        <v>0</v>
      </c>
      <c r="H63" s="1118"/>
      <c r="I63" s="437" t="s">
        <v>63</v>
      </c>
      <c r="J63" s="438"/>
      <c r="K63" s="587">
        <f>SUM(K51:K62)</f>
        <v>27027.46</v>
      </c>
      <c r="L63" s="587">
        <f>SUM(L51:L62)</f>
        <v>19545</v>
      </c>
      <c r="M63" s="587">
        <f>SUM(M51:M62)</f>
        <v>46572.46</v>
      </c>
      <c r="N63" s="587">
        <f>SUM(N51:N62)</f>
        <v>0</v>
      </c>
      <c r="O63" s="587"/>
      <c r="P63" s="587"/>
      <c r="Q63" s="587"/>
      <c r="R63" s="587"/>
      <c r="S63" s="587"/>
      <c r="T63" s="587"/>
      <c r="U63" s="587"/>
      <c r="V63" s="587"/>
      <c r="W63" s="789"/>
    </row>
    <row r="64" spans="1:23" ht="13.9" customHeight="1" thickTop="1" x14ac:dyDescent="0.35">
      <c r="A64" s="1113"/>
      <c r="B64" s="1119"/>
      <c r="C64" s="427"/>
      <c r="D64" s="1144"/>
      <c r="E64" s="558"/>
      <c r="F64" s="558"/>
      <c r="G64" s="1113"/>
      <c r="H64" s="1118"/>
    </row>
    <row r="65" spans="1:24" ht="14.65" customHeight="1" x14ac:dyDescent="0.35">
      <c r="A65" s="1113"/>
      <c r="B65" s="1119"/>
      <c r="C65" s="427"/>
      <c r="D65" s="1145">
        <f>SUM(D47:D63)</f>
        <v>257</v>
      </c>
      <c r="E65" s="1145">
        <f>SUM(E47:E63)</f>
        <v>21047</v>
      </c>
      <c r="F65" s="1145">
        <f>SUM(F47:F63)</f>
        <v>20852</v>
      </c>
      <c r="G65" s="1145">
        <f>SUM(G47:G63)</f>
        <v>195</v>
      </c>
      <c r="H65" s="1118"/>
    </row>
    <row r="66" spans="1:24" ht="15" customHeight="1" x14ac:dyDescent="0.4">
      <c r="A66" s="1113"/>
      <c r="B66" s="1119"/>
      <c r="C66" s="427"/>
      <c r="D66" s="1144"/>
      <c r="E66" s="558"/>
      <c r="F66" s="558"/>
      <c r="G66" s="1113"/>
      <c r="H66" s="1118"/>
      <c r="I66" s="420" t="s">
        <v>140</v>
      </c>
      <c r="J66" s="557" t="s">
        <v>568</v>
      </c>
      <c r="K66" s="577" t="s">
        <v>142</v>
      </c>
      <c r="L66" s="577" t="s">
        <v>143</v>
      </c>
      <c r="M66" s="577" t="s">
        <v>144</v>
      </c>
      <c r="N66" s="577" t="s">
        <v>145</v>
      </c>
      <c r="O66" s="577" t="s">
        <v>146</v>
      </c>
      <c r="P66" s="577" t="s">
        <v>147</v>
      </c>
      <c r="Q66" s="577" t="s">
        <v>148</v>
      </c>
      <c r="R66" s="577" t="s">
        <v>149</v>
      </c>
      <c r="S66" s="577" t="s">
        <v>150</v>
      </c>
      <c r="T66" s="577" t="s">
        <v>151</v>
      </c>
      <c r="U66" s="577" t="s">
        <v>152</v>
      </c>
      <c r="V66" s="577" t="s">
        <v>153</v>
      </c>
      <c r="W66" s="423" t="s">
        <v>19</v>
      </c>
    </row>
    <row r="67" spans="1:24" ht="13.5" customHeight="1" x14ac:dyDescent="0.35">
      <c r="A67" s="1113"/>
      <c r="B67" s="1119"/>
      <c r="C67" s="427"/>
      <c r="D67" s="1144"/>
      <c r="E67" s="558"/>
      <c r="F67" s="558"/>
      <c r="G67" s="1113"/>
      <c r="H67" s="1118"/>
      <c r="I67" s="581" t="s">
        <v>28</v>
      </c>
      <c r="J67" s="431"/>
      <c r="K67" s="432">
        <f>K6-'Sales 2024'!K6</f>
        <v>-325</v>
      </c>
      <c r="L67" s="432">
        <f>L6-'Sales 2024'!L6</f>
        <v>-310</v>
      </c>
      <c r="M67" s="432">
        <f>M6-'Sales 2024'!M6</f>
        <v>0</v>
      </c>
      <c r="N67" s="432">
        <f>N6-'Sales 2024'!N6</f>
        <v>-880</v>
      </c>
      <c r="O67" s="432">
        <f>O6-'Sales 2024'!O6</f>
        <v>450</v>
      </c>
      <c r="P67" s="432">
        <f>P6-'Sales 2024'!P6</f>
        <v>450</v>
      </c>
      <c r="Q67" s="432">
        <f>Q6-'Sales 2024'!Q6</f>
        <v>1105</v>
      </c>
      <c r="R67" s="432">
        <f>R6-'Sales 2024'!R6</f>
        <v>-225</v>
      </c>
      <c r="S67" s="432">
        <f>S6-'Sales 2024'!S6</f>
        <v>0</v>
      </c>
      <c r="T67" s="432">
        <f>T6-'Sales 2024'!T6</f>
        <v>170</v>
      </c>
      <c r="U67" s="432">
        <f>U6-'Sales 2024'!U6</f>
        <v>2390</v>
      </c>
      <c r="V67" s="432">
        <f>V6-'Sales 2024'!V6</f>
        <v>175</v>
      </c>
      <c r="W67" s="432">
        <f>W6-'Sales 2024'!W6</f>
        <v>3000</v>
      </c>
      <c r="X67" s="445">
        <f>W67/'Sales 2023'!W6</f>
        <v>0.39832702648874724</v>
      </c>
    </row>
    <row r="68" spans="1:24" ht="13.5" customHeight="1" x14ac:dyDescent="0.35">
      <c r="A68" s="1113"/>
      <c r="B68" s="1119"/>
      <c r="C68" s="1114"/>
      <c r="D68" s="1116"/>
      <c r="E68" s="1116"/>
      <c r="F68" s="1117"/>
      <c r="G68" s="1113"/>
      <c r="H68" s="1118"/>
      <c r="I68" s="581" t="s">
        <v>31</v>
      </c>
      <c r="J68" s="431"/>
      <c r="K68" s="432">
        <f>K7-'Sales 2024'!K7</f>
        <v>-607</v>
      </c>
      <c r="L68" s="432">
        <f>L7-'Sales 2024'!L7</f>
        <v>-881.40000000000009</v>
      </c>
      <c r="M68" s="432">
        <f>M7-'Sales 2024'!M7</f>
        <v>580</v>
      </c>
      <c r="N68" s="432">
        <f>N7-'Sales 2024'!N7</f>
        <v>-656.35000000000014</v>
      </c>
      <c r="O68" s="432">
        <f>O7-'Sales 2024'!O7</f>
        <v>677</v>
      </c>
      <c r="P68" s="432">
        <f>P7-'Sales 2024'!P7</f>
        <v>3203.2</v>
      </c>
      <c r="Q68" s="432">
        <f>Q7-'Sales 2024'!Q7</f>
        <v>2380</v>
      </c>
      <c r="R68" s="432">
        <f>R7-'Sales 2024'!R7</f>
        <v>156.80000000000001</v>
      </c>
      <c r="S68" s="432">
        <f>S7-'Sales 2024'!S7</f>
        <v>820.05</v>
      </c>
      <c r="T68" s="432">
        <f>T7-'Sales 2024'!T7</f>
        <v>86.700000000000045</v>
      </c>
      <c r="U68" s="432">
        <f>U7-'Sales 2024'!U7</f>
        <v>585.79999999999995</v>
      </c>
      <c r="V68" s="432">
        <f>V7-'Sales 2024'!V7</f>
        <v>3698</v>
      </c>
      <c r="W68" s="432">
        <f>W7-'Sales 2024'!W7</f>
        <v>10042.800000000001</v>
      </c>
      <c r="X68" s="445">
        <f>W68/'Sales 2023'!W7</f>
        <v>0.87717704603022106</v>
      </c>
    </row>
    <row r="69" spans="1:24" ht="13.5" customHeight="1" x14ac:dyDescent="0.35">
      <c r="A69" s="1113"/>
      <c r="B69" s="1113"/>
      <c r="C69" s="1114"/>
      <c r="D69" s="1115"/>
      <c r="E69" s="1116"/>
      <c r="F69" s="1117"/>
      <c r="G69" s="1113"/>
      <c r="H69" s="1118"/>
      <c r="I69" s="582" t="s">
        <v>35</v>
      </c>
      <c r="J69" s="431"/>
      <c r="K69" s="432">
        <f>K8-'Sales 2024'!K8</f>
        <v>2879</v>
      </c>
      <c r="L69" s="432">
        <f>L8-'Sales 2024'!L8</f>
        <v>-380</v>
      </c>
      <c r="M69" s="432">
        <f>M8-'Sales 2024'!M8</f>
        <v>-825</v>
      </c>
      <c r="N69" s="432">
        <f>N8-'Sales 2024'!N8</f>
        <v>-2567</v>
      </c>
      <c r="O69" s="432">
        <f>O8-'Sales 2024'!O8</f>
        <v>-1950</v>
      </c>
      <c r="P69" s="432">
        <f>P8-'Sales 2024'!P8</f>
        <v>1345</v>
      </c>
      <c r="Q69" s="432">
        <f>Q8-'Sales 2024'!Q8</f>
        <v>595</v>
      </c>
      <c r="R69" s="432">
        <f>R8-'Sales 2024'!R8</f>
        <v>-97.6</v>
      </c>
      <c r="S69" s="432">
        <f>S8-'Sales 2024'!S8</f>
        <v>-320</v>
      </c>
      <c r="T69" s="432">
        <f>T8-'Sales 2024'!T8</f>
        <v>-895</v>
      </c>
      <c r="U69" s="432">
        <f>U8-'Sales 2024'!U8</f>
        <v>0</v>
      </c>
      <c r="V69" s="432">
        <f>V8-'Sales 2024'!V8</f>
        <v>0</v>
      </c>
      <c r="W69" s="432">
        <f>W8-'Sales 2024'!W8</f>
        <v>-2215.6000000000004</v>
      </c>
      <c r="X69" s="445">
        <f>W69/'Sales 2023'!W8</f>
        <v>-0.13652104257810097</v>
      </c>
    </row>
    <row r="70" spans="1:24" ht="13.5" customHeight="1" x14ac:dyDescent="0.35">
      <c r="A70" s="1113"/>
      <c r="B70" s="1113"/>
      <c r="C70" s="1114"/>
      <c r="D70" s="1115"/>
      <c r="E70" s="1116"/>
      <c r="F70" s="1117"/>
      <c r="G70" s="1113"/>
      <c r="H70" s="1118"/>
      <c r="I70" s="581" t="s">
        <v>37</v>
      </c>
      <c r="J70" s="431"/>
      <c r="K70" s="432">
        <f>K9-'Sales 2024'!K9</f>
        <v>-50</v>
      </c>
      <c r="L70" s="432">
        <f>L9-'Sales 2024'!L9</f>
        <v>-50</v>
      </c>
      <c r="M70" s="432">
        <f>M9-'Sales 2024'!M9</f>
        <v>-50</v>
      </c>
      <c r="N70" s="432">
        <f>N9-'Sales 2024'!N9</f>
        <v>-250</v>
      </c>
      <c r="O70" s="432">
        <f>O9-'Sales 2024'!O9</f>
        <v>-250</v>
      </c>
      <c r="P70" s="432">
        <f>P9-'Sales 2024'!P9</f>
        <v>0</v>
      </c>
      <c r="Q70" s="432">
        <f>Q9-'Sales 2024'!Q9</f>
        <v>0</v>
      </c>
      <c r="R70" s="432">
        <f>R9-'Sales 2024'!R9</f>
        <v>-250</v>
      </c>
      <c r="S70" s="432">
        <f>S9-'Sales 2024'!S9</f>
        <v>1200</v>
      </c>
      <c r="T70" s="432">
        <f>T9-'Sales 2024'!T9</f>
        <v>0</v>
      </c>
      <c r="U70" s="432">
        <f>U9-'Sales 2024'!U9</f>
        <v>-250</v>
      </c>
      <c r="V70" s="432">
        <f>V9-'Sales 2024'!V9</f>
        <v>0</v>
      </c>
      <c r="W70" s="432">
        <f>W9-'Sales 2024'!W9</f>
        <v>50</v>
      </c>
      <c r="X70" s="445">
        <f>W70/'Sales 2023'!W8</f>
        <v>3.0809045535769302E-3</v>
      </c>
    </row>
    <row r="71" spans="1:24" ht="13.5" customHeight="1" x14ac:dyDescent="0.35">
      <c r="A71" s="1113"/>
      <c r="B71" s="1113"/>
      <c r="C71" s="1114"/>
      <c r="D71" s="1115"/>
      <c r="E71" s="1116"/>
      <c r="F71" s="1117"/>
      <c r="G71" s="1113"/>
      <c r="H71" s="1118"/>
      <c r="I71" s="581" t="s">
        <v>41</v>
      </c>
      <c r="J71" s="431"/>
      <c r="K71" s="432">
        <f>K10-'Sales 2024'!K10</f>
        <v>-8.75</v>
      </c>
      <c r="L71" s="432">
        <f>L10-'Sales 2024'!L10</f>
        <v>169.5</v>
      </c>
      <c r="M71" s="432">
        <f>M10-'Sales 2024'!M10</f>
        <v>975</v>
      </c>
      <c r="N71" s="432">
        <f>N10-'Sales 2024'!N10</f>
        <v>1990</v>
      </c>
      <c r="O71" s="432">
        <f>O10-'Sales 2024'!O10</f>
        <v>192</v>
      </c>
      <c r="P71" s="432">
        <f>P10-'Sales 2024'!P10</f>
        <v>-1120</v>
      </c>
      <c r="Q71" s="432">
        <f>Q10-'Sales 2024'!Q10</f>
        <v>0</v>
      </c>
      <c r="R71" s="432">
        <f>R10-'Sales 2024'!R10</f>
        <v>0</v>
      </c>
      <c r="S71" s="432">
        <f>S10-'Sales 2024'!S10</f>
        <v>0</v>
      </c>
      <c r="T71" s="432">
        <f>T10-'Sales 2024'!T10</f>
        <v>0</v>
      </c>
      <c r="U71" s="432">
        <f>U10-'Sales 2024'!U10</f>
        <v>0</v>
      </c>
      <c r="V71" s="432">
        <f>V10-'Sales 2024'!V10</f>
        <v>0</v>
      </c>
      <c r="W71" s="432">
        <f>W10-'Sales 2024'!W10</f>
        <v>2197.75</v>
      </c>
      <c r="X71" s="445">
        <f>W71/'Sales 2023'!W9</f>
        <v>0.34073643410852711</v>
      </c>
    </row>
    <row r="72" spans="1:24" ht="13.5" customHeight="1" x14ac:dyDescent="0.35">
      <c r="A72" s="1113"/>
      <c r="B72" s="1113"/>
      <c r="C72" s="1114"/>
      <c r="D72" s="1115"/>
      <c r="E72" s="1116"/>
      <c r="F72" s="1117"/>
      <c r="G72" s="1113"/>
      <c r="H72" s="1118"/>
      <c r="I72" s="581" t="s">
        <v>44</v>
      </c>
      <c r="J72" s="431"/>
      <c r="K72" s="432">
        <f>K11-'Sales 2024'!K11</f>
        <v>5</v>
      </c>
      <c r="L72" s="432">
        <f>L11-'Sales 2024'!L11</f>
        <v>-65</v>
      </c>
      <c r="M72" s="432">
        <f>M11-'Sales 2024'!M11</f>
        <v>-30</v>
      </c>
      <c r="N72" s="432">
        <f>N11-'Sales 2024'!N11</f>
        <v>-30</v>
      </c>
      <c r="O72" s="432">
        <f>O11-'Sales 2024'!O11</f>
        <v>120</v>
      </c>
      <c r="P72" s="432">
        <f>P11-'Sales 2024'!P11</f>
        <v>-30</v>
      </c>
      <c r="Q72" s="432">
        <f>Q11-'Sales 2024'!Q11</f>
        <v>-45</v>
      </c>
      <c r="R72" s="432">
        <f>R11-'Sales 2024'!R11</f>
        <v>-205</v>
      </c>
      <c r="S72" s="432">
        <f>S11-'Sales 2024'!S11</f>
        <v>-5</v>
      </c>
      <c r="T72" s="432">
        <f>T11-'Sales 2024'!T11</f>
        <v>-20</v>
      </c>
      <c r="U72" s="432">
        <f>U11-'Sales 2024'!U11</f>
        <v>205</v>
      </c>
      <c r="V72" s="432">
        <f>V11-'Sales 2024'!V11</f>
        <v>-15</v>
      </c>
      <c r="W72" s="432">
        <f>W11-'Sales 2024'!W11</f>
        <v>-115</v>
      </c>
      <c r="X72" s="445">
        <f>W72/'Sales 2023'!W10</f>
        <v>2.869261477045908E-2</v>
      </c>
    </row>
    <row r="73" spans="1:24" ht="13.5" customHeight="1" x14ac:dyDescent="0.35">
      <c r="A73" s="1113"/>
      <c r="B73" s="1113"/>
      <c r="C73" s="1114"/>
      <c r="D73" s="1115"/>
      <c r="E73" s="1116"/>
      <c r="F73" s="1120"/>
      <c r="G73" s="1113"/>
      <c r="H73" s="1118"/>
      <c r="I73" s="582" t="s">
        <v>47</v>
      </c>
      <c r="J73" s="431"/>
      <c r="K73" s="432">
        <f>K12-'Sales 2024'!K12</f>
        <v>185</v>
      </c>
      <c r="L73" s="432">
        <f>L12-'Sales 2024'!L12</f>
        <v>430</v>
      </c>
      <c r="M73" s="432">
        <f>M12-'Sales 2024'!M12</f>
        <v>-520</v>
      </c>
      <c r="N73" s="432">
        <f>N12-'Sales 2024'!N12</f>
        <v>-395</v>
      </c>
      <c r="O73" s="432">
        <f>O12-'Sales 2024'!O12</f>
        <v>93</v>
      </c>
      <c r="P73" s="432">
        <f>P12-'Sales 2024'!P12</f>
        <v>-60</v>
      </c>
      <c r="Q73" s="432">
        <f>Q12-'Sales 2024'!Q12</f>
        <v>780</v>
      </c>
      <c r="R73" s="432">
        <f>R12-'Sales 2024'!R12</f>
        <v>-1195</v>
      </c>
      <c r="S73" s="432">
        <f>S12-'Sales 2024'!S12</f>
        <v>-135</v>
      </c>
      <c r="T73" s="432">
        <f>T12-'Sales 2024'!T12</f>
        <v>0</v>
      </c>
      <c r="U73" s="432">
        <f>U12-'Sales 2024'!U12</f>
        <v>-2765</v>
      </c>
      <c r="V73" s="432">
        <f>V12-'Sales 2024'!V12</f>
        <v>-350</v>
      </c>
      <c r="W73" s="432">
        <f>W12-'Sales 2024'!W12</f>
        <v>-3932</v>
      </c>
      <c r="X73" s="445">
        <f>W73/'Sales 2023'!W11</f>
        <v>-4.0122448979591834</v>
      </c>
    </row>
    <row r="74" spans="1:24" ht="13.5" customHeight="1" x14ac:dyDescent="0.35">
      <c r="A74" s="1113"/>
      <c r="B74" s="1113"/>
      <c r="C74" s="1114"/>
      <c r="D74" s="1115"/>
      <c r="E74" s="1116"/>
      <c r="F74" s="1117"/>
      <c r="G74" s="1113"/>
      <c r="H74" s="1118"/>
      <c r="I74" s="582" t="s">
        <v>50</v>
      </c>
      <c r="J74" s="431"/>
      <c r="K74" s="432">
        <f>K13-'Sales 2024'!K13</f>
        <v>-100</v>
      </c>
      <c r="L74" s="432">
        <f>L13-'Sales 2024'!L13</f>
        <v>-200</v>
      </c>
      <c r="M74" s="432">
        <f>M13-'Sales 2024'!M13</f>
        <v>0</v>
      </c>
      <c r="N74" s="432">
        <f>N13-'Sales 2024'!N13</f>
        <v>0</v>
      </c>
      <c r="O74" s="432">
        <f>O13-'Sales 2024'!O13</f>
        <v>125</v>
      </c>
      <c r="P74" s="432">
        <f>P13-'Sales 2024'!P13</f>
        <v>250</v>
      </c>
      <c r="Q74" s="432">
        <f>Q13-'Sales 2024'!Q13</f>
        <v>0</v>
      </c>
      <c r="R74" s="432">
        <f>R13-'Sales 2024'!R13</f>
        <v>199</v>
      </c>
      <c r="S74" s="432">
        <f>S13-'Sales 2024'!S13</f>
        <v>50</v>
      </c>
      <c r="T74" s="432">
        <f>T13-'Sales 2024'!T13</f>
        <v>25</v>
      </c>
      <c r="U74" s="432">
        <f>U13-'Sales 2024'!U13</f>
        <v>-300</v>
      </c>
      <c r="V74" s="432">
        <f>V13-'Sales 2024'!V13</f>
        <v>-700</v>
      </c>
      <c r="W74" s="432">
        <f>W13-'Sales 2024'!W13</f>
        <v>-651</v>
      </c>
      <c r="X74" s="445">
        <f>W74/'Sales 2023'!W12</f>
        <v>-0.10511868238333602</v>
      </c>
    </row>
    <row r="75" spans="1:24" ht="13.5" customHeight="1" x14ac:dyDescent="0.35">
      <c r="A75" s="1113"/>
      <c r="B75" s="1113"/>
      <c r="C75" s="1114"/>
      <c r="D75" s="1115"/>
      <c r="E75" s="1116"/>
      <c r="F75" s="1117"/>
      <c r="G75" s="1113"/>
      <c r="H75" s="1118"/>
      <c r="I75" s="582" t="s">
        <v>53</v>
      </c>
      <c r="J75" s="431"/>
      <c r="K75" s="432">
        <f>K14-'Sales 2024'!K14</f>
        <v>-389</v>
      </c>
      <c r="L75" s="432">
        <f>L14-'Sales 2024'!L14</f>
        <v>358</v>
      </c>
      <c r="M75" s="432">
        <f>M14-'Sales 2024'!M14</f>
        <v>-62</v>
      </c>
      <c r="N75" s="432">
        <f>N14-'Sales 2024'!N14</f>
        <v>75</v>
      </c>
      <c r="O75" s="432">
        <f>O14-'Sales 2024'!O14</f>
        <v>-100</v>
      </c>
      <c r="P75" s="432">
        <f>P14-'Sales 2024'!P14</f>
        <v>199</v>
      </c>
      <c r="Q75" s="432">
        <f>Q14-'Sales 2024'!Q14</f>
        <v>-100</v>
      </c>
      <c r="R75" s="432">
        <f>R14-'Sales 2024'!R14</f>
        <v>-99</v>
      </c>
      <c r="S75" s="432">
        <f>S14-'Sales 2024'!S14</f>
        <v>0</v>
      </c>
      <c r="T75" s="432">
        <f>T14-'Sales 2024'!T14</f>
        <v>0</v>
      </c>
      <c r="U75" s="432">
        <f>U14-'Sales 2024'!U14</f>
        <v>-300</v>
      </c>
      <c r="V75" s="432">
        <f>V14-'Sales 2024'!V14</f>
        <v>0</v>
      </c>
      <c r="W75" s="432">
        <f>W14-'Sales 2024'!W14</f>
        <v>-418</v>
      </c>
      <c r="X75" s="445">
        <f>W75/'Sales 2023'!W13</f>
        <v>-0.11176470588235295</v>
      </c>
    </row>
    <row r="76" spans="1:24" ht="13.5" customHeight="1" x14ac:dyDescent="0.35">
      <c r="A76" s="1113"/>
      <c r="B76" s="1119"/>
      <c r="C76" s="1114"/>
      <c r="D76" s="1115"/>
      <c r="E76" s="1116"/>
      <c r="F76" s="1117"/>
      <c r="G76" s="1113"/>
      <c r="H76" s="1118"/>
      <c r="I76" s="582" t="s">
        <v>56</v>
      </c>
      <c r="J76" s="431"/>
      <c r="K76" s="432">
        <f>K15-'Sales 2024'!K15</f>
        <v>67.61</v>
      </c>
      <c r="L76" s="432">
        <f>L15-'Sales 2024'!L15</f>
        <v>-60.360000000000014</v>
      </c>
      <c r="M76" s="432">
        <f>M15-'Sales 2024'!M15</f>
        <v>53.2</v>
      </c>
      <c r="N76" s="432">
        <f>N15-'Sales 2024'!N15</f>
        <v>-452.19</v>
      </c>
      <c r="O76" s="432">
        <f>O15-'Sales 2024'!O15</f>
        <v>-35.340000000000003</v>
      </c>
      <c r="P76" s="432">
        <f>P15-'Sales 2024'!P15</f>
        <v>-31.38000000000001</v>
      </c>
      <c r="Q76" s="432">
        <f>Q15-'Sales 2024'!Q15</f>
        <v>0</v>
      </c>
      <c r="R76" s="432">
        <f>R15-'Sales 2024'!R15</f>
        <v>-80.38</v>
      </c>
      <c r="S76" s="432">
        <f>S15-'Sales 2024'!S15</f>
        <v>-15.030000000000001</v>
      </c>
      <c r="T76" s="432">
        <f>T15-'Sales 2024'!T15</f>
        <v>0</v>
      </c>
      <c r="U76" s="432">
        <f>U15-'Sales 2024'!U15</f>
        <v>268.18</v>
      </c>
      <c r="V76" s="432">
        <f>V15-'Sales 2024'!V15</f>
        <v>41.95</v>
      </c>
      <c r="W76" s="432">
        <f>W15-'Sales 2024'!W15</f>
        <v>-243.7399999999999</v>
      </c>
      <c r="X76" s="445">
        <f>W76/'Sales 2023'!W14</f>
        <v>0.17447387258410874</v>
      </c>
    </row>
    <row r="77" spans="1:24" ht="13.5" customHeight="1" x14ac:dyDescent="0.35">
      <c r="A77" s="1113"/>
      <c r="B77" s="1119"/>
      <c r="C77" s="1114"/>
      <c r="D77" s="1115"/>
      <c r="E77" s="1116"/>
      <c r="F77" s="1117"/>
      <c r="G77" s="1113"/>
      <c r="H77" s="1118"/>
      <c r="I77" s="582" t="s">
        <v>59</v>
      </c>
      <c r="J77" s="431"/>
      <c r="K77" s="432">
        <f>K16-'Sales 2024'!K16</f>
        <v>150</v>
      </c>
      <c r="L77" s="432">
        <f>L16-'Sales 2024'!L16</f>
        <v>335</v>
      </c>
      <c r="M77" s="432">
        <f>M16-'Sales 2024'!M16</f>
        <v>-280</v>
      </c>
      <c r="N77" s="432">
        <f>N16-'Sales 2024'!N16</f>
        <v>0</v>
      </c>
      <c r="O77" s="432">
        <f>O16-'Sales 2024'!O16</f>
        <v>225</v>
      </c>
      <c r="P77" s="432">
        <f>P16-'Sales 2024'!P16</f>
        <v>800</v>
      </c>
      <c r="Q77" s="432">
        <f>Q16-'Sales 2024'!Q16</f>
        <v>-362.5</v>
      </c>
      <c r="R77" s="432">
        <f>R16-'Sales 2024'!R16</f>
        <v>-170</v>
      </c>
      <c r="S77" s="432">
        <f>S16-'Sales 2024'!S16</f>
        <v>0</v>
      </c>
      <c r="T77" s="432">
        <f>T16-'Sales 2024'!T16</f>
        <v>-4305</v>
      </c>
      <c r="U77" s="432">
        <f>U16-'Sales 2024'!U16</f>
        <v>-592</v>
      </c>
      <c r="V77" s="432">
        <f>V16-'Sales 2024'!V16</f>
        <v>-177</v>
      </c>
      <c r="W77" s="432">
        <f>W16-'Sales 2024'!W16</f>
        <v>-4376.5</v>
      </c>
      <c r="X77" s="445">
        <f>W77/'Sales 2023'!W15</f>
        <v>-1.9268022083491092</v>
      </c>
    </row>
    <row r="78" spans="1:24" ht="13.9" customHeight="1" thickBot="1" x14ac:dyDescent="0.4">
      <c r="A78" s="1113"/>
      <c r="B78" s="1113"/>
      <c r="C78" s="1114"/>
      <c r="D78" s="1115"/>
      <c r="E78" s="1116"/>
      <c r="F78" s="1117"/>
      <c r="G78" s="1113"/>
      <c r="H78" s="1118"/>
      <c r="I78" s="582" t="s">
        <v>569</v>
      </c>
      <c r="J78" s="431"/>
      <c r="K78" s="432">
        <f>K17-'Sales 2024'!K17</f>
        <v>70</v>
      </c>
      <c r="L78" s="432">
        <f>L17-'Sales 2024'!L17</f>
        <v>-80</v>
      </c>
      <c r="M78" s="432">
        <f>M17-'Sales 2024'!M17</f>
        <v>0</v>
      </c>
      <c r="N78" s="432">
        <f>N17-'Sales 2024'!N17</f>
        <v>-255</v>
      </c>
      <c r="O78" s="432">
        <f>O17-'Sales 2024'!O17</f>
        <v>30</v>
      </c>
      <c r="P78" s="432">
        <f>P17-'Sales 2024'!P17</f>
        <v>15</v>
      </c>
      <c r="Q78" s="432">
        <f>Q17-'Sales 2024'!Q17</f>
        <v>75</v>
      </c>
      <c r="R78" s="432">
        <f>R17-'Sales 2024'!R17</f>
        <v>-80</v>
      </c>
      <c r="S78" s="432">
        <f>S17-'Sales 2024'!S17</f>
        <v>310</v>
      </c>
      <c r="T78" s="432">
        <f>T17-'Sales 2024'!T17</f>
        <v>272.96000000000004</v>
      </c>
      <c r="U78" s="432">
        <f>U17-'Sales 2024'!U17</f>
        <v>20</v>
      </c>
      <c r="V78" s="432">
        <f>V17-'Sales 2024'!V17</f>
        <v>65</v>
      </c>
      <c r="W78" s="432">
        <f>W17-'Sales 2024'!W17</f>
        <v>442.96000000000004</v>
      </c>
      <c r="X78" s="445">
        <f>W78/'Sales 2023'!W16</f>
        <v>0.12656000000000001</v>
      </c>
    </row>
    <row r="79" spans="1:24" ht="14.65" customHeight="1" thickTop="1" thickBot="1" x14ac:dyDescent="0.45">
      <c r="A79" s="1113"/>
      <c r="B79" s="1113"/>
      <c r="C79" s="1114"/>
      <c r="D79" s="1115"/>
      <c r="E79" s="1116"/>
      <c r="F79" s="1117"/>
      <c r="G79" s="1113"/>
      <c r="H79" s="1118"/>
      <c r="I79" s="437" t="s">
        <v>63</v>
      </c>
      <c r="J79" s="438"/>
      <c r="K79" s="587">
        <f t="shared" ref="K79:W79" si="45">SUM(K67:K78)</f>
        <v>1876.86</v>
      </c>
      <c r="L79" s="587">
        <f t="shared" si="45"/>
        <v>-734.2600000000001</v>
      </c>
      <c r="M79" s="587">
        <f t="shared" si="45"/>
        <v>-158.80000000000001</v>
      </c>
      <c r="N79" s="587">
        <f t="shared" si="45"/>
        <v>-3420.5400000000004</v>
      </c>
      <c r="O79" s="587">
        <f t="shared" si="45"/>
        <v>-423.34000000000003</v>
      </c>
      <c r="P79" s="587">
        <f t="shared" si="45"/>
        <v>5020.82</v>
      </c>
      <c r="Q79" s="587">
        <f t="shared" si="45"/>
        <v>4427.5</v>
      </c>
      <c r="R79" s="587">
        <f t="shared" si="45"/>
        <v>-2046.1799999999998</v>
      </c>
      <c r="S79" s="587">
        <f t="shared" si="45"/>
        <v>1905.02</v>
      </c>
      <c r="T79" s="587">
        <f t="shared" si="45"/>
        <v>-4665.34</v>
      </c>
      <c r="U79" s="587">
        <f t="shared" si="45"/>
        <v>-738.01999999999975</v>
      </c>
      <c r="V79" s="587">
        <f t="shared" si="45"/>
        <v>2737.95</v>
      </c>
      <c r="W79" s="789">
        <f t="shared" si="45"/>
        <v>3781.670000000001</v>
      </c>
      <c r="X79" s="445">
        <f>W79/'Sales 2023'!W17</f>
        <v>8.2580032318644392</v>
      </c>
    </row>
    <row r="80" spans="1:24" ht="13.9" customHeight="1" thickTop="1" x14ac:dyDescent="0.35">
      <c r="A80" s="1113"/>
      <c r="B80" s="1113"/>
      <c r="C80" s="1114"/>
      <c r="D80" s="1115"/>
      <c r="E80" s="1116"/>
      <c r="F80" s="1117"/>
      <c r="G80" s="1113"/>
      <c r="H80" s="1118"/>
    </row>
    <row r="81" spans="1:23" ht="13.9" customHeight="1" x14ac:dyDescent="0.4">
      <c r="A81" s="1113"/>
      <c r="B81" s="1113"/>
      <c r="C81" s="1114"/>
      <c r="D81" s="1115"/>
      <c r="E81" s="1116"/>
      <c r="F81" s="1117"/>
      <c r="G81" s="1113"/>
      <c r="H81" s="1118"/>
      <c r="I81" s="420" t="s">
        <v>140</v>
      </c>
      <c r="J81" s="557" t="s">
        <v>154</v>
      </c>
      <c r="K81" s="577" t="s">
        <v>142</v>
      </c>
      <c r="L81" s="577" t="s">
        <v>143</v>
      </c>
      <c r="M81" s="577" t="s">
        <v>144</v>
      </c>
      <c r="N81" s="577" t="s">
        <v>145</v>
      </c>
      <c r="O81" s="577" t="s">
        <v>146</v>
      </c>
      <c r="P81" s="577" t="s">
        <v>147</v>
      </c>
      <c r="Q81" s="577" t="s">
        <v>148</v>
      </c>
      <c r="R81" s="577" t="s">
        <v>149</v>
      </c>
      <c r="S81" s="577" t="s">
        <v>150</v>
      </c>
      <c r="T81" s="577" t="s">
        <v>151</v>
      </c>
      <c r="U81" s="577" t="s">
        <v>152</v>
      </c>
      <c r="V81" s="577" t="s">
        <v>153</v>
      </c>
      <c r="W81" s="577" t="s">
        <v>19</v>
      </c>
    </row>
    <row r="82" spans="1:23" ht="13.5" customHeight="1" x14ac:dyDescent="0.35">
      <c r="A82" s="1113"/>
      <c r="B82" s="1113"/>
      <c r="C82" s="1114"/>
      <c r="D82" s="1115"/>
      <c r="E82" s="1116"/>
      <c r="F82" s="1117"/>
      <c r="G82" s="1113"/>
      <c r="H82" s="1118"/>
      <c r="I82" s="581" t="s">
        <v>28</v>
      </c>
      <c r="J82" s="431"/>
      <c r="K82" s="432">
        <f t="shared" ref="K82:K93" si="46">COUNTIFS($A$209:$A$698,"&gt;31/12/2024",$A$209:$A$698,"&lt;1/2/2025",$C$209:$C$698,I82)</f>
        <v>2</v>
      </c>
      <c r="L82" s="432">
        <f t="shared" ref="L82:L93" si="47">COUNTIFS($A$209:$A$698,"&gt;31/1/2025",$A$209:$A$698,"&lt;1/3/2025",$C$209:$C$698,$I82)</f>
        <v>0</v>
      </c>
      <c r="M82" s="432">
        <f t="shared" ref="M82:M93" si="48">COUNTIFS($A$209:$A$698,"&gt;28/2/2025",$A$209:$A$698,"&lt;1/4/2025",$C$209:$C$698,$I82)</f>
        <v>0</v>
      </c>
      <c r="N82" s="432">
        <f t="shared" ref="N82:N93" si="49">COUNTIFS($A$209:$A$698,"&gt;31/3/2025",$A$209:$A$698,"&lt;1/5/2025",$C$209:$C$698,$I82)</f>
        <v>4</v>
      </c>
      <c r="O82" s="432">
        <f t="shared" ref="O82:O93" si="50">COUNTIFS($A$209:$A$698,"&gt;30/4/2025",$A$209:$A$698,"&lt;1/6/2025",$C$209:$C$698,$I82)</f>
        <v>8</v>
      </c>
      <c r="P82" s="432">
        <f t="shared" ref="P82:P93" si="51">COUNTIFS($A$209:$A$698,"&gt;31/5/2025",$A$209:$A$698,"&lt;1/7/2025",$C$209:$C$698,$I82)</f>
        <v>3</v>
      </c>
      <c r="Q82" s="432">
        <f t="shared" ref="Q82:Q93" si="52">COUNTIFS($A$209:$A$698,"&gt;30/6/2025",$A$209:$A$698,"&lt;1/8/2025",$C$209:$C$698,$I82)</f>
        <v>10</v>
      </c>
      <c r="R82" s="432">
        <f t="shared" ref="R82:R93" si="53">COUNTIFS($A$209:$A$698,"&gt;31/7/2025",$A$209:$A$698,"&lt;1/9/2025",$C$209:$C$698,$I82)</f>
        <v>6</v>
      </c>
      <c r="S82" s="432">
        <f t="shared" ref="S82:S93" si="54">COUNTIFS($A$209:$A$698,"&gt;31/8/2025",$A$209:$A$698,"&lt;1/10/2025",$C$209:$C$698,$I82)</f>
        <v>0</v>
      </c>
      <c r="T82" s="432">
        <f t="shared" ref="T82:T93" si="55">COUNTIFS($A$209:$A$698,"&gt;30/9/2025",$A$209:$A$698,"&lt;1/11/2025",$C$209:$C$698,$I82)</f>
        <v>2</v>
      </c>
      <c r="U82" s="432">
        <f t="shared" ref="U82:U93" si="56">COUNTIFS($A$209:$A$698,"&gt;31/10/2025",$A$209:$A$698,"&lt;1/12/2025",$C$209:$C$698,$I82)</f>
        <v>17</v>
      </c>
      <c r="V82" s="432">
        <f t="shared" ref="V82:V93" si="57">COUNTIFS($A$209:$A$698,"&gt;30/11/2025",$A$209:$A$698,"&lt;1/1/2026",$C$209:$C$698,$I82)</f>
        <v>4</v>
      </c>
      <c r="W82" s="431">
        <f t="shared" ref="W82:W93" si="58">SUM(K82:V82)</f>
        <v>56</v>
      </c>
    </row>
    <row r="83" spans="1:23" ht="13.5" customHeight="1" x14ac:dyDescent="0.35">
      <c r="A83" s="1113"/>
      <c r="B83" s="1113"/>
      <c r="C83" s="1114"/>
      <c r="D83" s="1115"/>
      <c r="E83" s="1116"/>
      <c r="F83" s="1117"/>
      <c r="G83" s="1113"/>
      <c r="H83" s="1118"/>
      <c r="I83" s="581" t="s">
        <v>31</v>
      </c>
      <c r="J83" s="431"/>
      <c r="K83" s="432">
        <f t="shared" si="46"/>
        <v>10</v>
      </c>
      <c r="L83" s="432">
        <f t="shared" si="47"/>
        <v>5</v>
      </c>
      <c r="M83" s="432">
        <f t="shared" si="48"/>
        <v>11</v>
      </c>
      <c r="N83" s="432">
        <f t="shared" si="49"/>
        <v>16</v>
      </c>
      <c r="O83" s="432">
        <f t="shared" si="50"/>
        <v>18</v>
      </c>
      <c r="P83" s="432">
        <f t="shared" si="51"/>
        <v>45</v>
      </c>
      <c r="Q83" s="432">
        <f t="shared" si="52"/>
        <v>27</v>
      </c>
      <c r="R83" s="432">
        <f t="shared" si="53"/>
        <v>11</v>
      </c>
      <c r="S83" s="432">
        <f t="shared" si="54"/>
        <v>16</v>
      </c>
      <c r="T83" s="432">
        <f t="shared" si="55"/>
        <v>11</v>
      </c>
      <c r="U83" s="432">
        <f t="shared" si="56"/>
        <v>13</v>
      </c>
      <c r="V83" s="432">
        <f t="shared" si="57"/>
        <v>60</v>
      </c>
      <c r="W83" s="431">
        <f t="shared" si="58"/>
        <v>243</v>
      </c>
    </row>
    <row r="84" spans="1:23" ht="13.5" customHeight="1" x14ac:dyDescent="0.35">
      <c r="A84" s="1113"/>
      <c r="B84" s="1113"/>
      <c r="C84" s="1114"/>
      <c r="D84" s="1115"/>
      <c r="E84" s="1116"/>
      <c r="F84" s="1117"/>
      <c r="G84" s="1113"/>
      <c r="H84" s="1118"/>
      <c r="I84" s="582" t="s">
        <v>35</v>
      </c>
      <c r="J84" s="431"/>
      <c r="K84" s="432">
        <f t="shared" si="46"/>
        <v>5</v>
      </c>
      <c r="L84" s="432">
        <f t="shared" si="47"/>
        <v>1</v>
      </c>
      <c r="M84" s="432">
        <f t="shared" si="48"/>
        <v>0</v>
      </c>
      <c r="N84" s="432">
        <f t="shared" si="49"/>
        <v>0</v>
      </c>
      <c r="O84" s="432">
        <f t="shared" si="50"/>
        <v>0</v>
      </c>
      <c r="P84" s="432">
        <f t="shared" si="51"/>
        <v>3</v>
      </c>
      <c r="Q84" s="432">
        <f t="shared" si="52"/>
        <v>1</v>
      </c>
      <c r="R84" s="432">
        <f t="shared" si="53"/>
        <v>1</v>
      </c>
      <c r="S84" s="432">
        <f t="shared" si="54"/>
        <v>1</v>
      </c>
      <c r="T84" s="432">
        <f t="shared" si="55"/>
        <v>0</v>
      </c>
      <c r="U84" s="432">
        <f t="shared" si="56"/>
        <v>0</v>
      </c>
      <c r="V84" s="432">
        <f t="shared" si="57"/>
        <v>0</v>
      </c>
      <c r="W84" s="431">
        <f t="shared" si="58"/>
        <v>12</v>
      </c>
    </row>
    <row r="85" spans="1:23" ht="13.5" customHeight="1" x14ac:dyDescent="0.35">
      <c r="A85" s="1113"/>
      <c r="B85" s="1113"/>
      <c r="C85" s="1114"/>
      <c r="D85" s="1115"/>
      <c r="E85" s="1116"/>
      <c r="F85" s="1117"/>
      <c r="G85" s="1113"/>
      <c r="H85" s="1118"/>
      <c r="I85" s="581" t="s">
        <v>37</v>
      </c>
      <c r="J85" s="431"/>
      <c r="K85" s="432">
        <f t="shared" si="46"/>
        <v>1</v>
      </c>
      <c r="L85" s="432">
        <f t="shared" si="47"/>
        <v>0</v>
      </c>
      <c r="M85" s="432">
        <f t="shared" si="48"/>
        <v>0</v>
      </c>
      <c r="N85" s="432">
        <f t="shared" si="49"/>
        <v>0</v>
      </c>
      <c r="O85" s="432">
        <f t="shared" si="50"/>
        <v>0</v>
      </c>
      <c r="P85" s="432">
        <f t="shared" si="51"/>
        <v>0</v>
      </c>
      <c r="Q85" s="432">
        <f t="shared" si="52"/>
        <v>0</v>
      </c>
      <c r="R85" s="432">
        <f t="shared" si="53"/>
        <v>0</v>
      </c>
      <c r="S85" s="432">
        <f t="shared" si="54"/>
        <v>1</v>
      </c>
      <c r="T85" s="432">
        <f t="shared" si="55"/>
        <v>0</v>
      </c>
      <c r="U85" s="432">
        <f t="shared" si="56"/>
        <v>0</v>
      </c>
      <c r="V85" s="432">
        <f t="shared" si="57"/>
        <v>0</v>
      </c>
      <c r="W85" s="431">
        <f t="shared" si="58"/>
        <v>2</v>
      </c>
    </row>
    <row r="86" spans="1:23" ht="13.5" customHeight="1" x14ac:dyDescent="0.35">
      <c r="A86" s="1113"/>
      <c r="B86" s="1113"/>
      <c r="C86" s="1114"/>
      <c r="D86" s="1115"/>
      <c r="E86" s="1116"/>
      <c r="F86" s="1117"/>
      <c r="G86" s="1113"/>
      <c r="H86" s="1118"/>
      <c r="I86" s="581" t="s">
        <v>41</v>
      </c>
      <c r="J86" s="431"/>
      <c r="K86" s="432">
        <f t="shared" si="46"/>
        <v>1</v>
      </c>
      <c r="L86" s="432">
        <f t="shared" si="47"/>
        <v>1</v>
      </c>
      <c r="M86" s="432">
        <f t="shared" si="48"/>
        <v>0</v>
      </c>
      <c r="N86" s="432">
        <f t="shared" si="49"/>
        <v>0</v>
      </c>
      <c r="O86" s="432">
        <f t="shared" si="50"/>
        <v>0</v>
      </c>
      <c r="P86" s="432">
        <f t="shared" si="51"/>
        <v>1</v>
      </c>
      <c r="Q86" s="432">
        <f t="shared" si="52"/>
        <v>0</v>
      </c>
      <c r="R86" s="432">
        <f t="shared" si="53"/>
        <v>0</v>
      </c>
      <c r="S86" s="432">
        <f t="shared" si="54"/>
        <v>0</v>
      </c>
      <c r="T86" s="432">
        <f t="shared" si="55"/>
        <v>0</v>
      </c>
      <c r="U86" s="432">
        <f t="shared" si="56"/>
        <v>0</v>
      </c>
      <c r="V86" s="432">
        <f t="shared" si="57"/>
        <v>0</v>
      </c>
      <c r="W86" s="431">
        <f t="shared" si="58"/>
        <v>3</v>
      </c>
    </row>
    <row r="87" spans="1:23" ht="13.5" customHeight="1" x14ac:dyDescent="0.35">
      <c r="A87" s="1113"/>
      <c r="B87" s="1113"/>
      <c r="C87" s="1114"/>
      <c r="D87" s="1115"/>
      <c r="E87" s="1116"/>
      <c r="F87" s="1117"/>
      <c r="G87" s="1113"/>
      <c r="H87" s="1118"/>
      <c r="I87" s="581" t="s">
        <v>44</v>
      </c>
      <c r="J87" s="431"/>
      <c r="K87" s="432">
        <f t="shared" si="46"/>
        <v>2</v>
      </c>
      <c r="L87" s="432">
        <f t="shared" si="47"/>
        <v>1</v>
      </c>
      <c r="M87" s="432">
        <f t="shared" si="48"/>
        <v>2</v>
      </c>
      <c r="N87" s="432">
        <f t="shared" si="49"/>
        <v>1</v>
      </c>
      <c r="O87" s="432">
        <f t="shared" si="50"/>
        <v>2</v>
      </c>
      <c r="P87" s="432">
        <f t="shared" si="51"/>
        <v>1</v>
      </c>
      <c r="Q87" s="432">
        <f t="shared" si="52"/>
        <v>1</v>
      </c>
      <c r="R87" s="432">
        <f t="shared" si="53"/>
        <v>1</v>
      </c>
      <c r="S87" s="432">
        <f t="shared" si="54"/>
        <v>1</v>
      </c>
      <c r="T87" s="432">
        <f t="shared" si="55"/>
        <v>1</v>
      </c>
      <c r="U87" s="432">
        <f t="shared" si="56"/>
        <v>2</v>
      </c>
      <c r="V87" s="432">
        <f t="shared" si="57"/>
        <v>1</v>
      </c>
      <c r="W87" s="431">
        <f t="shared" si="58"/>
        <v>16</v>
      </c>
    </row>
    <row r="88" spans="1:23" ht="13.5" customHeight="1" x14ac:dyDescent="0.35">
      <c r="A88" s="1113"/>
      <c r="B88" s="1113"/>
      <c r="C88" s="1114"/>
      <c r="D88" s="1115"/>
      <c r="E88" s="1116"/>
      <c r="F88" s="1117"/>
      <c r="G88" s="1113"/>
      <c r="H88" s="1118"/>
      <c r="I88" s="582" t="s">
        <v>47</v>
      </c>
      <c r="J88" s="431"/>
      <c r="K88" s="432">
        <f t="shared" si="46"/>
        <v>3</v>
      </c>
      <c r="L88" s="432">
        <f t="shared" si="47"/>
        <v>2</v>
      </c>
      <c r="M88" s="432">
        <f t="shared" si="48"/>
        <v>2</v>
      </c>
      <c r="N88" s="432">
        <f t="shared" si="49"/>
        <v>3</v>
      </c>
      <c r="O88" s="432">
        <f t="shared" si="50"/>
        <v>14</v>
      </c>
      <c r="P88" s="432">
        <f t="shared" si="51"/>
        <v>4</v>
      </c>
      <c r="Q88" s="432">
        <f t="shared" si="52"/>
        <v>11</v>
      </c>
      <c r="R88" s="432">
        <f t="shared" si="53"/>
        <v>0</v>
      </c>
      <c r="S88" s="432">
        <f t="shared" si="54"/>
        <v>3</v>
      </c>
      <c r="T88" s="432">
        <f t="shared" si="55"/>
        <v>5</v>
      </c>
      <c r="U88" s="432">
        <f t="shared" si="56"/>
        <v>1</v>
      </c>
      <c r="V88" s="432">
        <f t="shared" si="57"/>
        <v>1</v>
      </c>
      <c r="W88" s="431">
        <f t="shared" si="58"/>
        <v>49</v>
      </c>
    </row>
    <row r="89" spans="1:23" ht="13.5" customHeight="1" x14ac:dyDescent="0.35">
      <c r="A89" s="1113"/>
      <c r="B89" s="1113"/>
      <c r="C89" s="1114"/>
      <c r="D89" s="1115"/>
      <c r="E89" s="1116"/>
      <c r="F89" s="1117"/>
      <c r="G89" s="1113"/>
      <c r="H89" s="1118"/>
      <c r="I89" s="582" t="s">
        <v>50</v>
      </c>
      <c r="J89" s="431"/>
      <c r="K89" s="432">
        <f t="shared" si="46"/>
        <v>0</v>
      </c>
      <c r="L89" s="432">
        <f t="shared" si="47"/>
        <v>0</v>
      </c>
      <c r="M89" s="432">
        <f t="shared" si="48"/>
        <v>0</v>
      </c>
      <c r="N89" s="432">
        <f t="shared" si="49"/>
        <v>0</v>
      </c>
      <c r="O89" s="432">
        <f t="shared" si="50"/>
        <v>2</v>
      </c>
      <c r="P89" s="432">
        <f t="shared" si="51"/>
        <v>2</v>
      </c>
      <c r="Q89" s="432">
        <f t="shared" si="52"/>
        <v>0</v>
      </c>
      <c r="R89" s="432">
        <f t="shared" si="53"/>
        <v>1</v>
      </c>
      <c r="S89" s="432">
        <f t="shared" si="54"/>
        <v>1</v>
      </c>
      <c r="T89" s="432">
        <f t="shared" si="55"/>
        <v>1</v>
      </c>
      <c r="U89" s="432">
        <f t="shared" si="56"/>
        <v>0</v>
      </c>
      <c r="V89" s="432">
        <f t="shared" si="57"/>
        <v>2</v>
      </c>
      <c r="W89" s="431">
        <f t="shared" si="58"/>
        <v>9</v>
      </c>
    </row>
    <row r="90" spans="1:23" ht="13.5" customHeight="1" x14ac:dyDescent="0.35">
      <c r="A90" s="1113"/>
      <c r="B90" s="1113"/>
      <c r="C90" s="1114"/>
      <c r="D90" s="1115"/>
      <c r="E90" s="1116"/>
      <c r="F90" s="1117"/>
      <c r="G90" s="1113"/>
      <c r="H90" s="1118"/>
      <c r="I90" s="582" t="s">
        <v>53</v>
      </c>
      <c r="J90" s="431"/>
      <c r="K90" s="432">
        <f t="shared" si="46"/>
        <v>6</v>
      </c>
      <c r="L90" s="432">
        <f t="shared" si="47"/>
        <v>0</v>
      </c>
      <c r="M90" s="432">
        <f t="shared" si="48"/>
        <v>1</v>
      </c>
      <c r="N90" s="432">
        <f t="shared" si="49"/>
        <v>1</v>
      </c>
      <c r="O90" s="432">
        <f t="shared" si="50"/>
        <v>1</v>
      </c>
      <c r="P90" s="432">
        <f t="shared" si="51"/>
        <v>0</v>
      </c>
      <c r="Q90" s="432">
        <f t="shared" si="52"/>
        <v>1</v>
      </c>
      <c r="R90" s="432">
        <f t="shared" si="53"/>
        <v>1</v>
      </c>
      <c r="S90" s="432">
        <f t="shared" si="54"/>
        <v>0</v>
      </c>
      <c r="T90" s="432">
        <f t="shared" si="55"/>
        <v>0</v>
      </c>
      <c r="U90" s="432">
        <f t="shared" si="56"/>
        <v>3</v>
      </c>
      <c r="V90" s="432">
        <f t="shared" si="57"/>
        <v>0</v>
      </c>
      <c r="W90" s="431">
        <f t="shared" si="58"/>
        <v>14</v>
      </c>
    </row>
    <row r="91" spans="1:23" ht="13.5" customHeight="1" x14ac:dyDescent="0.35">
      <c r="A91" s="1113"/>
      <c r="B91" s="1113"/>
      <c r="C91" s="1114"/>
      <c r="D91" s="1115"/>
      <c r="E91" s="1116"/>
      <c r="F91" s="1117"/>
      <c r="G91" s="1113"/>
      <c r="H91" s="1118"/>
      <c r="I91" s="582" t="s">
        <v>56</v>
      </c>
      <c r="J91" s="431"/>
      <c r="K91" s="432">
        <f t="shared" si="46"/>
        <v>1</v>
      </c>
      <c r="L91" s="432">
        <f t="shared" si="47"/>
        <v>1</v>
      </c>
      <c r="M91" s="432">
        <f t="shared" si="48"/>
        <v>1</v>
      </c>
      <c r="N91" s="432">
        <f t="shared" si="49"/>
        <v>0</v>
      </c>
      <c r="O91" s="432">
        <f t="shared" si="50"/>
        <v>0</v>
      </c>
      <c r="P91" s="432">
        <f t="shared" si="51"/>
        <v>1</v>
      </c>
      <c r="Q91" s="432">
        <f t="shared" si="52"/>
        <v>0</v>
      </c>
      <c r="R91" s="432">
        <f t="shared" si="53"/>
        <v>0</v>
      </c>
      <c r="S91" s="432">
        <f t="shared" si="54"/>
        <v>1</v>
      </c>
      <c r="T91" s="432">
        <f t="shared" si="55"/>
        <v>0</v>
      </c>
      <c r="U91" s="432">
        <f t="shared" si="56"/>
        <v>1</v>
      </c>
      <c r="V91" s="432">
        <f t="shared" si="57"/>
        <v>1</v>
      </c>
      <c r="W91" s="431">
        <f t="shared" si="58"/>
        <v>7</v>
      </c>
    </row>
    <row r="92" spans="1:23" ht="13.5" customHeight="1" x14ac:dyDescent="0.35">
      <c r="A92" s="1113"/>
      <c r="B92" s="1113"/>
      <c r="C92" s="1114"/>
      <c r="D92" s="1115"/>
      <c r="E92" s="1116"/>
      <c r="F92" s="1117"/>
      <c r="G92" s="1113"/>
      <c r="H92" s="1118"/>
      <c r="I92" s="582" t="s">
        <v>59</v>
      </c>
      <c r="J92" s="431"/>
      <c r="K92" s="432">
        <f t="shared" si="46"/>
        <v>1</v>
      </c>
      <c r="L92" s="432">
        <f t="shared" si="47"/>
        <v>2</v>
      </c>
      <c r="M92" s="432">
        <f t="shared" si="48"/>
        <v>0</v>
      </c>
      <c r="N92" s="432">
        <f t="shared" si="49"/>
        <v>0</v>
      </c>
      <c r="O92" s="432">
        <f t="shared" si="50"/>
        <v>2</v>
      </c>
      <c r="P92" s="432">
        <f t="shared" si="51"/>
        <v>3</v>
      </c>
      <c r="Q92" s="432">
        <f t="shared" si="52"/>
        <v>0</v>
      </c>
      <c r="R92" s="432">
        <f t="shared" si="53"/>
        <v>1</v>
      </c>
      <c r="S92" s="432">
        <f t="shared" si="54"/>
        <v>0</v>
      </c>
      <c r="T92" s="432">
        <f t="shared" si="55"/>
        <v>1</v>
      </c>
      <c r="U92" s="432">
        <f t="shared" si="56"/>
        <v>0</v>
      </c>
      <c r="V92" s="432">
        <f t="shared" si="57"/>
        <v>2</v>
      </c>
      <c r="W92" s="431">
        <f t="shared" si="58"/>
        <v>12</v>
      </c>
    </row>
    <row r="93" spans="1:23" ht="13.5" customHeight="1" x14ac:dyDescent="0.35">
      <c r="A93" s="1113"/>
      <c r="B93" s="1113"/>
      <c r="C93" s="1114"/>
      <c r="D93" s="1115"/>
      <c r="E93" s="1116"/>
      <c r="F93" s="1117"/>
      <c r="G93" s="1113"/>
      <c r="H93" s="1118"/>
      <c r="I93" s="582" t="s">
        <v>569</v>
      </c>
      <c r="J93" s="431"/>
      <c r="K93" s="432">
        <f t="shared" si="46"/>
        <v>0</v>
      </c>
      <c r="L93" s="432">
        <f t="shared" si="47"/>
        <v>0</v>
      </c>
      <c r="M93" s="432">
        <f t="shared" si="48"/>
        <v>0</v>
      </c>
      <c r="N93" s="432">
        <f t="shared" si="49"/>
        <v>0</v>
      </c>
      <c r="O93" s="432">
        <f t="shared" si="50"/>
        <v>0</v>
      </c>
      <c r="P93" s="432">
        <f t="shared" si="51"/>
        <v>0</v>
      </c>
      <c r="Q93" s="432">
        <f t="shared" si="52"/>
        <v>0</v>
      </c>
      <c r="R93" s="432">
        <f t="shared" si="53"/>
        <v>0</v>
      </c>
      <c r="S93" s="432">
        <f t="shared" si="54"/>
        <v>0</v>
      </c>
      <c r="T93" s="432">
        <f t="shared" si="55"/>
        <v>0</v>
      </c>
      <c r="U93" s="432">
        <f t="shared" si="56"/>
        <v>0</v>
      </c>
      <c r="V93" s="432">
        <f t="shared" si="57"/>
        <v>0</v>
      </c>
      <c r="W93" s="431">
        <f t="shared" si="58"/>
        <v>0</v>
      </c>
    </row>
    <row r="94" spans="1:23" ht="14.25" customHeight="1" thickBot="1" x14ac:dyDescent="0.45">
      <c r="A94" s="1113"/>
      <c r="B94" s="1119"/>
      <c r="C94" s="1114"/>
      <c r="D94" s="1115"/>
      <c r="E94" s="1116"/>
      <c r="F94" s="1117"/>
      <c r="G94" s="1113"/>
      <c r="H94" s="1118"/>
      <c r="I94" s="824" t="s">
        <v>63</v>
      </c>
      <c r="J94" s="825"/>
      <c r="K94" s="909">
        <f t="shared" ref="K94:W94" si="59">SUM(K82:K93)</f>
        <v>32</v>
      </c>
      <c r="L94" s="909">
        <f t="shared" si="59"/>
        <v>13</v>
      </c>
      <c r="M94" s="909">
        <f t="shared" si="59"/>
        <v>17</v>
      </c>
      <c r="N94" s="909">
        <f t="shared" si="59"/>
        <v>25</v>
      </c>
      <c r="O94" s="909">
        <f t="shared" si="59"/>
        <v>47</v>
      </c>
      <c r="P94" s="909">
        <f t="shared" si="59"/>
        <v>63</v>
      </c>
      <c r="Q94" s="909">
        <f t="shared" si="59"/>
        <v>51</v>
      </c>
      <c r="R94" s="909">
        <f t="shared" si="59"/>
        <v>22</v>
      </c>
      <c r="S94" s="909">
        <f t="shared" si="59"/>
        <v>24</v>
      </c>
      <c r="T94" s="909">
        <f t="shared" si="59"/>
        <v>21</v>
      </c>
      <c r="U94" s="909">
        <f t="shared" si="59"/>
        <v>37</v>
      </c>
      <c r="V94" s="909">
        <f t="shared" si="59"/>
        <v>71</v>
      </c>
      <c r="W94" s="825">
        <f t="shared" si="59"/>
        <v>423</v>
      </c>
    </row>
    <row r="95" spans="1:23" ht="13.9" customHeight="1" thickTop="1" x14ac:dyDescent="0.35">
      <c r="A95" s="1113"/>
      <c r="B95" s="1113"/>
      <c r="C95" s="1114"/>
      <c r="D95" s="1115"/>
      <c r="E95" s="1116"/>
      <c r="F95" s="1117"/>
      <c r="G95" s="1113"/>
      <c r="H95" s="1118"/>
    </row>
    <row r="96" spans="1:23" ht="13.9" customHeight="1" x14ac:dyDescent="0.4">
      <c r="A96" s="1113"/>
      <c r="B96" s="1113"/>
      <c r="C96" s="1114"/>
      <c r="D96" s="1115"/>
      <c r="E96" s="1116"/>
      <c r="F96" s="1117"/>
      <c r="G96" s="1113"/>
      <c r="H96" s="1118"/>
      <c r="I96" s="420" t="s">
        <v>140</v>
      </c>
      <c r="J96" s="557" t="s">
        <v>155</v>
      </c>
      <c r="K96" s="577" t="s">
        <v>142</v>
      </c>
      <c r="L96" s="577" t="s">
        <v>143</v>
      </c>
      <c r="M96" s="577" t="s">
        <v>144</v>
      </c>
      <c r="N96" s="577" t="s">
        <v>145</v>
      </c>
      <c r="O96" s="577" t="s">
        <v>146</v>
      </c>
      <c r="P96" s="577" t="s">
        <v>147</v>
      </c>
      <c r="Q96" s="577" t="s">
        <v>148</v>
      </c>
      <c r="R96" s="577" t="s">
        <v>149</v>
      </c>
      <c r="S96" s="577" t="s">
        <v>150</v>
      </c>
      <c r="T96" s="577" t="s">
        <v>151</v>
      </c>
      <c r="U96" s="577" t="s">
        <v>152</v>
      </c>
      <c r="V96" s="577" t="s">
        <v>153</v>
      </c>
      <c r="W96" s="577" t="s">
        <v>19</v>
      </c>
    </row>
    <row r="97" spans="1:26" ht="13.5" customHeight="1" x14ac:dyDescent="0.35">
      <c r="A97" s="1113"/>
      <c r="B97" s="1113"/>
      <c r="C97" s="1114"/>
      <c r="D97" s="1115"/>
      <c r="E97" s="1116"/>
      <c r="F97" s="1117"/>
      <c r="G97" s="1113"/>
      <c r="H97" s="1118"/>
      <c r="I97" s="581" t="s">
        <v>28</v>
      </c>
      <c r="J97" s="431"/>
      <c r="K97" s="432">
        <f t="shared" ref="K97:W97" si="60">IFERROR(K6/K82,0)</f>
        <v>212.5</v>
      </c>
      <c r="L97" s="432">
        <f t="shared" si="60"/>
        <v>0</v>
      </c>
      <c r="M97" s="432">
        <f t="shared" si="60"/>
        <v>0</v>
      </c>
      <c r="N97" s="432">
        <f t="shared" si="60"/>
        <v>150</v>
      </c>
      <c r="O97" s="432">
        <f t="shared" si="60"/>
        <v>150</v>
      </c>
      <c r="P97" s="432">
        <f t="shared" si="60"/>
        <v>150</v>
      </c>
      <c r="Q97" s="432">
        <f t="shared" si="60"/>
        <v>150</v>
      </c>
      <c r="R97" s="432">
        <f t="shared" si="60"/>
        <v>129.16666666666666</v>
      </c>
      <c r="S97" s="432">
        <f t="shared" si="60"/>
        <v>0</v>
      </c>
      <c r="T97" s="432">
        <f t="shared" si="60"/>
        <v>210</v>
      </c>
      <c r="U97" s="432">
        <f t="shared" si="60"/>
        <v>155.29411764705881</v>
      </c>
      <c r="V97" s="432">
        <f t="shared" si="60"/>
        <v>142.5</v>
      </c>
      <c r="W97" s="431">
        <f t="shared" si="60"/>
        <v>153.21428571428572</v>
      </c>
    </row>
    <row r="98" spans="1:26" ht="13.5" customHeight="1" x14ac:dyDescent="0.35">
      <c r="A98" s="1113"/>
      <c r="B98" s="1113"/>
      <c r="C98" s="1114"/>
      <c r="D98" s="1115"/>
      <c r="E98" s="1116"/>
      <c r="F98" s="1117"/>
      <c r="G98" s="1113"/>
      <c r="H98" s="1118"/>
      <c r="I98" s="581" t="s">
        <v>31</v>
      </c>
      <c r="J98" s="431"/>
      <c r="K98" s="432">
        <f t="shared" ref="K98:W98" si="61">IFERROR(K7/K83,0)</f>
        <v>49.7</v>
      </c>
      <c r="L98" s="432">
        <f t="shared" si="61"/>
        <v>65.599999999999994</v>
      </c>
      <c r="M98" s="432">
        <f t="shared" si="61"/>
        <v>119.27272727272727</v>
      </c>
      <c r="N98" s="432">
        <f t="shared" si="61"/>
        <v>74.5625</v>
      </c>
      <c r="O98" s="432">
        <f t="shared" si="61"/>
        <v>65.111111111111114</v>
      </c>
      <c r="P98" s="432">
        <f t="shared" si="61"/>
        <v>76.382222222222225</v>
      </c>
      <c r="Q98" s="432">
        <f t="shared" si="61"/>
        <v>88.148148148148152</v>
      </c>
      <c r="R98" s="432">
        <f t="shared" si="61"/>
        <v>57.636363636363633</v>
      </c>
      <c r="S98" s="432">
        <f t="shared" si="61"/>
        <v>118.375</v>
      </c>
      <c r="T98" s="432">
        <f t="shared" si="61"/>
        <v>92.909090909090907</v>
      </c>
      <c r="U98" s="432">
        <f t="shared" si="61"/>
        <v>72.307692307692307</v>
      </c>
      <c r="V98" s="432">
        <f t="shared" si="61"/>
        <v>68.13333333333334</v>
      </c>
      <c r="W98" s="431">
        <f t="shared" si="61"/>
        <v>77.766255144032925</v>
      </c>
    </row>
    <row r="99" spans="1:26" ht="13.5" customHeight="1" x14ac:dyDescent="0.35">
      <c r="A99" s="1113"/>
      <c r="B99" s="1113"/>
      <c r="C99" s="1114"/>
      <c r="D99" s="1115"/>
      <c r="E99" s="1116"/>
      <c r="F99" s="1117"/>
      <c r="G99" s="1113"/>
      <c r="H99" s="1118"/>
      <c r="I99" s="582" t="s">
        <v>35</v>
      </c>
      <c r="J99" s="431"/>
      <c r="K99" s="432">
        <f t="shared" ref="K99:W99" si="62">IFERROR(K8/K84,0)</f>
        <v>680.8</v>
      </c>
      <c r="L99" s="432">
        <f t="shared" si="62"/>
        <v>995</v>
      </c>
      <c r="M99" s="432">
        <f t="shared" si="62"/>
        <v>0</v>
      </c>
      <c r="N99" s="432">
        <f t="shared" si="62"/>
        <v>0</v>
      </c>
      <c r="O99" s="432">
        <f t="shared" si="62"/>
        <v>0</v>
      </c>
      <c r="P99" s="432">
        <f t="shared" si="62"/>
        <v>873.33333333333337</v>
      </c>
      <c r="Q99" s="432">
        <f t="shared" si="62"/>
        <v>895</v>
      </c>
      <c r="R99" s="432">
        <f t="shared" si="62"/>
        <v>82.4</v>
      </c>
      <c r="S99" s="432">
        <f t="shared" si="62"/>
        <v>750</v>
      </c>
      <c r="T99" s="432">
        <f t="shared" si="62"/>
        <v>0</v>
      </c>
      <c r="U99" s="432">
        <f t="shared" si="62"/>
        <v>0</v>
      </c>
      <c r="V99" s="432">
        <f t="shared" si="62"/>
        <v>0</v>
      </c>
      <c r="W99" s="431">
        <f t="shared" si="62"/>
        <v>728.86666666666667</v>
      </c>
    </row>
    <row r="100" spans="1:26" ht="13.5" customHeight="1" x14ac:dyDescent="0.35">
      <c r="A100" s="1113"/>
      <c r="B100" s="1113"/>
      <c r="C100" s="1114"/>
      <c r="D100" s="1115"/>
      <c r="E100" s="1116"/>
      <c r="F100" s="1117"/>
      <c r="G100" s="1113"/>
      <c r="H100" s="1118"/>
      <c r="I100" s="581" t="s">
        <v>37</v>
      </c>
      <c r="J100" s="431"/>
      <c r="K100" s="432">
        <f t="shared" ref="K100:W100" si="63">IFERROR(K9/K85,0)</f>
        <v>250</v>
      </c>
      <c r="L100" s="432">
        <f t="shared" si="63"/>
        <v>0</v>
      </c>
      <c r="M100" s="432">
        <f t="shared" si="63"/>
        <v>0</v>
      </c>
      <c r="N100" s="432">
        <f t="shared" si="63"/>
        <v>0</v>
      </c>
      <c r="O100" s="432">
        <f t="shared" si="63"/>
        <v>0</v>
      </c>
      <c r="P100" s="432">
        <f t="shared" si="63"/>
        <v>0</v>
      </c>
      <c r="Q100" s="432">
        <f t="shared" si="63"/>
        <v>0</v>
      </c>
      <c r="R100" s="432">
        <f t="shared" si="63"/>
        <v>0</v>
      </c>
      <c r="S100" s="432">
        <f t="shared" si="63"/>
        <v>1200</v>
      </c>
      <c r="T100" s="432">
        <f t="shared" si="63"/>
        <v>0</v>
      </c>
      <c r="U100" s="432">
        <f t="shared" si="63"/>
        <v>0</v>
      </c>
      <c r="V100" s="432">
        <f t="shared" si="63"/>
        <v>0</v>
      </c>
      <c r="W100" s="431">
        <f t="shared" si="63"/>
        <v>725</v>
      </c>
    </row>
    <row r="101" spans="1:26" ht="13.5" customHeight="1" x14ac:dyDescent="0.35">
      <c r="A101" s="1113"/>
      <c r="B101" s="1113"/>
      <c r="C101" s="1114"/>
      <c r="D101" s="1115"/>
      <c r="E101" s="1116"/>
      <c r="F101" s="1117"/>
      <c r="G101" s="1113"/>
      <c r="H101" s="1118"/>
      <c r="I101" s="581" t="s">
        <v>41</v>
      </c>
      <c r="J101" s="431"/>
      <c r="K101" s="432">
        <f t="shared" ref="K101:W101" si="64">IFERROR(K10/K86,0)</f>
        <v>-845.75</v>
      </c>
      <c r="L101" s="432">
        <f t="shared" si="64"/>
        <v>-65</v>
      </c>
      <c r="M101" s="432">
        <f t="shared" si="64"/>
        <v>0</v>
      </c>
      <c r="N101" s="432">
        <f t="shared" si="64"/>
        <v>0</v>
      </c>
      <c r="O101" s="432">
        <f t="shared" si="64"/>
        <v>0</v>
      </c>
      <c r="P101" s="432">
        <f t="shared" si="64"/>
        <v>-1120</v>
      </c>
      <c r="Q101" s="432">
        <f t="shared" si="64"/>
        <v>0</v>
      </c>
      <c r="R101" s="432">
        <f t="shared" si="64"/>
        <v>0</v>
      </c>
      <c r="S101" s="432">
        <f t="shared" si="64"/>
        <v>0</v>
      </c>
      <c r="T101" s="432">
        <f t="shared" si="64"/>
        <v>0</v>
      </c>
      <c r="U101" s="432">
        <f t="shared" si="64"/>
        <v>0</v>
      </c>
      <c r="V101" s="432">
        <f t="shared" si="64"/>
        <v>0</v>
      </c>
      <c r="W101" s="431">
        <f t="shared" si="64"/>
        <v>-676.91666666666663</v>
      </c>
    </row>
    <row r="102" spans="1:26" ht="13.5" customHeight="1" x14ac:dyDescent="0.35">
      <c r="A102" s="1113"/>
      <c r="B102" s="1113"/>
      <c r="C102" s="1114"/>
      <c r="D102" s="1115"/>
      <c r="E102" s="1116"/>
      <c r="F102" s="1117"/>
      <c r="G102" s="1113"/>
      <c r="H102" s="1118"/>
      <c r="I102" s="581" t="s">
        <v>44</v>
      </c>
      <c r="J102" s="431"/>
      <c r="K102" s="432">
        <f t="shared" ref="K102:W102" si="65">IFERROR(K11/K87,0)</f>
        <v>42.5</v>
      </c>
      <c r="L102" s="432">
        <f t="shared" si="65"/>
        <v>55</v>
      </c>
      <c r="M102" s="432">
        <f t="shared" si="65"/>
        <v>35</v>
      </c>
      <c r="N102" s="432">
        <f t="shared" si="65"/>
        <v>50</v>
      </c>
      <c r="O102" s="432">
        <f t="shared" si="65"/>
        <v>100</v>
      </c>
      <c r="P102" s="432">
        <f t="shared" si="65"/>
        <v>50</v>
      </c>
      <c r="Q102" s="432">
        <f t="shared" si="65"/>
        <v>35</v>
      </c>
      <c r="R102" s="432">
        <f t="shared" si="65"/>
        <v>35</v>
      </c>
      <c r="S102" s="432">
        <f t="shared" si="65"/>
        <v>35</v>
      </c>
      <c r="T102" s="432">
        <f t="shared" si="65"/>
        <v>35</v>
      </c>
      <c r="U102" s="432">
        <f t="shared" si="65"/>
        <v>137.5</v>
      </c>
      <c r="V102" s="432">
        <f t="shared" si="65"/>
        <v>40</v>
      </c>
      <c r="W102" s="431">
        <f t="shared" si="65"/>
        <v>60.3125</v>
      </c>
    </row>
    <row r="103" spans="1:26" ht="13.5" customHeight="1" x14ac:dyDescent="0.35">
      <c r="A103" s="1113"/>
      <c r="B103" s="1113"/>
      <c r="C103" s="1114"/>
      <c r="D103" s="1115"/>
      <c r="E103" s="1116"/>
      <c r="F103" s="1117"/>
      <c r="G103" s="1113"/>
      <c r="H103" s="1118"/>
      <c r="I103" s="582" t="s">
        <v>47</v>
      </c>
      <c r="J103" s="431"/>
      <c r="K103" s="432">
        <f t="shared" ref="K103:W103" si="66">IFERROR(K12/K88,0)</f>
        <v>260</v>
      </c>
      <c r="L103" s="432">
        <f t="shared" si="66"/>
        <v>300</v>
      </c>
      <c r="M103" s="432">
        <f t="shared" si="66"/>
        <v>157.5</v>
      </c>
      <c r="N103" s="432">
        <f t="shared" si="66"/>
        <v>50</v>
      </c>
      <c r="O103" s="432">
        <f t="shared" si="66"/>
        <v>90</v>
      </c>
      <c r="P103" s="432">
        <f t="shared" si="66"/>
        <v>91.25</v>
      </c>
      <c r="Q103" s="432">
        <f t="shared" si="66"/>
        <v>95.909090909090907</v>
      </c>
      <c r="R103" s="432">
        <f t="shared" si="66"/>
        <v>0</v>
      </c>
      <c r="S103" s="432">
        <f t="shared" si="66"/>
        <v>251.66666666666666</v>
      </c>
      <c r="T103" s="432">
        <f t="shared" si="66"/>
        <v>101</v>
      </c>
      <c r="U103" s="432">
        <f t="shared" si="66"/>
        <v>240</v>
      </c>
      <c r="V103" s="432">
        <f t="shared" si="66"/>
        <v>65</v>
      </c>
      <c r="W103" s="431">
        <f t="shared" si="66"/>
        <v>124.28571428571429</v>
      </c>
    </row>
    <row r="104" spans="1:26" ht="13.5" customHeight="1" x14ac:dyDescent="0.35">
      <c r="A104" s="1113"/>
      <c r="B104" s="1113"/>
      <c r="C104" s="1114"/>
      <c r="D104" s="1115"/>
      <c r="E104" s="1116"/>
      <c r="F104" s="1117"/>
      <c r="G104" s="1113"/>
      <c r="H104" s="1118"/>
      <c r="I104" s="582" t="s">
        <v>50</v>
      </c>
      <c r="J104" s="431"/>
      <c r="K104" s="432">
        <f t="shared" ref="K104:W104" si="67">IFERROR(K13/K89,0)</f>
        <v>0</v>
      </c>
      <c r="L104" s="432">
        <f t="shared" si="67"/>
        <v>0</v>
      </c>
      <c r="M104" s="432">
        <f t="shared" si="67"/>
        <v>0</v>
      </c>
      <c r="N104" s="432">
        <f t="shared" si="67"/>
        <v>0</v>
      </c>
      <c r="O104" s="432">
        <f t="shared" si="67"/>
        <v>62.5</v>
      </c>
      <c r="P104" s="432">
        <f t="shared" si="67"/>
        <v>200</v>
      </c>
      <c r="Q104" s="432">
        <f t="shared" si="67"/>
        <v>0</v>
      </c>
      <c r="R104" s="432">
        <f t="shared" si="67"/>
        <v>100</v>
      </c>
      <c r="S104" s="432">
        <f t="shared" si="67"/>
        <v>150</v>
      </c>
      <c r="T104" s="432">
        <f t="shared" si="67"/>
        <v>65</v>
      </c>
      <c r="U104" s="432">
        <f t="shared" si="67"/>
        <v>0</v>
      </c>
      <c r="V104" s="432">
        <f t="shared" si="67"/>
        <v>50</v>
      </c>
      <c r="W104" s="431">
        <f t="shared" si="67"/>
        <v>104.44444444444444</v>
      </c>
    </row>
    <row r="105" spans="1:26" ht="13.5" customHeight="1" x14ac:dyDescent="0.35">
      <c r="A105" s="1113"/>
      <c r="B105" s="1113"/>
      <c r="C105" s="1114"/>
      <c r="D105" s="1115"/>
      <c r="E105" s="1116"/>
      <c r="F105" s="1117"/>
      <c r="G105" s="1113"/>
      <c r="H105" s="1118"/>
      <c r="I105" s="582" t="s">
        <v>53</v>
      </c>
      <c r="J105" s="431"/>
      <c r="K105" s="432">
        <f t="shared" ref="K105:W105" si="68">IFERROR(K14/K90,0)</f>
        <v>-98.166666666666671</v>
      </c>
      <c r="L105" s="432">
        <f t="shared" si="68"/>
        <v>0</v>
      </c>
      <c r="M105" s="432">
        <f t="shared" si="68"/>
        <v>-100</v>
      </c>
      <c r="N105" s="432">
        <f t="shared" si="68"/>
        <v>-50</v>
      </c>
      <c r="O105" s="432">
        <f t="shared" si="68"/>
        <v>-150</v>
      </c>
      <c r="P105" s="432">
        <f t="shared" si="68"/>
        <v>0</v>
      </c>
      <c r="Q105" s="432">
        <f t="shared" si="68"/>
        <v>-300</v>
      </c>
      <c r="R105" s="432">
        <f t="shared" si="68"/>
        <v>-99</v>
      </c>
      <c r="S105" s="432">
        <f t="shared" si="68"/>
        <v>0</v>
      </c>
      <c r="T105" s="432">
        <f t="shared" si="68"/>
        <v>0</v>
      </c>
      <c r="U105" s="432">
        <f t="shared" si="68"/>
        <v>-100</v>
      </c>
      <c r="V105" s="432">
        <f t="shared" si="68"/>
        <v>0</v>
      </c>
      <c r="W105" s="431">
        <f t="shared" si="68"/>
        <v>-113.42857142857143</v>
      </c>
    </row>
    <row r="106" spans="1:26" ht="13.5" customHeight="1" x14ac:dyDescent="0.35">
      <c r="A106" s="1113"/>
      <c r="B106" s="1113"/>
      <c r="C106" s="1114"/>
      <c r="D106" s="1115"/>
      <c r="E106" s="1116"/>
      <c r="F106" s="1117"/>
      <c r="G106" s="1113"/>
      <c r="H106" s="1118"/>
      <c r="I106" s="582" t="s">
        <v>56</v>
      </c>
      <c r="J106" s="431"/>
      <c r="K106" s="432">
        <f t="shared" ref="K106:W106" si="69">IFERROR(K15/K91,0)</f>
        <v>67.61</v>
      </c>
      <c r="L106" s="432">
        <f t="shared" si="69"/>
        <v>70.84</v>
      </c>
      <c r="M106" s="432">
        <f t="shared" si="69"/>
        <v>80.83</v>
      </c>
      <c r="N106" s="432">
        <f t="shared" si="69"/>
        <v>0</v>
      </c>
      <c r="O106" s="432">
        <f t="shared" si="69"/>
        <v>0</v>
      </c>
      <c r="P106" s="432">
        <f t="shared" si="69"/>
        <v>87.1</v>
      </c>
      <c r="Q106" s="432">
        <f t="shared" si="69"/>
        <v>0</v>
      </c>
      <c r="R106" s="432">
        <f t="shared" si="69"/>
        <v>0</v>
      </c>
      <c r="S106" s="432">
        <f t="shared" si="69"/>
        <v>14.48</v>
      </c>
      <c r="T106" s="432">
        <f t="shared" si="69"/>
        <v>0</v>
      </c>
      <c r="U106" s="432">
        <f t="shared" si="69"/>
        <v>279.8</v>
      </c>
      <c r="V106" s="432">
        <f t="shared" si="69"/>
        <v>41.95</v>
      </c>
      <c r="W106" s="431">
        <f t="shared" si="69"/>
        <v>91.801428571428588</v>
      </c>
    </row>
    <row r="107" spans="1:26" ht="13.5" customHeight="1" x14ac:dyDescent="0.35">
      <c r="A107" s="1113"/>
      <c r="B107" s="1113"/>
      <c r="C107" s="1114"/>
      <c r="D107" s="1115"/>
      <c r="E107" s="1116"/>
      <c r="F107" s="1117"/>
      <c r="G107" s="1113"/>
      <c r="H107" s="1118"/>
      <c r="I107" s="582" t="s">
        <v>59</v>
      </c>
      <c r="J107" s="431"/>
      <c r="K107" s="432">
        <f t="shared" ref="K107:W107" si="70">IFERROR(K16/K92,0)</f>
        <v>150</v>
      </c>
      <c r="L107" s="432">
        <f t="shared" si="70"/>
        <v>167.5</v>
      </c>
      <c r="M107" s="432">
        <f t="shared" si="70"/>
        <v>0</v>
      </c>
      <c r="N107" s="432">
        <f t="shared" si="70"/>
        <v>0</v>
      </c>
      <c r="O107" s="432">
        <f t="shared" si="70"/>
        <v>112.5</v>
      </c>
      <c r="P107" s="432">
        <f t="shared" si="70"/>
        <v>266.66666666666669</v>
      </c>
      <c r="Q107" s="432">
        <f t="shared" si="70"/>
        <v>0</v>
      </c>
      <c r="R107" s="432">
        <f t="shared" si="70"/>
        <v>75</v>
      </c>
      <c r="S107" s="432">
        <f t="shared" si="70"/>
        <v>0</v>
      </c>
      <c r="T107" s="432">
        <f t="shared" si="70"/>
        <v>695</v>
      </c>
      <c r="U107" s="432">
        <f t="shared" si="70"/>
        <v>0</v>
      </c>
      <c r="V107" s="432">
        <f t="shared" si="70"/>
        <v>200</v>
      </c>
      <c r="W107" s="431">
        <f t="shared" si="70"/>
        <v>223.33333333333334</v>
      </c>
    </row>
    <row r="108" spans="1:26" ht="13.5" customHeight="1" x14ac:dyDescent="0.35">
      <c r="A108" s="1113"/>
      <c r="B108" s="1113"/>
      <c r="C108" s="1114"/>
      <c r="D108" s="1115"/>
      <c r="E108" s="1116"/>
      <c r="F108" s="1117"/>
      <c r="G108" s="1113"/>
      <c r="H108" s="1118"/>
      <c r="I108" s="582" t="s">
        <v>569</v>
      </c>
      <c r="J108" s="431"/>
      <c r="K108" s="432">
        <f t="shared" ref="K108:W108" si="71">IFERROR(K17/K93,0)</f>
        <v>0</v>
      </c>
      <c r="L108" s="432">
        <f t="shared" si="71"/>
        <v>0</v>
      </c>
      <c r="M108" s="432">
        <f t="shared" si="71"/>
        <v>0</v>
      </c>
      <c r="N108" s="432">
        <f t="shared" si="71"/>
        <v>0</v>
      </c>
      <c r="O108" s="432">
        <f t="shared" si="71"/>
        <v>0</v>
      </c>
      <c r="P108" s="432">
        <f t="shared" si="71"/>
        <v>0</v>
      </c>
      <c r="Q108" s="432">
        <f t="shared" si="71"/>
        <v>0</v>
      </c>
      <c r="R108" s="432">
        <f t="shared" si="71"/>
        <v>0</v>
      </c>
      <c r="S108" s="432">
        <f t="shared" si="71"/>
        <v>0</v>
      </c>
      <c r="T108" s="432">
        <f t="shared" si="71"/>
        <v>0</v>
      </c>
      <c r="U108" s="432">
        <f t="shared" si="71"/>
        <v>0</v>
      </c>
      <c r="V108" s="432">
        <f t="shared" si="71"/>
        <v>0</v>
      </c>
      <c r="W108" s="431">
        <f t="shared" si="71"/>
        <v>0</v>
      </c>
    </row>
    <row r="109" spans="1:26" ht="14.25" customHeight="1" thickBot="1" x14ac:dyDescent="0.45">
      <c r="A109" s="1113"/>
      <c r="B109" s="1113"/>
      <c r="C109" s="1114"/>
      <c r="D109" s="1115"/>
      <c r="E109" s="1116"/>
      <c r="F109" s="1117"/>
      <c r="G109" s="1113"/>
      <c r="H109" s="1118"/>
      <c r="I109" s="824" t="s">
        <v>63</v>
      </c>
      <c r="J109" s="825"/>
      <c r="K109" s="910">
        <f t="shared" ref="K109:W109" si="72">IFERROR(K18/K94,0)</f>
        <v>134.33937500000002</v>
      </c>
      <c r="L109" s="910">
        <f t="shared" si="72"/>
        <v>180.29538461538462</v>
      </c>
      <c r="M109" s="910">
        <f t="shared" si="72"/>
        <v>100.46058823529411</v>
      </c>
      <c r="N109" s="910">
        <f t="shared" si="72"/>
        <v>78.72</v>
      </c>
      <c r="O109" s="910">
        <f t="shared" si="72"/>
        <v>87.063829787234042</v>
      </c>
      <c r="P109" s="910">
        <f t="shared" si="72"/>
        <v>113.4015873015873</v>
      </c>
      <c r="Q109" s="910">
        <f t="shared" si="72"/>
        <v>111.76470588235294</v>
      </c>
      <c r="R109" s="910">
        <f t="shared" si="72"/>
        <v>73.972727272727283</v>
      </c>
      <c r="S109" s="910">
        <f t="shared" si="72"/>
        <v>212.85333333333332</v>
      </c>
      <c r="T109" s="910">
        <f t="shared" si="72"/>
        <v>147.23809523809524</v>
      </c>
      <c r="U109" s="910">
        <f t="shared" si="72"/>
        <v>110.67027027027028</v>
      </c>
      <c r="V109" s="910">
        <f t="shared" si="72"/>
        <v>75.985211267605635</v>
      </c>
      <c r="W109" s="825">
        <f t="shared" si="72"/>
        <v>110.10037825059102</v>
      </c>
      <c r="Z109" s="434"/>
    </row>
    <row r="110" spans="1:26" ht="13.9" customHeight="1" thickTop="1" x14ac:dyDescent="0.35">
      <c r="A110" s="1113"/>
      <c r="B110" s="1113"/>
      <c r="C110" s="1114"/>
      <c r="D110" s="1115"/>
      <c r="E110" s="1116"/>
      <c r="F110" s="1117"/>
      <c r="G110" s="1113"/>
      <c r="H110" s="1118"/>
      <c r="Z110" s="434">
        <f>W125-Y125</f>
        <v>37494.892863291825</v>
      </c>
    </row>
    <row r="111" spans="1:26" ht="13.5" customHeight="1" x14ac:dyDescent="0.35">
      <c r="A111" s="1113"/>
      <c r="B111" s="1113"/>
      <c r="C111" s="1114"/>
      <c r="D111" s="1115"/>
      <c r="E111" s="1116"/>
      <c r="F111" s="1117"/>
      <c r="G111" s="1113"/>
      <c r="H111" s="1118"/>
    </row>
    <row r="112" spans="1:26" ht="13.9" customHeight="1" x14ac:dyDescent="0.4">
      <c r="A112" s="1113"/>
      <c r="B112" s="1113"/>
      <c r="C112" s="1114"/>
      <c r="D112" s="1115"/>
      <c r="E112" s="1116"/>
      <c r="F112" s="1117"/>
      <c r="G112" s="1113"/>
      <c r="H112" s="1118"/>
      <c r="I112" s="420" t="s">
        <v>140</v>
      </c>
      <c r="J112" s="557" t="s">
        <v>156</v>
      </c>
      <c r="K112" s="577" t="s">
        <v>142</v>
      </c>
      <c r="L112" s="577" t="s">
        <v>143</v>
      </c>
      <c r="M112" s="577" t="s">
        <v>144</v>
      </c>
      <c r="N112" s="577" t="s">
        <v>145</v>
      </c>
      <c r="O112" s="577" t="s">
        <v>146</v>
      </c>
      <c r="P112" s="577" t="s">
        <v>147</v>
      </c>
      <c r="Q112" s="577" t="s">
        <v>148</v>
      </c>
      <c r="R112" s="577" t="s">
        <v>149</v>
      </c>
      <c r="S112" s="577" t="s">
        <v>150</v>
      </c>
      <c r="T112" s="577" t="s">
        <v>151</v>
      </c>
      <c r="U112" s="577" t="s">
        <v>152</v>
      </c>
      <c r="V112" s="577" t="s">
        <v>153</v>
      </c>
      <c r="W112" s="577" t="s">
        <v>19</v>
      </c>
    </row>
    <row r="113" spans="1:25" ht="13.5" customHeight="1" x14ac:dyDescent="0.35">
      <c r="A113" s="1113"/>
      <c r="B113" s="1113"/>
      <c r="C113" s="1114"/>
      <c r="D113" s="1115"/>
      <c r="E113" s="1116"/>
      <c r="F113" s="1117"/>
      <c r="G113" s="1113"/>
      <c r="H113" s="1118"/>
      <c r="I113" s="581" t="s">
        <v>28</v>
      </c>
      <c r="J113" s="835">
        <v>0.9</v>
      </c>
      <c r="K113" s="432">
        <f t="shared" ref="K113:V113" si="73">K6*$J113</f>
        <v>382.5</v>
      </c>
      <c r="L113" s="432">
        <f t="shared" si="73"/>
        <v>0</v>
      </c>
      <c r="M113" s="432">
        <f t="shared" si="73"/>
        <v>0</v>
      </c>
      <c r="N113" s="432">
        <f t="shared" si="73"/>
        <v>540</v>
      </c>
      <c r="O113" s="432">
        <f t="shared" si="73"/>
        <v>1080</v>
      </c>
      <c r="P113" s="432">
        <f t="shared" si="73"/>
        <v>405</v>
      </c>
      <c r="Q113" s="432">
        <f t="shared" si="73"/>
        <v>1350</v>
      </c>
      <c r="R113" s="432">
        <f t="shared" si="73"/>
        <v>697.5</v>
      </c>
      <c r="S113" s="432">
        <f t="shared" si="73"/>
        <v>0</v>
      </c>
      <c r="T113" s="432">
        <f t="shared" si="73"/>
        <v>378</v>
      </c>
      <c r="U113" s="432">
        <f t="shared" si="73"/>
        <v>2376</v>
      </c>
      <c r="V113" s="432">
        <f t="shared" si="73"/>
        <v>513</v>
      </c>
      <c r="W113" s="431">
        <f t="shared" ref="W113:W125" si="74">SUM(K113:V113)</f>
        <v>7722</v>
      </c>
    </row>
    <row r="114" spans="1:25" ht="13.5" customHeight="1" x14ac:dyDescent="0.35">
      <c r="A114" s="1113"/>
      <c r="B114" s="1113"/>
      <c r="C114" s="1114"/>
      <c r="D114" s="1115"/>
      <c r="E114" s="1116"/>
      <c r="F114" s="1117"/>
      <c r="G114" s="1113"/>
      <c r="H114" s="1118"/>
      <c r="I114" s="581" t="s">
        <v>31</v>
      </c>
      <c r="J114" s="835">
        <v>0.8</v>
      </c>
      <c r="K114" s="432">
        <f t="shared" ref="K114:V114" si="75">K7*$J114</f>
        <v>397.6</v>
      </c>
      <c r="L114" s="432">
        <f t="shared" si="75"/>
        <v>262.40000000000003</v>
      </c>
      <c r="M114" s="432">
        <f t="shared" si="75"/>
        <v>1049.6000000000001</v>
      </c>
      <c r="N114" s="432">
        <f t="shared" si="75"/>
        <v>954.40000000000009</v>
      </c>
      <c r="O114" s="432">
        <f t="shared" si="75"/>
        <v>937.6</v>
      </c>
      <c r="P114" s="432">
        <f t="shared" si="75"/>
        <v>2749.76</v>
      </c>
      <c r="Q114" s="432">
        <f t="shared" si="75"/>
        <v>1904</v>
      </c>
      <c r="R114" s="432">
        <f t="shared" si="75"/>
        <v>507.20000000000005</v>
      </c>
      <c r="S114" s="432">
        <f t="shared" si="75"/>
        <v>1515.2</v>
      </c>
      <c r="T114" s="432">
        <f t="shared" si="75"/>
        <v>817.6</v>
      </c>
      <c r="U114" s="432">
        <f t="shared" si="75"/>
        <v>752</v>
      </c>
      <c r="V114" s="432">
        <f t="shared" si="75"/>
        <v>3270.4</v>
      </c>
      <c r="W114" s="431">
        <f t="shared" si="74"/>
        <v>15117.760000000002</v>
      </c>
    </row>
    <row r="115" spans="1:25" ht="13.5" customHeight="1" x14ac:dyDescent="0.35">
      <c r="A115" s="1113"/>
      <c r="B115" s="1113"/>
      <c r="C115" s="1114"/>
      <c r="D115" s="1115"/>
      <c r="E115" s="1116"/>
      <c r="F115" s="1117"/>
      <c r="G115" s="1113"/>
      <c r="H115" s="1118"/>
      <c r="I115" s="582" t="s">
        <v>35</v>
      </c>
      <c r="J115" s="835">
        <v>0.5</v>
      </c>
      <c r="K115" s="432">
        <f t="shared" ref="K115:V115" si="76">K8*$J115</f>
        <v>1702</v>
      </c>
      <c r="L115" s="432">
        <f t="shared" si="76"/>
        <v>497.5</v>
      </c>
      <c r="M115" s="432">
        <f t="shared" si="76"/>
        <v>0</v>
      </c>
      <c r="N115" s="432">
        <f t="shared" si="76"/>
        <v>0</v>
      </c>
      <c r="O115" s="432">
        <f t="shared" si="76"/>
        <v>0</v>
      </c>
      <c r="P115" s="432">
        <f t="shared" si="76"/>
        <v>1310</v>
      </c>
      <c r="Q115" s="432">
        <f t="shared" si="76"/>
        <v>447.5</v>
      </c>
      <c r="R115" s="432">
        <f t="shared" si="76"/>
        <v>41.2</v>
      </c>
      <c r="S115" s="432">
        <f t="shared" si="76"/>
        <v>375</v>
      </c>
      <c r="T115" s="432">
        <f t="shared" si="76"/>
        <v>0</v>
      </c>
      <c r="U115" s="432">
        <f t="shared" si="76"/>
        <v>0</v>
      </c>
      <c r="V115" s="432">
        <f t="shared" si="76"/>
        <v>0</v>
      </c>
      <c r="W115" s="431">
        <f t="shared" si="74"/>
        <v>4373.2</v>
      </c>
    </row>
    <row r="116" spans="1:25" ht="13.5" customHeight="1" x14ac:dyDescent="0.35">
      <c r="A116" s="1113"/>
      <c r="B116" s="1113"/>
      <c r="C116" s="1114"/>
      <c r="D116" s="1115"/>
      <c r="E116" s="1116"/>
      <c r="F116" s="1117"/>
      <c r="G116" s="1113"/>
      <c r="H116" s="1118"/>
      <c r="I116" s="581" t="s">
        <v>37</v>
      </c>
      <c r="J116" s="835">
        <v>0.5</v>
      </c>
      <c r="K116" s="432">
        <f t="shared" ref="K116:V116" si="77">K9*$J116</f>
        <v>125</v>
      </c>
      <c r="L116" s="432">
        <f t="shared" si="77"/>
        <v>0</v>
      </c>
      <c r="M116" s="432">
        <f t="shared" si="77"/>
        <v>0</v>
      </c>
      <c r="N116" s="432">
        <f t="shared" si="77"/>
        <v>0</v>
      </c>
      <c r="O116" s="432">
        <f t="shared" si="77"/>
        <v>0</v>
      </c>
      <c r="P116" s="432">
        <f t="shared" si="77"/>
        <v>0</v>
      </c>
      <c r="Q116" s="432">
        <f t="shared" si="77"/>
        <v>0</v>
      </c>
      <c r="R116" s="432">
        <f t="shared" si="77"/>
        <v>0</v>
      </c>
      <c r="S116" s="432">
        <f t="shared" si="77"/>
        <v>600</v>
      </c>
      <c r="T116" s="432">
        <f t="shared" si="77"/>
        <v>0</v>
      </c>
      <c r="U116" s="432">
        <f t="shared" si="77"/>
        <v>0</v>
      </c>
      <c r="V116" s="432">
        <f t="shared" si="77"/>
        <v>0</v>
      </c>
      <c r="W116" s="431">
        <f t="shared" si="74"/>
        <v>725</v>
      </c>
    </row>
    <row r="117" spans="1:25" ht="13.5" customHeight="1" x14ac:dyDescent="0.35">
      <c r="A117" s="1113"/>
      <c r="B117" s="1113"/>
      <c r="C117" s="1114"/>
      <c r="D117" s="1115"/>
      <c r="E117" s="1116"/>
      <c r="F117" s="1117"/>
      <c r="G117" s="1113"/>
      <c r="H117" s="1118"/>
      <c r="I117" s="581" t="s">
        <v>41</v>
      </c>
      <c r="J117" s="835">
        <v>0.45</v>
      </c>
      <c r="K117" s="432">
        <f t="shared" ref="K117:V117" si="78">K10*$J117</f>
        <v>-380.58750000000003</v>
      </c>
      <c r="L117" s="432">
        <f t="shared" si="78"/>
        <v>-29.25</v>
      </c>
      <c r="M117" s="432">
        <f t="shared" si="78"/>
        <v>0</v>
      </c>
      <c r="N117" s="432">
        <f t="shared" si="78"/>
        <v>0</v>
      </c>
      <c r="O117" s="432">
        <f t="shared" si="78"/>
        <v>0</v>
      </c>
      <c r="P117" s="432">
        <f t="shared" si="78"/>
        <v>-504</v>
      </c>
      <c r="Q117" s="432">
        <f t="shared" si="78"/>
        <v>0</v>
      </c>
      <c r="R117" s="432">
        <f t="shared" si="78"/>
        <v>0</v>
      </c>
      <c r="S117" s="432">
        <f t="shared" si="78"/>
        <v>0</v>
      </c>
      <c r="T117" s="432">
        <f t="shared" si="78"/>
        <v>0</v>
      </c>
      <c r="U117" s="432">
        <f t="shared" si="78"/>
        <v>0</v>
      </c>
      <c r="V117" s="432">
        <f t="shared" si="78"/>
        <v>0</v>
      </c>
      <c r="W117" s="431">
        <f t="shared" si="74"/>
        <v>-913.83750000000009</v>
      </c>
    </row>
    <row r="118" spans="1:25" ht="13.5" customHeight="1" x14ac:dyDescent="0.35">
      <c r="A118" s="1113"/>
      <c r="B118" s="1113"/>
      <c r="C118" s="1114"/>
      <c r="D118" s="1115"/>
      <c r="E118" s="1116"/>
      <c r="F118" s="1117"/>
      <c r="G118" s="1113"/>
      <c r="H118" s="1118"/>
      <c r="I118" s="581" t="s">
        <v>44</v>
      </c>
      <c r="J118" s="835">
        <v>0.95</v>
      </c>
      <c r="K118" s="432">
        <f t="shared" ref="K118:V118" si="79">K11*$J118</f>
        <v>80.75</v>
      </c>
      <c r="L118" s="432">
        <f t="shared" si="79"/>
        <v>52.25</v>
      </c>
      <c r="M118" s="432">
        <f t="shared" si="79"/>
        <v>66.5</v>
      </c>
      <c r="N118" s="432">
        <f t="shared" si="79"/>
        <v>47.5</v>
      </c>
      <c r="O118" s="432">
        <f t="shared" si="79"/>
        <v>190</v>
      </c>
      <c r="P118" s="432">
        <f t="shared" si="79"/>
        <v>47.5</v>
      </c>
      <c r="Q118" s="432">
        <f t="shared" si="79"/>
        <v>33.25</v>
      </c>
      <c r="R118" s="432">
        <f t="shared" si="79"/>
        <v>33.25</v>
      </c>
      <c r="S118" s="432">
        <f t="shared" si="79"/>
        <v>33.25</v>
      </c>
      <c r="T118" s="432">
        <f t="shared" si="79"/>
        <v>33.25</v>
      </c>
      <c r="U118" s="432">
        <f t="shared" si="79"/>
        <v>261.25</v>
      </c>
      <c r="V118" s="432">
        <f t="shared" si="79"/>
        <v>38</v>
      </c>
      <c r="W118" s="431">
        <f t="shared" si="74"/>
        <v>916.75</v>
      </c>
    </row>
    <row r="119" spans="1:25" ht="13.5" customHeight="1" x14ac:dyDescent="0.35">
      <c r="A119" s="1113"/>
      <c r="B119" s="1113"/>
      <c r="C119" s="1114"/>
      <c r="D119" s="1115"/>
      <c r="E119" s="1116"/>
      <c r="F119" s="1117"/>
      <c r="G119" s="1113"/>
      <c r="H119" s="1118"/>
      <c r="I119" s="582" t="s">
        <v>47</v>
      </c>
      <c r="J119" s="835">
        <v>0.95</v>
      </c>
      <c r="K119" s="432">
        <f t="shared" ref="K119:V119" si="80">K12*$J119</f>
        <v>741</v>
      </c>
      <c r="L119" s="432">
        <f t="shared" si="80"/>
        <v>570</v>
      </c>
      <c r="M119" s="432">
        <f t="shared" si="80"/>
        <v>299.25</v>
      </c>
      <c r="N119" s="432">
        <f t="shared" si="80"/>
        <v>142.5</v>
      </c>
      <c r="O119" s="432">
        <f t="shared" si="80"/>
        <v>1197</v>
      </c>
      <c r="P119" s="432">
        <f t="shared" si="80"/>
        <v>346.75</v>
      </c>
      <c r="Q119" s="432">
        <f t="shared" si="80"/>
        <v>1002.25</v>
      </c>
      <c r="R119" s="432">
        <f t="shared" si="80"/>
        <v>0</v>
      </c>
      <c r="S119" s="432">
        <f t="shared" si="80"/>
        <v>717.25</v>
      </c>
      <c r="T119" s="432">
        <f t="shared" si="80"/>
        <v>479.75</v>
      </c>
      <c r="U119" s="432">
        <f t="shared" si="80"/>
        <v>228</v>
      </c>
      <c r="V119" s="432">
        <f t="shared" si="80"/>
        <v>61.75</v>
      </c>
      <c r="W119" s="431">
        <f t="shared" si="74"/>
        <v>5785.5</v>
      </c>
    </row>
    <row r="120" spans="1:25" ht="13.5" customHeight="1" x14ac:dyDescent="0.35">
      <c r="A120" s="1113"/>
      <c r="B120" s="1113"/>
      <c r="C120" s="1114"/>
      <c r="D120" s="1115"/>
      <c r="E120" s="1116"/>
      <c r="F120" s="1117"/>
      <c r="G120" s="1113"/>
      <c r="H120" s="1118"/>
      <c r="I120" s="582" t="s">
        <v>50</v>
      </c>
      <c r="J120" s="835">
        <v>0.6</v>
      </c>
      <c r="K120" s="432">
        <f t="shared" ref="K120:V120" si="81">K13*$J120</f>
        <v>0</v>
      </c>
      <c r="L120" s="432">
        <f t="shared" si="81"/>
        <v>0</v>
      </c>
      <c r="M120" s="432">
        <f t="shared" si="81"/>
        <v>0</v>
      </c>
      <c r="N120" s="432">
        <f t="shared" si="81"/>
        <v>0</v>
      </c>
      <c r="O120" s="432">
        <f t="shared" si="81"/>
        <v>75</v>
      </c>
      <c r="P120" s="432">
        <f t="shared" si="81"/>
        <v>240</v>
      </c>
      <c r="Q120" s="432">
        <f t="shared" si="81"/>
        <v>0</v>
      </c>
      <c r="R120" s="432">
        <f t="shared" si="81"/>
        <v>60</v>
      </c>
      <c r="S120" s="432">
        <f t="shared" si="81"/>
        <v>90</v>
      </c>
      <c r="T120" s="432">
        <f t="shared" si="81"/>
        <v>39</v>
      </c>
      <c r="U120" s="432">
        <f t="shared" si="81"/>
        <v>0</v>
      </c>
      <c r="V120" s="432">
        <f t="shared" si="81"/>
        <v>60</v>
      </c>
      <c r="W120" s="431">
        <f t="shared" si="74"/>
        <v>564</v>
      </c>
    </row>
    <row r="121" spans="1:25" ht="13.5" customHeight="1" x14ac:dyDescent="0.35">
      <c r="A121" s="1113"/>
      <c r="B121" s="1113"/>
      <c r="C121" s="1114"/>
      <c r="D121" s="1115"/>
      <c r="E121" s="1116"/>
      <c r="F121" s="1117"/>
      <c r="G121" s="1113"/>
      <c r="H121" s="1118"/>
      <c r="I121" s="582" t="s">
        <v>53</v>
      </c>
      <c r="J121" s="835">
        <v>0.5</v>
      </c>
      <c r="K121" s="432">
        <f t="shared" ref="K121:V121" si="82">K14*$J121</f>
        <v>-294.5</v>
      </c>
      <c r="L121" s="432">
        <f t="shared" si="82"/>
        <v>0</v>
      </c>
      <c r="M121" s="432">
        <f t="shared" si="82"/>
        <v>-50</v>
      </c>
      <c r="N121" s="432">
        <f t="shared" si="82"/>
        <v>-25</v>
      </c>
      <c r="O121" s="432">
        <f t="shared" si="82"/>
        <v>-75</v>
      </c>
      <c r="P121" s="432">
        <f t="shared" si="82"/>
        <v>0</v>
      </c>
      <c r="Q121" s="432">
        <f t="shared" si="82"/>
        <v>-150</v>
      </c>
      <c r="R121" s="432">
        <f t="shared" si="82"/>
        <v>-49.5</v>
      </c>
      <c r="S121" s="432">
        <f t="shared" si="82"/>
        <v>0</v>
      </c>
      <c r="T121" s="432">
        <f t="shared" si="82"/>
        <v>0</v>
      </c>
      <c r="U121" s="432">
        <f t="shared" si="82"/>
        <v>-150</v>
      </c>
      <c r="V121" s="432">
        <f t="shared" si="82"/>
        <v>0</v>
      </c>
      <c r="W121" s="431">
        <f t="shared" si="74"/>
        <v>-794</v>
      </c>
    </row>
    <row r="122" spans="1:25" ht="13.5" customHeight="1" x14ac:dyDescent="0.35">
      <c r="A122" s="1113"/>
      <c r="B122" s="1113"/>
      <c r="C122" s="1114"/>
      <c r="D122" s="1115"/>
      <c r="E122" s="1116"/>
      <c r="F122" s="1117"/>
      <c r="G122" s="1113"/>
      <c r="H122" s="1118"/>
      <c r="I122" s="582" t="s">
        <v>56</v>
      </c>
      <c r="J122" s="835">
        <v>0.99</v>
      </c>
      <c r="K122" s="432">
        <f t="shared" ref="K122:V122" si="83">K15*$J122</f>
        <v>66.933899999999994</v>
      </c>
      <c r="L122" s="432">
        <f t="shared" si="83"/>
        <v>70.131600000000006</v>
      </c>
      <c r="M122" s="432">
        <f t="shared" si="83"/>
        <v>80.021699999999996</v>
      </c>
      <c r="N122" s="432">
        <f t="shared" si="83"/>
        <v>0</v>
      </c>
      <c r="O122" s="432">
        <f t="shared" si="83"/>
        <v>0</v>
      </c>
      <c r="P122" s="432">
        <f t="shared" si="83"/>
        <v>86.228999999999999</v>
      </c>
      <c r="Q122" s="432">
        <f t="shared" si="83"/>
        <v>0</v>
      </c>
      <c r="R122" s="432">
        <f t="shared" si="83"/>
        <v>0</v>
      </c>
      <c r="S122" s="432">
        <f t="shared" si="83"/>
        <v>14.3352</v>
      </c>
      <c r="T122" s="432">
        <f t="shared" si="83"/>
        <v>0</v>
      </c>
      <c r="U122" s="432">
        <f t="shared" si="83"/>
        <v>277.00200000000001</v>
      </c>
      <c r="V122" s="432">
        <f t="shared" si="83"/>
        <v>41.530500000000004</v>
      </c>
      <c r="W122" s="431">
        <f t="shared" si="74"/>
        <v>636.18389999999988</v>
      </c>
    </row>
    <row r="123" spans="1:25" ht="13.5" customHeight="1" x14ac:dyDescent="0.35">
      <c r="A123" s="1113"/>
      <c r="B123" s="1113"/>
      <c r="C123" s="1114"/>
      <c r="D123" s="1115"/>
      <c r="E123" s="1116"/>
      <c r="F123" s="1117"/>
      <c r="G123" s="1113"/>
      <c r="H123" s="1118"/>
      <c r="I123" s="582" t="s">
        <v>59</v>
      </c>
      <c r="J123" s="835">
        <v>0.9</v>
      </c>
      <c r="K123" s="432">
        <f t="shared" ref="K123:V123" si="84">K16*$J123</f>
        <v>135</v>
      </c>
      <c r="L123" s="432">
        <f t="shared" si="84"/>
        <v>301.5</v>
      </c>
      <c r="M123" s="432">
        <f t="shared" si="84"/>
        <v>0</v>
      </c>
      <c r="N123" s="432">
        <f t="shared" si="84"/>
        <v>0</v>
      </c>
      <c r="O123" s="432">
        <f t="shared" si="84"/>
        <v>202.5</v>
      </c>
      <c r="P123" s="432">
        <f t="shared" si="84"/>
        <v>720</v>
      </c>
      <c r="Q123" s="432">
        <f t="shared" si="84"/>
        <v>0</v>
      </c>
      <c r="R123" s="432">
        <f t="shared" si="84"/>
        <v>67.5</v>
      </c>
      <c r="S123" s="432">
        <f t="shared" si="84"/>
        <v>0</v>
      </c>
      <c r="T123" s="432">
        <f t="shared" si="84"/>
        <v>625.5</v>
      </c>
      <c r="U123" s="432">
        <f t="shared" si="84"/>
        <v>0</v>
      </c>
      <c r="V123" s="432">
        <f t="shared" si="84"/>
        <v>360</v>
      </c>
      <c r="W123" s="431">
        <f t="shared" si="74"/>
        <v>2412</v>
      </c>
    </row>
    <row r="124" spans="1:25" ht="13.5" customHeight="1" x14ac:dyDescent="0.35">
      <c r="A124" s="1113"/>
      <c r="B124" s="1113"/>
      <c r="C124" s="1114"/>
      <c r="D124" s="1115"/>
      <c r="E124" s="1116"/>
      <c r="F124" s="1117"/>
      <c r="G124" s="1113"/>
      <c r="H124" s="1118"/>
      <c r="I124" s="582" t="s">
        <v>569</v>
      </c>
      <c r="J124" s="835">
        <v>0.8</v>
      </c>
      <c r="K124" s="432">
        <f t="shared" ref="K124:V124" si="85">K17*$J124</f>
        <v>60</v>
      </c>
      <c r="L124" s="432">
        <f t="shared" si="85"/>
        <v>20</v>
      </c>
      <c r="M124" s="432">
        <f t="shared" si="85"/>
        <v>24</v>
      </c>
      <c r="N124" s="432">
        <f t="shared" si="85"/>
        <v>20</v>
      </c>
      <c r="O124" s="432">
        <f t="shared" si="85"/>
        <v>48</v>
      </c>
      <c r="P124" s="432">
        <f t="shared" si="85"/>
        <v>44</v>
      </c>
      <c r="Q124" s="432">
        <f t="shared" si="85"/>
        <v>108</v>
      </c>
      <c r="R124" s="432">
        <f t="shared" si="85"/>
        <v>20</v>
      </c>
      <c r="S124" s="432">
        <f t="shared" si="85"/>
        <v>248</v>
      </c>
      <c r="T124" s="432">
        <f t="shared" si="85"/>
        <v>280</v>
      </c>
      <c r="U124" s="432">
        <f t="shared" si="85"/>
        <v>16</v>
      </c>
      <c r="V124" s="432">
        <f t="shared" si="85"/>
        <v>72</v>
      </c>
      <c r="W124" s="431">
        <f t="shared" si="74"/>
        <v>960</v>
      </c>
      <c r="X124" s="445"/>
      <c r="Y124" s="558"/>
    </row>
    <row r="125" spans="1:25" ht="14.25" customHeight="1" thickBot="1" x14ac:dyDescent="0.45">
      <c r="A125" s="1113"/>
      <c r="B125" s="1113"/>
      <c r="C125" s="1114"/>
      <c r="D125" s="1115"/>
      <c r="E125" s="1116"/>
      <c r="F125" s="1117"/>
      <c r="G125" s="1113"/>
      <c r="H125" s="1118"/>
      <c r="I125" s="821" t="s">
        <v>63</v>
      </c>
      <c r="J125" s="936">
        <f>W125/W18</f>
        <v>0.80529472568122884</v>
      </c>
      <c r="K125" s="911">
        <f t="shared" ref="K125:V125" si="86">SUM(K113:K124)</f>
        <v>3015.6963999999998</v>
      </c>
      <c r="L125" s="911">
        <f t="shared" si="86"/>
        <v>1744.5316</v>
      </c>
      <c r="M125" s="911">
        <f t="shared" si="86"/>
        <v>1469.3717000000001</v>
      </c>
      <c r="N125" s="911">
        <f t="shared" si="86"/>
        <v>1679.4</v>
      </c>
      <c r="O125" s="911">
        <f t="shared" si="86"/>
        <v>3655.1</v>
      </c>
      <c r="P125" s="911">
        <f t="shared" si="86"/>
        <v>5445.2390000000005</v>
      </c>
      <c r="Q125" s="911">
        <f t="shared" si="86"/>
        <v>4695</v>
      </c>
      <c r="R125" s="911">
        <f t="shared" si="86"/>
        <v>1377.15</v>
      </c>
      <c r="S125" s="911">
        <f t="shared" si="86"/>
        <v>3593.0351999999998</v>
      </c>
      <c r="T125" s="911">
        <f t="shared" si="86"/>
        <v>2653.1</v>
      </c>
      <c r="U125" s="911">
        <f t="shared" si="86"/>
        <v>3760.252</v>
      </c>
      <c r="V125" s="911">
        <f t="shared" si="86"/>
        <v>4416.6805000000004</v>
      </c>
      <c r="W125" s="431">
        <f t="shared" si="74"/>
        <v>37504.556400000001</v>
      </c>
      <c r="X125" s="445">
        <f>IFERROR(W125/W18,0)</f>
        <v>0.80529472568122884</v>
      </c>
      <c r="Y125" s="558">
        <f>J125*12</f>
        <v>9.6635367081747461</v>
      </c>
    </row>
    <row r="126" spans="1:25" ht="13.5" customHeight="1" x14ac:dyDescent="0.35">
      <c r="A126" s="1113"/>
      <c r="B126" s="1113"/>
      <c r="C126" s="1114"/>
      <c r="D126" s="1115"/>
      <c r="E126" s="1116"/>
      <c r="F126" s="1117"/>
      <c r="G126" s="1113"/>
      <c r="H126" s="1118"/>
      <c r="K126" s="445">
        <f t="shared" ref="K126:W126" si="87">K125/K18</f>
        <v>0.7015107260994774</v>
      </c>
      <c r="L126" s="445">
        <f t="shared" si="87"/>
        <v>0.74430490135845451</v>
      </c>
      <c r="M126" s="445">
        <f t="shared" si="87"/>
        <v>0.86037351492830094</v>
      </c>
      <c r="N126" s="445">
        <f t="shared" si="87"/>
        <v>0.8533536585365854</v>
      </c>
      <c r="O126" s="445">
        <f t="shared" si="87"/>
        <v>0.89323069403714561</v>
      </c>
      <c r="P126" s="445">
        <f t="shared" si="87"/>
        <v>0.76217949974105237</v>
      </c>
      <c r="Q126" s="445">
        <f t="shared" si="87"/>
        <v>0.8236842105263158</v>
      </c>
      <c r="R126" s="445">
        <f t="shared" si="87"/>
        <v>0.84622711072876977</v>
      </c>
      <c r="S126" s="445">
        <f t="shared" si="87"/>
        <v>0.70334721874216988</v>
      </c>
      <c r="T126" s="445">
        <f t="shared" si="87"/>
        <v>0.85805304010349281</v>
      </c>
      <c r="U126" s="445">
        <f t="shared" si="87"/>
        <v>0.91829930643743274</v>
      </c>
      <c r="V126" s="445">
        <f t="shared" si="87"/>
        <v>0.81866940379428921</v>
      </c>
      <c r="W126" s="445">
        <f t="shared" si="87"/>
        <v>0.80529472568122884</v>
      </c>
    </row>
    <row r="127" spans="1:25" ht="13.9" customHeight="1" x14ac:dyDescent="0.4">
      <c r="A127" s="1113"/>
      <c r="B127" s="1113"/>
      <c r="C127" s="1114"/>
      <c r="D127" s="1115"/>
      <c r="E127" s="1116"/>
      <c r="F127" s="1117"/>
      <c r="G127" s="1113"/>
      <c r="H127" s="1118"/>
      <c r="I127" s="566" t="s">
        <v>157</v>
      </c>
      <c r="K127" s="577" t="s">
        <v>142</v>
      </c>
      <c r="L127" s="577" t="s">
        <v>143</v>
      </c>
      <c r="M127" s="577" t="s">
        <v>144</v>
      </c>
      <c r="N127" s="577" t="s">
        <v>145</v>
      </c>
      <c r="O127" s="577" t="s">
        <v>146</v>
      </c>
      <c r="P127" s="577" t="s">
        <v>147</v>
      </c>
      <c r="Q127" s="577" t="s">
        <v>148</v>
      </c>
      <c r="R127" s="577" t="s">
        <v>149</v>
      </c>
      <c r="S127" s="577" t="s">
        <v>150</v>
      </c>
      <c r="T127" s="577" t="s">
        <v>151</v>
      </c>
      <c r="U127" s="577" t="s">
        <v>152</v>
      </c>
      <c r="V127" s="577" t="s">
        <v>153</v>
      </c>
      <c r="W127" s="577" t="s">
        <v>19</v>
      </c>
      <c r="X127" s="423" t="s">
        <v>158</v>
      </c>
      <c r="Y127" s="423" t="s">
        <v>22</v>
      </c>
    </row>
    <row r="128" spans="1:25" ht="13.5" customHeight="1" x14ac:dyDescent="0.35">
      <c r="A128" s="1113"/>
      <c r="B128" s="1113"/>
      <c r="C128" s="1114"/>
      <c r="D128" s="1115"/>
      <c r="E128" s="1116"/>
      <c r="F128" s="1117"/>
      <c r="G128" s="1113"/>
      <c r="H128" s="1118"/>
      <c r="I128" s="426" t="s">
        <v>159</v>
      </c>
      <c r="K128" s="432">
        <f t="shared" ref="K128:K136" si="88">SUMIFS($E$209:$E$698,$A$209:$A$698,"&gt;31/12/2024",$A$209:$A$698,"&lt;1/2/2025",$D$209:$D$698,$I128)</f>
        <v>3123</v>
      </c>
      <c r="L128" s="432">
        <f t="shared" ref="L128:L136" si="89">SUMIFS($E$209:$E$698,$A$209:$A$698,"&gt;31/1/2025",$A$209:$A$698,"&lt;1/3/2025",$D$209:$D$698,$I128)</f>
        <v>2088</v>
      </c>
      <c r="M128" s="432">
        <f t="shared" ref="M128:M136" si="90">SUMIFS($E$209:$E$698,$A$209:$A$698,"&gt;28/2/2025",$A$209:$A$698,"&lt;1/4/2025",$D$209:$D$698,$I128)</f>
        <v>1038</v>
      </c>
      <c r="N128" s="432">
        <f t="shared" ref="N128:N136" si="91">SUMIFS($E$209:$E$698,$A$209:$A$698,"&gt;31/3/2025",$A$209:$A$698,"&lt;1/5/2025",$D$209:$D$698,$I128)</f>
        <v>573</v>
      </c>
      <c r="O128" s="432">
        <f t="shared" ref="O128:O136" si="92">SUMIFS($E$209:$E$698,$A$209:$A$698,"&gt;30/4/2025",$A$209:$A$698,"&lt;1/6/2025",$D$209:$D$698,$I128)</f>
        <v>1228</v>
      </c>
      <c r="P128" s="432">
        <f t="shared" ref="P128:P136" si="93">SUMIFS($E$209:$E$698,$A$209:$A$698,"&gt;31/5/2025",$A$209:$A$698,"&lt;1/7/2025",$D$209:$D$698,$I128)</f>
        <v>2795.2</v>
      </c>
      <c r="Q128" s="432">
        <f t="shared" ref="Q128:Q136" si="94">SUMIFS($E$209:$E$698,$A$209:$A$698,"&gt;30/6/2025",$A$209:$A$698,"&lt;1/8/2025",$D$209:$D$698,$I128)</f>
        <v>1095</v>
      </c>
      <c r="R128" s="432">
        <f t="shared" ref="R128:R136" si="95">SUMIFS($E$209:$E$698,$A$209:$A$698,"&gt;31/7/2025",$A$209:$A$698,"&lt;1/9/2025",$D$209:$D$698,$I128)</f>
        <v>607.4</v>
      </c>
      <c r="S128" s="432">
        <f t="shared" ref="S128:S136" si="96">SUMIFS($E$209:$E$698,$A$209:$A$698,"&gt;31/8/2025",$A$209:$A$698,"&lt;1/10/2025",$D$209:$D$698,$I128)</f>
        <v>3674</v>
      </c>
      <c r="T128" s="432">
        <f t="shared" ref="T128:T136" si="97">SUMIFS($E$209:$E$698,$A$209:$A$698,"&gt;30/9/2025",$A$209:$A$698,"&lt;1/11/2025",$D$209:$D$698,$I128)</f>
        <v>2522</v>
      </c>
      <c r="U128" s="432">
        <f t="shared" ref="U128:U136" si="98">SUMIFS($E$209:$E$698,$A$209:$A$698,"&gt;31/10/2025",$A$209:$A$698,"&lt;1/12/2025",$D$209:$D$698,$I128)</f>
        <v>1290</v>
      </c>
      <c r="V128" s="432">
        <f t="shared" ref="V128:V136" si="99">SUMIFS($E$209:$E$698,$A$209:$A$698,"&gt;30/11/2025",$A$209:$A$698,"&lt;1/1/2026",$D$209:$D$698,$I128)</f>
        <v>1284</v>
      </c>
      <c r="W128" s="432">
        <f t="shared" ref="W128:W136" si="100">SUM(K128:V128)</f>
        <v>21317.599999999999</v>
      </c>
      <c r="X128" s="460">
        <f t="shared" ref="X128:X133" si="101">L128/$L$137</f>
        <v>0.89084579152160548</v>
      </c>
      <c r="Y128" s="460">
        <f>W128/W137</f>
        <v>0.45772973985054682</v>
      </c>
    </row>
    <row r="129" spans="1:25" ht="13.5" customHeight="1" x14ac:dyDescent="0.35">
      <c r="A129" s="1113"/>
      <c r="B129" s="1113"/>
      <c r="C129" s="1114"/>
      <c r="D129" s="1115"/>
      <c r="E129" s="1116"/>
      <c r="F129" s="1117"/>
      <c r="G129" s="1113"/>
      <c r="H129" s="1118"/>
      <c r="I129" s="426" t="s">
        <v>160</v>
      </c>
      <c r="K129" s="432">
        <f t="shared" si="88"/>
        <v>322.61</v>
      </c>
      <c r="L129" s="432">
        <f t="shared" si="89"/>
        <v>70.84</v>
      </c>
      <c r="M129" s="432">
        <f t="shared" si="90"/>
        <v>349</v>
      </c>
      <c r="N129" s="432">
        <f t="shared" si="91"/>
        <v>50</v>
      </c>
      <c r="O129" s="432">
        <f t="shared" si="92"/>
        <v>30</v>
      </c>
      <c r="P129" s="432">
        <f t="shared" si="93"/>
        <v>92.1</v>
      </c>
      <c r="Q129" s="432">
        <f t="shared" si="94"/>
        <v>1070</v>
      </c>
      <c r="R129" s="432">
        <f t="shared" si="95"/>
        <v>0</v>
      </c>
      <c r="S129" s="432">
        <f t="shared" si="96"/>
        <v>134.48000000000002</v>
      </c>
      <c r="T129" s="432">
        <f t="shared" si="97"/>
        <v>0</v>
      </c>
      <c r="U129" s="432">
        <f t="shared" si="98"/>
        <v>279.8</v>
      </c>
      <c r="V129" s="432">
        <f t="shared" si="99"/>
        <v>441.95</v>
      </c>
      <c r="W129" s="432">
        <f t="shared" si="100"/>
        <v>2840.78</v>
      </c>
      <c r="X129" s="460">
        <f t="shared" si="101"/>
        <v>3.0223906068673628E-2</v>
      </c>
      <c r="Y129" s="460">
        <f>W129/W137</f>
        <v>6.0996992643291774E-2</v>
      </c>
    </row>
    <row r="130" spans="1:25" ht="13.5" customHeight="1" x14ac:dyDescent="0.35">
      <c r="A130" s="1113"/>
      <c r="B130" s="1113"/>
      <c r="C130" s="1114"/>
      <c r="D130" s="1115"/>
      <c r="E130" s="1116"/>
      <c r="F130" s="1117"/>
      <c r="G130" s="1113"/>
      <c r="H130" s="1118"/>
      <c r="I130" s="426" t="s">
        <v>161</v>
      </c>
      <c r="K130" s="432">
        <f t="shared" si="88"/>
        <v>0</v>
      </c>
      <c r="L130" s="432">
        <f t="shared" si="89"/>
        <v>0</v>
      </c>
      <c r="M130" s="432">
        <f t="shared" si="90"/>
        <v>0</v>
      </c>
      <c r="N130" s="432">
        <f t="shared" si="91"/>
        <v>0</v>
      </c>
      <c r="O130" s="432">
        <f t="shared" si="92"/>
        <v>0</v>
      </c>
      <c r="P130" s="432">
        <f t="shared" si="93"/>
        <v>0</v>
      </c>
      <c r="Q130" s="432">
        <f t="shared" si="94"/>
        <v>0</v>
      </c>
      <c r="R130" s="432">
        <f t="shared" si="95"/>
        <v>0</v>
      </c>
      <c r="S130" s="432">
        <f t="shared" si="96"/>
        <v>0</v>
      </c>
      <c r="T130" s="432">
        <f t="shared" si="97"/>
        <v>0</v>
      </c>
      <c r="U130" s="432">
        <f t="shared" si="98"/>
        <v>0</v>
      </c>
      <c r="V130" s="432">
        <f t="shared" si="99"/>
        <v>0</v>
      </c>
      <c r="W130" s="432">
        <f t="shared" si="100"/>
        <v>0</v>
      </c>
      <c r="X130" s="460">
        <f t="shared" si="101"/>
        <v>0</v>
      </c>
      <c r="Y130" s="460">
        <f>W130/W137</f>
        <v>0</v>
      </c>
    </row>
    <row r="131" spans="1:25" ht="13.5" customHeight="1" x14ac:dyDescent="0.35">
      <c r="A131" s="1113"/>
      <c r="B131" s="1113"/>
      <c r="C131" s="1114"/>
      <c r="D131" s="1115"/>
      <c r="E131" s="1116"/>
      <c r="F131" s="1117"/>
      <c r="G131" s="1113"/>
      <c r="H131" s="1118"/>
      <c r="I131" s="426" t="s">
        <v>162</v>
      </c>
      <c r="K131" s="432">
        <f t="shared" si="88"/>
        <v>853.25</v>
      </c>
      <c r="L131" s="432">
        <f t="shared" si="89"/>
        <v>185</v>
      </c>
      <c r="M131" s="432">
        <f t="shared" si="90"/>
        <v>320.83</v>
      </c>
      <c r="N131" s="432">
        <f t="shared" si="91"/>
        <v>1345</v>
      </c>
      <c r="O131" s="432">
        <f t="shared" si="92"/>
        <v>2834</v>
      </c>
      <c r="P131" s="432">
        <f t="shared" si="93"/>
        <v>4107</v>
      </c>
      <c r="Q131" s="432">
        <f t="shared" si="94"/>
        <v>3535</v>
      </c>
      <c r="R131" s="432">
        <f t="shared" si="95"/>
        <v>1020</v>
      </c>
      <c r="S131" s="432">
        <f t="shared" si="96"/>
        <v>1300</v>
      </c>
      <c r="T131" s="432">
        <f t="shared" si="97"/>
        <v>570</v>
      </c>
      <c r="U131" s="432">
        <f t="shared" si="98"/>
        <v>2525</v>
      </c>
      <c r="V131" s="432">
        <f t="shared" si="99"/>
        <v>3669</v>
      </c>
      <c r="W131" s="432">
        <f t="shared" si="100"/>
        <v>22264.080000000002</v>
      </c>
      <c r="X131" s="460">
        <f t="shared" si="101"/>
        <v>7.8930302409720793E-2</v>
      </c>
      <c r="Y131" s="460">
        <f>W131/W137</f>
        <v>0.47805247994200867</v>
      </c>
    </row>
    <row r="132" spans="1:25" ht="13.5" customHeight="1" x14ac:dyDescent="0.35">
      <c r="A132" s="1113"/>
      <c r="B132" s="1113"/>
      <c r="C132" s="1114"/>
      <c r="D132" s="1115"/>
      <c r="E132" s="1116"/>
      <c r="F132" s="1117"/>
      <c r="G132" s="1113"/>
      <c r="H132" s="1118"/>
      <c r="I132" s="426" t="s">
        <v>163</v>
      </c>
      <c r="K132" s="432">
        <f t="shared" si="88"/>
        <v>0</v>
      </c>
      <c r="L132" s="432">
        <f t="shared" si="89"/>
        <v>0</v>
      </c>
      <c r="M132" s="432">
        <f t="shared" si="90"/>
        <v>0</v>
      </c>
      <c r="N132" s="432">
        <f t="shared" si="91"/>
        <v>0</v>
      </c>
      <c r="O132" s="432">
        <f t="shared" si="92"/>
        <v>0</v>
      </c>
      <c r="P132" s="432">
        <f t="shared" si="93"/>
        <v>0</v>
      </c>
      <c r="Q132" s="432">
        <f t="shared" si="94"/>
        <v>0</v>
      </c>
      <c r="R132" s="432">
        <f t="shared" si="95"/>
        <v>0</v>
      </c>
      <c r="S132" s="432">
        <f t="shared" si="96"/>
        <v>0</v>
      </c>
      <c r="T132" s="432">
        <f t="shared" si="97"/>
        <v>0</v>
      </c>
      <c r="U132" s="432">
        <f t="shared" si="98"/>
        <v>0</v>
      </c>
      <c r="V132" s="432">
        <f t="shared" si="99"/>
        <v>0</v>
      </c>
      <c r="W132" s="432">
        <f t="shared" si="100"/>
        <v>0</v>
      </c>
      <c r="X132" s="460">
        <f t="shared" si="101"/>
        <v>0</v>
      </c>
      <c r="Y132" s="460">
        <f>W132/W137</f>
        <v>0</v>
      </c>
    </row>
    <row r="133" spans="1:25" ht="13.5" customHeight="1" x14ac:dyDescent="0.35">
      <c r="A133" s="1113"/>
      <c r="B133" s="1113"/>
      <c r="C133" s="1114"/>
      <c r="D133" s="1115"/>
      <c r="E133" s="1116"/>
      <c r="F133" s="1117"/>
      <c r="G133" s="1113"/>
      <c r="H133" s="1118"/>
      <c r="I133" s="426" t="s">
        <v>164</v>
      </c>
      <c r="K133" s="432">
        <f t="shared" si="88"/>
        <v>0</v>
      </c>
      <c r="L133" s="432">
        <f t="shared" si="89"/>
        <v>0</v>
      </c>
      <c r="M133" s="432">
        <f t="shared" si="90"/>
        <v>0</v>
      </c>
      <c r="N133" s="432">
        <f t="shared" si="91"/>
        <v>0</v>
      </c>
      <c r="O133" s="432">
        <f t="shared" si="92"/>
        <v>0</v>
      </c>
      <c r="P133" s="432">
        <f t="shared" si="93"/>
        <v>150</v>
      </c>
      <c r="Q133" s="432">
        <f t="shared" si="94"/>
        <v>0</v>
      </c>
      <c r="R133" s="432">
        <f t="shared" si="95"/>
        <v>0</v>
      </c>
      <c r="S133" s="432">
        <f t="shared" si="96"/>
        <v>0</v>
      </c>
      <c r="T133" s="432">
        <f t="shared" si="97"/>
        <v>0</v>
      </c>
      <c r="U133" s="432">
        <f t="shared" si="98"/>
        <v>0</v>
      </c>
      <c r="V133" s="432">
        <f t="shared" si="99"/>
        <v>0</v>
      </c>
      <c r="W133" s="432">
        <f t="shared" si="100"/>
        <v>150</v>
      </c>
      <c r="X133" s="460">
        <f t="shared" si="101"/>
        <v>0</v>
      </c>
      <c r="Y133" s="460">
        <f>W133/W137</f>
        <v>3.2207875641527203E-3</v>
      </c>
    </row>
    <row r="134" spans="1:25" ht="13.5" customHeight="1" x14ac:dyDescent="0.35">
      <c r="A134" s="1113"/>
      <c r="B134" s="1113"/>
      <c r="C134" s="1114"/>
      <c r="D134" s="1115"/>
      <c r="E134" s="1116"/>
      <c r="F134" s="1117"/>
      <c r="G134" s="1113"/>
      <c r="H134" s="1118"/>
      <c r="I134" s="45" t="s">
        <v>165</v>
      </c>
      <c r="K134" s="432">
        <f t="shared" si="88"/>
        <v>0</v>
      </c>
      <c r="L134" s="432">
        <f t="shared" si="89"/>
        <v>0</v>
      </c>
      <c r="M134" s="432">
        <f t="shared" si="90"/>
        <v>0</v>
      </c>
      <c r="N134" s="432">
        <f t="shared" si="91"/>
        <v>0</v>
      </c>
      <c r="O134" s="432">
        <f t="shared" si="92"/>
        <v>0</v>
      </c>
      <c r="P134" s="432">
        <f t="shared" si="93"/>
        <v>0</v>
      </c>
      <c r="Q134" s="432">
        <f t="shared" si="94"/>
        <v>0</v>
      </c>
      <c r="R134" s="432">
        <f t="shared" si="95"/>
        <v>0</v>
      </c>
      <c r="S134" s="432">
        <f t="shared" si="96"/>
        <v>0</v>
      </c>
      <c r="T134" s="432">
        <f t="shared" si="97"/>
        <v>0</v>
      </c>
      <c r="U134" s="432">
        <f t="shared" si="98"/>
        <v>0</v>
      </c>
      <c r="V134" s="432">
        <f t="shared" si="99"/>
        <v>0</v>
      </c>
      <c r="W134" s="432">
        <f t="shared" si="100"/>
        <v>0</v>
      </c>
      <c r="X134" s="460"/>
      <c r="Y134" s="460"/>
    </row>
    <row r="135" spans="1:25" ht="13.5" customHeight="1" x14ac:dyDescent="0.35">
      <c r="A135" s="1113"/>
      <c r="B135" s="1113"/>
      <c r="C135" s="1114"/>
      <c r="D135" s="1115"/>
      <c r="E135" s="1116"/>
      <c r="F135" s="1117"/>
      <c r="G135" s="1113"/>
      <c r="H135" s="1118"/>
      <c r="I135" s="45" t="s">
        <v>166</v>
      </c>
      <c r="K135" s="432">
        <f t="shared" si="88"/>
        <v>0</v>
      </c>
      <c r="L135" s="432">
        <f t="shared" si="89"/>
        <v>0</v>
      </c>
      <c r="M135" s="432">
        <f t="shared" si="90"/>
        <v>0</v>
      </c>
      <c r="N135" s="432">
        <f t="shared" si="91"/>
        <v>0</v>
      </c>
      <c r="O135" s="432">
        <f t="shared" si="92"/>
        <v>0</v>
      </c>
      <c r="P135" s="432">
        <f t="shared" si="93"/>
        <v>0</v>
      </c>
      <c r="Q135" s="432">
        <f t="shared" si="94"/>
        <v>0</v>
      </c>
      <c r="R135" s="432">
        <f t="shared" si="95"/>
        <v>0</v>
      </c>
      <c r="S135" s="432">
        <f t="shared" si="96"/>
        <v>0</v>
      </c>
      <c r="T135" s="432">
        <f t="shared" si="97"/>
        <v>0</v>
      </c>
      <c r="U135" s="432">
        <f t="shared" si="98"/>
        <v>0</v>
      </c>
      <c r="V135" s="432">
        <f t="shared" si="99"/>
        <v>0</v>
      </c>
      <c r="W135" s="432">
        <f t="shared" si="100"/>
        <v>0</v>
      </c>
      <c r="X135" s="460">
        <f>L135/$L$137</f>
        <v>0</v>
      </c>
      <c r="Y135" s="460">
        <f>W135/W137</f>
        <v>0</v>
      </c>
    </row>
    <row r="136" spans="1:25" ht="13.5" customHeight="1" x14ac:dyDescent="0.35">
      <c r="A136" s="1113"/>
      <c r="B136" s="1113"/>
      <c r="C136" s="1114"/>
      <c r="D136" s="1115"/>
      <c r="E136" s="1116"/>
      <c r="F136" s="1117"/>
      <c r="G136" s="1113"/>
      <c r="H136" s="1118"/>
      <c r="I136" s="45" t="s">
        <v>167</v>
      </c>
      <c r="K136" s="432">
        <f t="shared" si="88"/>
        <v>0</v>
      </c>
      <c r="L136" s="432">
        <f t="shared" si="89"/>
        <v>0</v>
      </c>
      <c r="M136" s="432">
        <f t="shared" si="90"/>
        <v>0</v>
      </c>
      <c r="N136" s="432">
        <f t="shared" si="91"/>
        <v>0</v>
      </c>
      <c r="O136" s="432">
        <f t="shared" si="92"/>
        <v>0</v>
      </c>
      <c r="P136" s="432">
        <f t="shared" si="93"/>
        <v>0</v>
      </c>
      <c r="Q136" s="432">
        <f t="shared" si="94"/>
        <v>0</v>
      </c>
      <c r="R136" s="432">
        <f t="shared" si="95"/>
        <v>0</v>
      </c>
      <c r="S136" s="432">
        <f t="shared" si="96"/>
        <v>0</v>
      </c>
      <c r="T136" s="432">
        <f t="shared" si="97"/>
        <v>0</v>
      </c>
      <c r="U136" s="432">
        <f t="shared" si="98"/>
        <v>0</v>
      </c>
      <c r="V136" s="432">
        <f t="shared" si="99"/>
        <v>0</v>
      </c>
      <c r="W136" s="432">
        <f t="shared" si="100"/>
        <v>0</v>
      </c>
      <c r="X136" s="460">
        <f>L136/$L$137</f>
        <v>0</v>
      </c>
      <c r="Y136" s="460">
        <f>W136/W137</f>
        <v>0</v>
      </c>
    </row>
    <row r="137" spans="1:25" ht="14.25" customHeight="1" thickBot="1" x14ac:dyDescent="0.45">
      <c r="A137" s="1113"/>
      <c r="B137" s="1113"/>
      <c r="C137" s="1114"/>
      <c r="D137" s="1115"/>
      <c r="E137" s="1116"/>
      <c r="F137" s="1117"/>
      <c r="G137" s="1113"/>
      <c r="H137" s="1118"/>
      <c r="I137" s="454"/>
      <c r="K137" s="797">
        <f t="shared" ref="K137:W137" si="102">SUM(K128:K136)</f>
        <v>4298.8600000000006</v>
      </c>
      <c r="L137" s="797">
        <f t="shared" si="102"/>
        <v>2343.84</v>
      </c>
      <c r="M137" s="797">
        <f t="shared" si="102"/>
        <v>1707.83</v>
      </c>
      <c r="N137" s="797">
        <f t="shared" si="102"/>
        <v>1968</v>
      </c>
      <c r="O137" s="797">
        <f t="shared" si="102"/>
        <v>4092</v>
      </c>
      <c r="P137" s="797">
        <f t="shared" si="102"/>
        <v>7144.2999999999993</v>
      </c>
      <c r="Q137" s="797">
        <f t="shared" si="102"/>
        <v>5700</v>
      </c>
      <c r="R137" s="797">
        <f t="shared" si="102"/>
        <v>1627.4</v>
      </c>
      <c r="S137" s="797">
        <f t="shared" si="102"/>
        <v>5108.4799999999996</v>
      </c>
      <c r="T137" s="797">
        <f t="shared" si="102"/>
        <v>3092</v>
      </c>
      <c r="U137" s="797">
        <f t="shared" si="102"/>
        <v>4094.8</v>
      </c>
      <c r="V137" s="797">
        <f t="shared" si="102"/>
        <v>5394.95</v>
      </c>
      <c r="W137" s="797">
        <f t="shared" si="102"/>
        <v>46572.46</v>
      </c>
      <c r="X137" s="454"/>
      <c r="Y137" s="466"/>
    </row>
    <row r="138" spans="1:25" ht="13.9" customHeight="1" thickTop="1" x14ac:dyDescent="0.35">
      <c r="A138" s="1113"/>
      <c r="B138" s="1113"/>
      <c r="C138" s="1114"/>
      <c r="D138" s="1115"/>
      <c r="E138" s="1116"/>
      <c r="F138" s="1117"/>
      <c r="G138" s="1113"/>
      <c r="H138" s="1118"/>
      <c r="I138" s="454"/>
      <c r="K138" s="434">
        <f t="shared" ref="K138:W138" si="103">K137-K18</f>
        <v>0</v>
      </c>
      <c r="L138" s="434">
        <f t="shared" si="103"/>
        <v>0</v>
      </c>
      <c r="M138" s="434">
        <f t="shared" si="103"/>
        <v>0</v>
      </c>
      <c r="N138" s="434">
        <f t="shared" si="103"/>
        <v>0</v>
      </c>
      <c r="O138" s="434">
        <f t="shared" si="103"/>
        <v>0</v>
      </c>
      <c r="P138" s="434">
        <f t="shared" si="103"/>
        <v>0</v>
      </c>
      <c r="Q138" s="434">
        <f t="shared" si="103"/>
        <v>0</v>
      </c>
      <c r="R138" s="434">
        <f t="shared" si="103"/>
        <v>0</v>
      </c>
      <c r="S138" s="434">
        <f t="shared" si="103"/>
        <v>0</v>
      </c>
      <c r="T138" s="434">
        <f t="shared" si="103"/>
        <v>0</v>
      </c>
      <c r="U138" s="434">
        <f t="shared" si="103"/>
        <v>0</v>
      </c>
      <c r="V138" s="434">
        <f t="shared" si="103"/>
        <v>0</v>
      </c>
      <c r="W138" s="434">
        <f t="shared" si="103"/>
        <v>0</v>
      </c>
      <c r="X138" s="454"/>
    </row>
    <row r="139" spans="1:25" ht="13.9" customHeight="1" x14ac:dyDescent="0.4">
      <c r="A139" s="1113"/>
      <c r="B139" s="1113"/>
      <c r="C139" s="1114"/>
      <c r="D139" s="1115"/>
      <c r="E139" s="1116"/>
      <c r="F139" s="1117"/>
      <c r="G139" s="1113"/>
      <c r="H139" s="1118"/>
      <c r="I139" s="556" t="s">
        <v>168</v>
      </c>
      <c r="K139" s="577" t="s">
        <v>142</v>
      </c>
      <c r="L139" s="577" t="s">
        <v>143</v>
      </c>
      <c r="M139" s="577" t="s">
        <v>144</v>
      </c>
      <c r="N139" s="577" t="s">
        <v>145</v>
      </c>
      <c r="O139" s="577" t="s">
        <v>146</v>
      </c>
      <c r="P139" s="577" t="s">
        <v>147</v>
      </c>
      <c r="Q139" s="577" t="s">
        <v>148</v>
      </c>
      <c r="R139" s="577" t="s">
        <v>149</v>
      </c>
      <c r="S139" s="577" t="s">
        <v>150</v>
      </c>
      <c r="T139" s="577" t="s">
        <v>151</v>
      </c>
      <c r="U139" s="577" t="s">
        <v>152</v>
      </c>
      <c r="V139" s="577" t="s">
        <v>153</v>
      </c>
      <c r="W139" s="577" t="s">
        <v>19</v>
      </c>
      <c r="X139" s="454"/>
    </row>
    <row r="140" spans="1:25" ht="13.9" customHeight="1" x14ac:dyDescent="0.4">
      <c r="A140" s="1113"/>
      <c r="B140" s="1113"/>
      <c r="C140" s="1114"/>
      <c r="D140" s="1115"/>
      <c r="E140" s="1116"/>
      <c r="F140" s="1117"/>
      <c r="G140" s="1113"/>
      <c r="H140" s="1118"/>
      <c r="I140" s="613" t="s">
        <v>169</v>
      </c>
      <c r="J140" s="1046">
        <v>1.6E-2</v>
      </c>
      <c r="K140" s="567">
        <f t="shared" ref="K140:V140" si="104">K128*$J140</f>
        <v>49.968000000000004</v>
      </c>
      <c r="L140" s="567">
        <f t="shared" si="104"/>
        <v>33.408000000000001</v>
      </c>
      <c r="M140" s="567">
        <f t="shared" si="104"/>
        <v>16.608000000000001</v>
      </c>
      <c r="N140" s="567">
        <f t="shared" si="104"/>
        <v>9.168000000000001</v>
      </c>
      <c r="O140" s="567">
        <f t="shared" si="104"/>
        <v>19.648</v>
      </c>
      <c r="P140" s="567">
        <f t="shared" si="104"/>
        <v>44.723199999999999</v>
      </c>
      <c r="Q140" s="567">
        <f t="shared" si="104"/>
        <v>17.52</v>
      </c>
      <c r="R140" s="567">
        <f t="shared" si="104"/>
        <v>9.718399999999999</v>
      </c>
      <c r="S140" s="567">
        <f t="shared" si="104"/>
        <v>58.783999999999999</v>
      </c>
      <c r="T140" s="567">
        <f t="shared" si="104"/>
        <v>40.352000000000004</v>
      </c>
      <c r="U140" s="567">
        <f t="shared" si="104"/>
        <v>20.64</v>
      </c>
      <c r="V140" s="567">
        <f t="shared" si="104"/>
        <v>20.544</v>
      </c>
      <c r="W140" s="432">
        <f t="shared" ref="W140:W145" si="105">SUM(K140:V140)</f>
        <v>341.08159999999998</v>
      </c>
      <c r="X140" s="454"/>
      <c r="Y140" s="466"/>
    </row>
    <row r="141" spans="1:25" ht="13.9" customHeight="1" x14ac:dyDescent="0.4">
      <c r="A141" s="1113"/>
      <c r="B141" s="1113"/>
      <c r="C141" s="1114"/>
      <c r="D141" s="1115"/>
      <c r="E141" s="1116"/>
      <c r="F141" s="1117"/>
      <c r="G141" s="1113"/>
      <c r="H141" s="1118"/>
      <c r="I141" s="613" t="s">
        <v>170</v>
      </c>
      <c r="K141" s="567">
        <f t="shared" ref="K141:V141" si="106">K129*3.5%</f>
        <v>11.291350000000001</v>
      </c>
      <c r="L141" s="567">
        <f t="shared" si="106"/>
        <v>2.4794000000000005</v>
      </c>
      <c r="M141" s="567">
        <f t="shared" si="106"/>
        <v>12.215000000000002</v>
      </c>
      <c r="N141" s="567">
        <f t="shared" si="106"/>
        <v>1.7500000000000002</v>
      </c>
      <c r="O141" s="567">
        <f t="shared" si="106"/>
        <v>1.05</v>
      </c>
      <c r="P141" s="567">
        <f t="shared" si="106"/>
        <v>3.2235</v>
      </c>
      <c r="Q141" s="567">
        <f t="shared" si="106"/>
        <v>37.450000000000003</v>
      </c>
      <c r="R141" s="567">
        <f t="shared" si="106"/>
        <v>0</v>
      </c>
      <c r="S141" s="567">
        <f t="shared" si="106"/>
        <v>4.7068000000000012</v>
      </c>
      <c r="T141" s="567">
        <f t="shared" si="106"/>
        <v>0</v>
      </c>
      <c r="U141" s="567">
        <f t="shared" si="106"/>
        <v>9.793000000000001</v>
      </c>
      <c r="V141" s="567">
        <f t="shared" si="106"/>
        <v>15.468250000000001</v>
      </c>
      <c r="W141" s="432">
        <f t="shared" si="105"/>
        <v>99.427300000000002</v>
      </c>
      <c r="X141" s="454"/>
      <c r="Y141" s="466"/>
    </row>
    <row r="142" spans="1:25" ht="13.9" customHeight="1" x14ac:dyDescent="0.4">
      <c r="A142" s="1113"/>
      <c r="B142" s="1113"/>
      <c r="C142" s="1114"/>
      <c r="D142" s="1115"/>
      <c r="E142" s="1116"/>
      <c r="F142" s="1117"/>
      <c r="G142" s="1113"/>
      <c r="H142" s="1118"/>
      <c r="I142" s="613" t="s">
        <v>167</v>
      </c>
      <c r="K142" s="567">
        <f t="shared" ref="K142:V142" si="107">K136*3.5%</f>
        <v>0</v>
      </c>
      <c r="L142" s="567">
        <f t="shared" si="107"/>
        <v>0</v>
      </c>
      <c r="M142" s="567">
        <f t="shared" si="107"/>
        <v>0</v>
      </c>
      <c r="N142" s="567">
        <f t="shared" si="107"/>
        <v>0</v>
      </c>
      <c r="O142" s="567">
        <f t="shared" si="107"/>
        <v>0</v>
      </c>
      <c r="P142" s="567">
        <f t="shared" si="107"/>
        <v>0</v>
      </c>
      <c r="Q142" s="567">
        <f t="shared" si="107"/>
        <v>0</v>
      </c>
      <c r="R142" s="567">
        <f t="shared" si="107"/>
        <v>0</v>
      </c>
      <c r="S142" s="567">
        <f t="shared" si="107"/>
        <v>0</v>
      </c>
      <c r="T142" s="567">
        <f t="shared" si="107"/>
        <v>0</v>
      </c>
      <c r="U142" s="567">
        <f t="shared" si="107"/>
        <v>0</v>
      </c>
      <c r="V142" s="567">
        <f t="shared" si="107"/>
        <v>0</v>
      </c>
      <c r="W142" s="586">
        <f t="shared" si="105"/>
        <v>0</v>
      </c>
      <c r="X142" s="454"/>
      <c r="Y142" s="466"/>
    </row>
    <row r="143" spans="1:25" ht="14.25" customHeight="1" thickBot="1" x14ac:dyDescent="0.45">
      <c r="A143" s="1113"/>
      <c r="B143" s="1113"/>
      <c r="C143" s="1114"/>
      <c r="D143" s="1115"/>
      <c r="E143" s="1116"/>
      <c r="F143" s="1117"/>
      <c r="G143" s="1113"/>
      <c r="H143" s="1118"/>
      <c r="I143" s="818" t="s">
        <v>171</v>
      </c>
      <c r="J143" s="819"/>
      <c r="K143" s="818">
        <f t="shared" ref="K143:V143" si="108">SUM(K139:K142)</f>
        <v>61.259350000000005</v>
      </c>
      <c r="L143" s="818">
        <f t="shared" si="108"/>
        <v>35.8874</v>
      </c>
      <c r="M143" s="818">
        <f t="shared" si="108"/>
        <v>28.823</v>
      </c>
      <c r="N143" s="818">
        <f t="shared" si="108"/>
        <v>10.918000000000001</v>
      </c>
      <c r="O143" s="818">
        <f t="shared" si="108"/>
        <v>20.698</v>
      </c>
      <c r="P143" s="818">
        <f t="shared" si="108"/>
        <v>47.9467</v>
      </c>
      <c r="Q143" s="818">
        <f t="shared" si="108"/>
        <v>54.97</v>
      </c>
      <c r="R143" s="818">
        <f t="shared" si="108"/>
        <v>9.718399999999999</v>
      </c>
      <c r="S143" s="818">
        <f t="shared" si="108"/>
        <v>63.4908</v>
      </c>
      <c r="T143" s="818">
        <f t="shared" si="108"/>
        <v>40.352000000000004</v>
      </c>
      <c r="U143" s="818">
        <f t="shared" si="108"/>
        <v>30.433</v>
      </c>
      <c r="V143" s="818">
        <f t="shared" si="108"/>
        <v>36.012250000000002</v>
      </c>
      <c r="W143" s="820">
        <f t="shared" si="105"/>
        <v>440.50889999999993</v>
      </c>
      <c r="X143" s="454"/>
      <c r="Y143" s="466"/>
    </row>
    <row r="144" spans="1:25" ht="13.9" customHeight="1" x14ac:dyDescent="0.4">
      <c r="A144" s="1113"/>
      <c r="B144" s="1113"/>
      <c r="C144" s="1114"/>
      <c r="D144" s="1115"/>
      <c r="E144" s="1116"/>
      <c r="F144" s="1117"/>
      <c r="G144" s="1113"/>
      <c r="H144" s="1118"/>
      <c r="I144" s="454"/>
      <c r="K144" s="454"/>
      <c r="L144" s="454"/>
      <c r="M144" s="454"/>
      <c r="N144" s="454"/>
      <c r="O144" s="454"/>
      <c r="P144" s="454"/>
      <c r="Q144" s="454"/>
      <c r="R144" s="454"/>
      <c r="S144" s="454"/>
      <c r="T144" s="454"/>
      <c r="U144" s="454"/>
      <c r="V144" s="454"/>
      <c r="W144" s="461">
        <f t="shared" si="105"/>
        <v>0</v>
      </c>
      <c r="X144" s="454"/>
      <c r="Y144" s="466"/>
    </row>
    <row r="145" spans="1:25" ht="14.25" customHeight="1" thickBot="1" x14ac:dyDescent="0.45">
      <c r="A145" s="1121"/>
      <c r="B145" s="1113"/>
      <c r="C145" s="1113"/>
      <c r="D145" s="1113"/>
      <c r="E145" s="1121"/>
      <c r="F145" s="1113"/>
      <c r="G145" s="1113"/>
      <c r="H145" s="1113"/>
      <c r="I145" s="561" t="s">
        <v>172</v>
      </c>
      <c r="K145" s="797">
        <f t="shared" ref="K145:V145" si="109">K137-K143</f>
        <v>4237.6006500000003</v>
      </c>
      <c r="L145" s="797">
        <f t="shared" si="109"/>
        <v>2307.9526000000001</v>
      </c>
      <c r="M145" s="797">
        <f t="shared" si="109"/>
        <v>1679.0069999999998</v>
      </c>
      <c r="N145" s="797">
        <f t="shared" si="109"/>
        <v>1957.0820000000001</v>
      </c>
      <c r="O145" s="797">
        <f t="shared" si="109"/>
        <v>4071.3020000000001</v>
      </c>
      <c r="P145" s="797">
        <f t="shared" si="109"/>
        <v>7096.3532999999989</v>
      </c>
      <c r="Q145" s="797">
        <f t="shared" si="109"/>
        <v>5645.03</v>
      </c>
      <c r="R145" s="797">
        <f t="shared" si="109"/>
        <v>1617.6816000000001</v>
      </c>
      <c r="S145" s="797">
        <f t="shared" si="109"/>
        <v>5044.9892</v>
      </c>
      <c r="T145" s="797">
        <f t="shared" si="109"/>
        <v>3051.6480000000001</v>
      </c>
      <c r="U145" s="797">
        <f t="shared" si="109"/>
        <v>4064.3670000000002</v>
      </c>
      <c r="V145" s="797">
        <f t="shared" si="109"/>
        <v>5358.9377500000001</v>
      </c>
      <c r="W145" s="798">
        <f t="shared" si="105"/>
        <v>46131.951099999991</v>
      </c>
      <c r="X145" s="454"/>
      <c r="Y145" s="466"/>
    </row>
    <row r="146" spans="1:25" ht="13.15" customHeight="1" thickTop="1" x14ac:dyDescent="0.35">
      <c r="I146" s="454"/>
      <c r="K146" s="454"/>
      <c r="L146" s="454"/>
      <c r="M146" s="454"/>
      <c r="N146" s="454"/>
      <c r="O146" s="454"/>
      <c r="P146" s="454"/>
      <c r="Q146" s="454"/>
      <c r="R146" s="454"/>
      <c r="S146" s="454"/>
      <c r="T146" s="454"/>
      <c r="U146" s="454"/>
      <c r="V146" s="454"/>
      <c r="W146" s="454"/>
      <c r="X146" s="454"/>
    </row>
    <row r="147" spans="1:25" x14ac:dyDescent="0.35">
      <c r="K147" s="454"/>
      <c r="L147" s="454"/>
      <c r="M147" s="454"/>
      <c r="N147" s="454"/>
      <c r="O147" s="454"/>
      <c r="P147" s="454"/>
      <c r="Q147" s="454"/>
      <c r="R147" s="454"/>
      <c r="S147" s="454"/>
      <c r="T147" s="454"/>
      <c r="U147" s="454"/>
      <c r="V147" s="454"/>
      <c r="W147" s="454"/>
      <c r="X147" s="454"/>
    </row>
    <row r="148" spans="1:25" ht="13.15" customHeight="1" x14ac:dyDescent="0.4">
      <c r="I148" s="556" t="s">
        <v>173</v>
      </c>
      <c r="K148" s="577" t="s">
        <v>142</v>
      </c>
      <c r="L148" s="577" t="s">
        <v>143</v>
      </c>
      <c r="M148" s="577" t="s">
        <v>144</v>
      </c>
      <c r="N148" s="577" t="s">
        <v>145</v>
      </c>
      <c r="O148" s="577" t="s">
        <v>146</v>
      </c>
      <c r="P148" s="577" t="s">
        <v>147</v>
      </c>
      <c r="Q148" s="577" t="s">
        <v>148</v>
      </c>
      <c r="R148" s="577" t="s">
        <v>149</v>
      </c>
      <c r="S148" s="577" t="s">
        <v>150</v>
      </c>
      <c r="T148" s="577" t="s">
        <v>151</v>
      </c>
      <c r="U148" s="577" t="s">
        <v>152</v>
      </c>
      <c r="V148" s="577" t="s">
        <v>153</v>
      </c>
      <c r="W148" s="577" t="s">
        <v>19</v>
      </c>
      <c r="X148" s="423" t="s">
        <v>158</v>
      </c>
    </row>
    <row r="149" spans="1:25" x14ac:dyDescent="0.35">
      <c r="I149" s="426" t="s">
        <v>174</v>
      </c>
      <c r="K149" s="432">
        <f t="shared" ref="K149:K158" si="110">SUMIFS($E$209:$E$698,$A$209:$A$698,"&gt;31/12/2024",$A$209:$A$698,"&lt;1/2/2025",$G$209:$G$698,$I149)</f>
        <v>1690</v>
      </c>
      <c r="L149" s="432">
        <f t="shared" ref="L149:L158" si="111">SUMIFS($E$209:$E$698,$A$209:$A$698,"&gt;31/1/2025",$A$209:$A$698,"&lt;1/3/2025",$G$209:$G$698,$I149)</f>
        <v>723</v>
      </c>
      <c r="M149" s="432">
        <f t="shared" ref="M149:M158" si="112">SUMIFS($E$209:$E$698,$A$209:$A$698,"&gt;28/2/2025",$A$209:$A$698,"&lt;1/4/2025",$G$209:$G$698,$I149)</f>
        <v>598</v>
      </c>
      <c r="N149" s="432">
        <f t="shared" ref="N149:N158" si="113">SUMIFS($E$209:$E$698,$A$209:$A$698,"&gt;31/3/2025",$A$209:$A$698,"&lt;1/5/2025",$G$209:$G$698,$I149)</f>
        <v>398</v>
      </c>
      <c r="O149" s="432">
        <f t="shared" ref="O149:O158" si="114">SUMIFS($E$209:$E$698,$A$209:$A$698,"&gt;30/4/2025",$A$209:$A$698,"&lt;1/6/2025",$G$209:$G$698,$I149)</f>
        <v>659</v>
      </c>
      <c r="P149" s="432">
        <f t="shared" ref="P149:P158" si="115">SUMIFS($E$209:$E$698,$A$209:$A$698,"&gt;31/5/2025",$A$209:$A$698,"&lt;1/7/2025",$G$209:$G$698,$I149)</f>
        <v>2851</v>
      </c>
      <c r="Q149" s="432">
        <f t="shared" ref="Q149:Q158" si="116">SUMIFS($E$209:$E$698,$A$209:$A$698,"&gt;30/6/2025",$A$209:$A$698,"&lt;1/8/2025",$G$209:$G$698,$I149)</f>
        <v>1980</v>
      </c>
      <c r="R149" s="432">
        <f t="shared" ref="R149:R158" si="117">SUMIFS($E$209:$E$698,$A$209:$A$698,"&gt;31/7/2025",$A$209:$A$698,"&lt;1/9/2025",$G$209:$G$698,$I149)</f>
        <v>500</v>
      </c>
      <c r="S149" s="432">
        <f t="shared" ref="S149:S158" si="118">SUMIFS($E$209:$E$698,$A$209:$A$698,"&gt;31/8/2025",$A$209:$A$698,"&lt;1/10/2025",$G$209:$G$698,$I149)</f>
        <v>1715</v>
      </c>
      <c r="T149" s="432">
        <f t="shared" ref="T149:T158" si="119">SUMIFS($E$209:$E$698,$A$209:$A$698,"&gt;30/9/2025",$A$209:$A$698,"&lt;1/11/2025",$G$209:$G$698,$I149)</f>
        <v>540</v>
      </c>
      <c r="U149" s="432">
        <f t="shared" ref="U149:U158" si="120">SUMIFS($E$209:$E$698,$A$209:$A$698,"&gt;31/10/2025",$A$209:$A$698,"&lt;1/12/2025",$G$209:$G$698,$I149)</f>
        <v>1230</v>
      </c>
      <c r="V149" s="432">
        <f t="shared" ref="V149:V158" si="121">SUMIFS($E$209:$E$698,$A$209:$A$698,"&gt;30/11/2025",$A$209:$A$698,"&lt;1/1/2026",$G$209:$G$698,$I149)</f>
        <v>1500</v>
      </c>
      <c r="W149" s="432">
        <f t="shared" ref="W149:W158" si="122">SUM(K149:V149)</f>
        <v>14384</v>
      </c>
      <c r="X149" s="460">
        <f t="shared" ref="X149:X159" si="123">IFERROR(W149/$W$159,0)</f>
        <v>0.30885205548515154</v>
      </c>
    </row>
    <row r="150" spans="1:25" x14ac:dyDescent="0.35">
      <c r="I150" s="426" t="s">
        <v>175</v>
      </c>
      <c r="K150" s="432">
        <f t="shared" si="110"/>
        <v>1347.25</v>
      </c>
      <c r="L150" s="432">
        <f t="shared" si="111"/>
        <v>1500</v>
      </c>
      <c r="M150" s="432">
        <f t="shared" si="112"/>
        <v>819.82999999999993</v>
      </c>
      <c r="N150" s="432">
        <f t="shared" si="113"/>
        <v>175</v>
      </c>
      <c r="O150" s="432">
        <f t="shared" si="114"/>
        <v>599</v>
      </c>
      <c r="P150" s="432">
        <f t="shared" si="115"/>
        <v>520</v>
      </c>
      <c r="Q150" s="432">
        <f t="shared" si="116"/>
        <v>185</v>
      </c>
      <c r="R150" s="432">
        <f t="shared" si="117"/>
        <v>207.4</v>
      </c>
      <c r="S150" s="432">
        <f t="shared" si="118"/>
        <v>1780</v>
      </c>
      <c r="T150" s="432">
        <f t="shared" si="119"/>
        <v>1515</v>
      </c>
      <c r="U150" s="432">
        <f t="shared" si="120"/>
        <v>60</v>
      </c>
      <c r="V150" s="432">
        <f t="shared" si="121"/>
        <v>85</v>
      </c>
      <c r="W150" s="432">
        <f t="shared" si="122"/>
        <v>8793.48</v>
      </c>
      <c r="X150" s="460">
        <f t="shared" si="123"/>
        <v>0.18881287353083775</v>
      </c>
    </row>
    <row r="151" spans="1:25" x14ac:dyDescent="0.35">
      <c r="I151" s="45" t="s">
        <v>126</v>
      </c>
      <c r="K151" s="432">
        <f t="shared" si="110"/>
        <v>0</v>
      </c>
      <c r="L151" s="432">
        <f t="shared" si="111"/>
        <v>0</v>
      </c>
      <c r="M151" s="432">
        <f t="shared" si="112"/>
        <v>0</v>
      </c>
      <c r="N151" s="432">
        <f t="shared" si="113"/>
        <v>1245</v>
      </c>
      <c r="O151" s="432">
        <f t="shared" si="114"/>
        <v>2834</v>
      </c>
      <c r="P151" s="432">
        <f t="shared" si="115"/>
        <v>3607</v>
      </c>
      <c r="Q151" s="432">
        <f t="shared" si="116"/>
        <v>3535</v>
      </c>
      <c r="R151" s="432">
        <f t="shared" si="117"/>
        <v>800</v>
      </c>
      <c r="S151" s="432">
        <f t="shared" si="118"/>
        <v>1300</v>
      </c>
      <c r="T151" s="432">
        <f t="shared" si="119"/>
        <v>150</v>
      </c>
      <c r="U151" s="432">
        <f t="shared" si="120"/>
        <v>2525</v>
      </c>
      <c r="V151" s="432">
        <f t="shared" si="121"/>
        <v>3549</v>
      </c>
      <c r="W151" s="432">
        <f t="shared" si="122"/>
        <v>19545</v>
      </c>
      <c r="X151" s="460">
        <f t="shared" si="123"/>
        <v>0.41966861960909946</v>
      </c>
    </row>
    <row r="152" spans="1:25" x14ac:dyDescent="0.35">
      <c r="I152" s="45" t="s">
        <v>176</v>
      </c>
      <c r="K152" s="432">
        <f t="shared" si="110"/>
        <v>1194</v>
      </c>
      <c r="L152" s="432">
        <f t="shared" si="111"/>
        <v>50</v>
      </c>
      <c r="M152" s="432">
        <f t="shared" si="112"/>
        <v>50</v>
      </c>
      <c r="N152" s="432">
        <f t="shared" si="113"/>
        <v>50</v>
      </c>
      <c r="O152" s="432">
        <f t="shared" si="114"/>
        <v>0</v>
      </c>
      <c r="P152" s="432">
        <f t="shared" si="115"/>
        <v>79.2</v>
      </c>
      <c r="Q152" s="432">
        <f t="shared" si="116"/>
        <v>0</v>
      </c>
      <c r="R152" s="432">
        <f t="shared" si="117"/>
        <v>0</v>
      </c>
      <c r="S152" s="432">
        <f t="shared" si="118"/>
        <v>50</v>
      </c>
      <c r="T152" s="432">
        <f t="shared" si="119"/>
        <v>269</v>
      </c>
      <c r="U152" s="432">
        <f t="shared" si="120"/>
        <v>0</v>
      </c>
      <c r="V152" s="432">
        <f t="shared" si="121"/>
        <v>99</v>
      </c>
      <c r="W152" s="432">
        <f t="shared" si="122"/>
        <v>1841.2</v>
      </c>
      <c r="X152" s="460">
        <f t="shared" si="123"/>
        <v>3.9534093754119926E-2</v>
      </c>
    </row>
    <row r="153" spans="1:25" x14ac:dyDescent="0.35">
      <c r="I153" s="426" t="s">
        <v>177</v>
      </c>
      <c r="K153" s="432">
        <f t="shared" si="110"/>
        <v>0</v>
      </c>
      <c r="L153" s="432">
        <f t="shared" si="111"/>
        <v>0</v>
      </c>
      <c r="M153" s="432">
        <f t="shared" si="112"/>
        <v>0</v>
      </c>
      <c r="N153" s="432">
        <f t="shared" si="113"/>
        <v>0</v>
      </c>
      <c r="O153" s="432">
        <f t="shared" si="114"/>
        <v>0</v>
      </c>
      <c r="P153" s="432">
        <f t="shared" si="115"/>
        <v>0</v>
      </c>
      <c r="Q153" s="432">
        <f t="shared" si="116"/>
        <v>0</v>
      </c>
      <c r="R153" s="432">
        <f t="shared" si="117"/>
        <v>0</v>
      </c>
      <c r="S153" s="432">
        <f t="shared" si="118"/>
        <v>249</v>
      </c>
      <c r="T153" s="432">
        <f t="shared" si="119"/>
        <v>198</v>
      </c>
      <c r="U153" s="432">
        <f t="shared" si="120"/>
        <v>0</v>
      </c>
      <c r="V153" s="432">
        <f t="shared" si="121"/>
        <v>0</v>
      </c>
      <c r="W153" s="432">
        <f t="shared" si="122"/>
        <v>447</v>
      </c>
      <c r="X153" s="460">
        <f t="shared" si="123"/>
        <v>9.5979469411751062E-3</v>
      </c>
    </row>
    <row r="154" spans="1:25" x14ac:dyDescent="0.35">
      <c r="I154" s="45" t="s">
        <v>179</v>
      </c>
      <c r="K154" s="432">
        <f t="shared" si="110"/>
        <v>0</v>
      </c>
      <c r="L154" s="432">
        <f t="shared" si="111"/>
        <v>0</v>
      </c>
      <c r="M154" s="432">
        <f t="shared" si="112"/>
        <v>0</v>
      </c>
      <c r="N154" s="432">
        <f t="shared" si="113"/>
        <v>0</v>
      </c>
      <c r="O154" s="432">
        <f t="shared" si="114"/>
        <v>0</v>
      </c>
      <c r="P154" s="432">
        <f t="shared" si="115"/>
        <v>0</v>
      </c>
      <c r="Q154" s="432">
        <f t="shared" si="116"/>
        <v>0</v>
      </c>
      <c r="R154" s="432">
        <f t="shared" si="117"/>
        <v>0</v>
      </c>
      <c r="S154" s="432">
        <f t="shared" si="118"/>
        <v>0</v>
      </c>
      <c r="T154" s="432">
        <f t="shared" si="119"/>
        <v>0</v>
      </c>
      <c r="U154" s="432">
        <f t="shared" si="120"/>
        <v>0</v>
      </c>
      <c r="V154" s="432">
        <f t="shared" si="121"/>
        <v>0</v>
      </c>
      <c r="W154" s="432">
        <f t="shared" si="122"/>
        <v>0</v>
      </c>
      <c r="X154" s="460">
        <f t="shared" si="123"/>
        <v>0</v>
      </c>
    </row>
    <row r="155" spans="1:25" x14ac:dyDescent="0.35">
      <c r="I155" s="45" t="s">
        <v>87</v>
      </c>
      <c r="K155" s="432">
        <f t="shared" si="110"/>
        <v>0</v>
      </c>
      <c r="L155" s="432">
        <f t="shared" si="111"/>
        <v>0</v>
      </c>
      <c r="M155" s="432">
        <f t="shared" si="112"/>
        <v>0</v>
      </c>
      <c r="N155" s="432">
        <f t="shared" si="113"/>
        <v>0</v>
      </c>
      <c r="O155" s="432">
        <f t="shared" si="114"/>
        <v>0</v>
      </c>
      <c r="P155" s="432">
        <f t="shared" si="115"/>
        <v>0</v>
      </c>
      <c r="Q155" s="432">
        <f t="shared" si="116"/>
        <v>0</v>
      </c>
      <c r="R155" s="432">
        <f t="shared" si="117"/>
        <v>0</v>
      </c>
      <c r="S155" s="432">
        <f t="shared" si="118"/>
        <v>0</v>
      </c>
      <c r="T155" s="432">
        <f t="shared" si="119"/>
        <v>0</v>
      </c>
      <c r="U155" s="432">
        <f t="shared" si="120"/>
        <v>279.8</v>
      </c>
      <c r="V155" s="432">
        <f t="shared" si="121"/>
        <v>0</v>
      </c>
      <c r="W155" s="432">
        <f t="shared" si="122"/>
        <v>279.8</v>
      </c>
      <c r="X155" s="460">
        <f t="shared" si="123"/>
        <v>6.0078424029995411E-3</v>
      </c>
    </row>
    <row r="156" spans="1:25" x14ac:dyDescent="0.35">
      <c r="I156" s="45" t="s">
        <v>89</v>
      </c>
      <c r="K156" s="432">
        <f t="shared" si="110"/>
        <v>67.61</v>
      </c>
      <c r="L156" s="432">
        <f t="shared" si="111"/>
        <v>70.84</v>
      </c>
      <c r="M156" s="432">
        <f t="shared" si="112"/>
        <v>0</v>
      </c>
      <c r="N156" s="432">
        <f t="shared" si="113"/>
        <v>0</v>
      </c>
      <c r="O156" s="432">
        <f t="shared" si="114"/>
        <v>0</v>
      </c>
      <c r="P156" s="432">
        <f t="shared" si="115"/>
        <v>87.1</v>
      </c>
      <c r="Q156" s="432">
        <f t="shared" si="116"/>
        <v>0</v>
      </c>
      <c r="R156" s="432">
        <f t="shared" si="117"/>
        <v>0</v>
      </c>
      <c r="S156" s="432">
        <f t="shared" si="118"/>
        <v>14.48</v>
      </c>
      <c r="T156" s="432">
        <f t="shared" si="119"/>
        <v>0</v>
      </c>
      <c r="U156" s="432">
        <f t="shared" si="120"/>
        <v>0</v>
      </c>
      <c r="V156" s="432">
        <f t="shared" si="121"/>
        <v>41.95</v>
      </c>
      <c r="W156" s="432">
        <f t="shared" si="122"/>
        <v>281.97999999999996</v>
      </c>
      <c r="X156" s="460">
        <f t="shared" si="123"/>
        <v>6.0546511822652267E-3</v>
      </c>
    </row>
    <row r="157" spans="1:25" x14ac:dyDescent="0.35">
      <c r="I157" s="45" t="s">
        <v>180</v>
      </c>
      <c r="K157" s="432">
        <f t="shared" si="110"/>
        <v>0</v>
      </c>
      <c r="L157" s="432">
        <f t="shared" si="111"/>
        <v>0</v>
      </c>
      <c r="M157" s="432">
        <f t="shared" si="112"/>
        <v>240</v>
      </c>
      <c r="N157" s="432">
        <f t="shared" si="113"/>
        <v>100</v>
      </c>
      <c r="O157" s="432">
        <f t="shared" si="114"/>
        <v>0</v>
      </c>
      <c r="P157" s="432">
        <f t="shared" si="115"/>
        <v>0</v>
      </c>
      <c r="Q157" s="432">
        <f t="shared" si="116"/>
        <v>0</v>
      </c>
      <c r="R157" s="432">
        <f t="shared" si="117"/>
        <v>120</v>
      </c>
      <c r="S157" s="432">
        <f t="shared" si="118"/>
        <v>0</v>
      </c>
      <c r="T157" s="432">
        <f t="shared" si="119"/>
        <v>420</v>
      </c>
      <c r="U157" s="432">
        <f t="shared" si="120"/>
        <v>0</v>
      </c>
      <c r="V157" s="432">
        <f t="shared" si="121"/>
        <v>120</v>
      </c>
      <c r="W157" s="432">
        <f t="shared" si="122"/>
        <v>1000</v>
      </c>
      <c r="X157" s="460">
        <f t="shared" si="123"/>
        <v>2.1471917094351468E-2</v>
      </c>
    </row>
    <row r="158" spans="1:25" x14ac:dyDescent="0.35">
      <c r="I158" s="426" t="s">
        <v>181</v>
      </c>
      <c r="K158" s="432">
        <f t="shared" si="110"/>
        <v>0</v>
      </c>
      <c r="L158" s="432">
        <f t="shared" si="111"/>
        <v>0</v>
      </c>
      <c r="M158" s="432">
        <f t="shared" si="112"/>
        <v>0</v>
      </c>
      <c r="N158" s="432">
        <f t="shared" si="113"/>
        <v>0</v>
      </c>
      <c r="O158" s="432">
        <f t="shared" si="114"/>
        <v>0</v>
      </c>
      <c r="P158" s="432">
        <f t="shared" si="115"/>
        <v>0</v>
      </c>
      <c r="Q158" s="432">
        <f t="shared" si="116"/>
        <v>0</v>
      </c>
      <c r="R158" s="432">
        <f t="shared" si="117"/>
        <v>0</v>
      </c>
      <c r="S158" s="432">
        <f t="shared" si="118"/>
        <v>0</v>
      </c>
      <c r="T158" s="432">
        <f t="shared" si="119"/>
        <v>0</v>
      </c>
      <c r="U158" s="432">
        <f t="shared" si="120"/>
        <v>0</v>
      </c>
      <c r="V158" s="432">
        <f t="shared" si="121"/>
        <v>0</v>
      </c>
      <c r="W158" s="432">
        <f t="shared" si="122"/>
        <v>0</v>
      </c>
      <c r="X158" s="460">
        <f t="shared" si="123"/>
        <v>0</v>
      </c>
    </row>
    <row r="159" spans="1:25" ht="13.15" customHeight="1" x14ac:dyDescent="0.4">
      <c r="I159" s="454"/>
      <c r="K159" s="444">
        <f t="shared" ref="K159:W159" si="124">SUM(K149:K158)</f>
        <v>4298.8599999999997</v>
      </c>
      <c r="L159" s="444">
        <f t="shared" si="124"/>
        <v>2343.84</v>
      </c>
      <c r="M159" s="444">
        <f t="shared" si="124"/>
        <v>1707.83</v>
      </c>
      <c r="N159" s="444">
        <f t="shared" si="124"/>
        <v>1968</v>
      </c>
      <c r="O159" s="444">
        <f t="shared" si="124"/>
        <v>4092</v>
      </c>
      <c r="P159" s="444">
        <f t="shared" si="124"/>
        <v>7144.3</v>
      </c>
      <c r="Q159" s="444">
        <f t="shared" si="124"/>
        <v>5700</v>
      </c>
      <c r="R159" s="444">
        <f t="shared" si="124"/>
        <v>1627.4</v>
      </c>
      <c r="S159" s="444">
        <f t="shared" si="124"/>
        <v>5108.4799999999996</v>
      </c>
      <c r="T159" s="444">
        <f t="shared" si="124"/>
        <v>3092</v>
      </c>
      <c r="U159" s="444">
        <f t="shared" si="124"/>
        <v>4094.8</v>
      </c>
      <c r="V159" s="444">
        <f t="shared" si="124"/>
        <v>5394.95</v>
      </c>
      <c r="W159" s="444">
        <f t="shared" si="124"/>
        <v>46572.46</v>
      </c>
      <c r="X159" s="460">
        <f t="shared" si="123"/>
        <v>1</v>
      </c>
      <c r="Y159" s="466"/>
    </row>
    <row r="160" spans="1:25" x14ac:dyDescent="0.35">
      <c r="J160" s="454"/>
      <c r="K160" s="454">
        <f t="shared" ref="K160:W160" si="125">K137-K159</f>
        <v>0</v>
      </c>
      <c r="L160" s="454">
        <f t="shared" si="125"/>
        <v>0</v>
      </c>
      <c r="M160" s="454">
        <f t="shared" si="125"/>
        <v>0</v>
      </c>
      <c r="N160" s="454">
        <f t="shared" si="125"/>
        <v>0</v>
      </c>
      <c r="O160" s="454">
        <f t="shared" si="125"/>
        <v>0</v>
      </c>
      <c r="P160" s="454">
        <f t="shared" si="125"/>
        <v>0</v>
      </c>
      <c r="Q160" s="454">
        <f t="shared" si="125"/>
        <v>0</v>
      </c>
      <c r="R160" s="454">
        <f t="shared" si="125"/>
        <v>0</v>
      </c>
      <c r="S160" s="454">
        <f t="shared" si="125"/>
        <v>0</v>
      </c>
      <c r="T160" s="454">
        <f t="shared" si="125"/>
        <v>0</v>
      </c>
      <c r="U160" s="454">
        <f t="shared" si="125"/>
        <v>0</v>
      </c>
      <c r="V160" s="454">
        <f t="shared" si="125"/>
        <v>0</v>
      </c>
      <c r="W160" s="454">
        <f t="shared" si="125"/>
        <v>0</v>
      </c>
      <c r="X160" s="454"/>
    </row>
    <row r="161" spans="9:24" ht="13.15" customHeight="1" x14ac:dyDescent="0.4">
      <c r="I161" s="556" t="s">
        <v>182</v>
      </c>
      <c r="K161" s="577" t="s">
        <v>142</v>
      </c>
      <c r="L161" s="577" t="s">
        <v>143</v>
      </c>
      <c r="M161" s="577" t="s">
        <v>144</v>
      </c>
      <c r="N161" s="577" t="s">
        <v>145</v>
      </c>
      <c r="O161" s="577" t="s">
        <v>146</v>
      </c>
      <c r="P161" s="577" t="s">
        <v>147</v>
      </c>
      <c r="Q161" s="577" t="s">
        <v>148</v>
      </c>
      <c r="R161" s="577" t="s">
        <v>149</v>
      </c>
      <c r="S161" s="577" t="s">
        <v>150</v>
      </c>
      <c r="T161" s="577" t="s">
        <v>151</v>
      </c>
      <c r="U161" s="577" t="s">
        <v>152</v>
      </c>
      <c r="V161" s="577" t="s">
        <v>153</v>
      </c>
      <c r="W161" s="577" t="s">
        <v>19</v>
      </c>
      <c r="X161" s="423" t="s">
        <v>158</v>
      </c>
    </row>
    <row r="162" spans="9:24" ht="13.15" customHeight="1" x14ac:dyDescent="0.4">
      <c r="I162" s="444" t="s">
        <v>183</v>
      </c>
      <c r="K162" s="454">
        <f t="shared" ref="K162:V162" si="126">SUM(K159-K150)</f>
        <v>2951.6099999999997</v>
      </c>
      <c r="L162" s="454">
        <f t="shared" si="126"/>
        <v>843.84000000000015</v>
      </c>
      <c r="M162" s="454">
        <f t="shared" si="126"/>
        <v>888</v>
      </c>
      <c r="N162" s="454">
        <f t="shared" si="126"/>
        <v>1793</v>
      </c>
      <c r="O162" s="454">
        <f t="shared" si="126"/>
        <v>3493</v>
      </c>
      <c r="P162" s="454">
        <f t="shared" si="126"/>
        <v>6624.3</v>
      </c>
      <c r="Q162" s="454">
        <f t="shared" si="126"/>
        <v>5515</v>
      </c>
      <c r="R162" s="454">
        <f t="shared" si="126"/>
        <v>1420</v>
      </c>
      <c r="S162" s="454">
        <f t="shared" si="126"/>
        <v>3328.4799999999996</v>
      </c>
      <c r="T162" s="454">
        <f t="shared" si="126"/>
        <v>1577</v>
      </c>
      <c r="U162" s="454">
        <f t="shared" si="126"/>
        <v>4034.8</v>
      </c>
      <c r="V162" s="454">
        <f t="shared" si="126"/>
        <v>5309.95</v>
      </c>
      <c r="W162" s="554">
        <f>SUM(K162:V162)</f>
        <v>37778.979999999996</v>
      </c>
      <c r="X162" s="475">
        <f>W162/W164</f>
        <v>0.81118712646916236</v>
      </c>
    </row>
    <row r="163" spans="9:24" ht="13.15" customHeight="1" x14ac:dyDescent="0.4">
      <c r="I163" s="444" t="s">
        <v>184</v>
      </c>
      <c r="K163" s="454">
        <f t="shared" ref="K163:V163" si="127">K150</f>
        <v>1347.25</v>
      </c>
      <c r="L163" s="454">
        <f t="shared" si="127"/>
        <v>1500</v>
      </c>
      <c r="M163" s="454">
        <f t="shared" si="127"/>
        <v>819.82999999999993</v>
      </c>
      <c r="N163" s="454">
        <f t="shared" si="127"/>
        <v>175</v>
      </c>
      <c r="O163" s="454">
        <f t="shared" si="127"/>
        <v>599</v>
      </c>
      <c r="P163" s="454">
        <f t="shared" si="127"/>
        <v>520</v>
      </c>
      <c r="Q163" s="454">
        <f t="shared" si="127"/>
        <v>185</v>
      </c>
      <c r="R163" s="454">
        <f t="shared" si="127"/>
        <v>207.4</v>
      </c>
      <c r="S163" s="454">
        <f t="shared" si="127"/>
        <v>1780</v>
      </c>
      <c r="T163" s="454">
        <f t="shared" si="127"/>
        <v>1515</v>
      </c>
      <c r="U163" s="454">
        <f t="shared" si="127"/>
        <v>60</v>
      </c>
      <c r="V163" s="454">
        <f t="shared" si="127"/>
        <v>85</v>
      </c>
      <c r="W163" s="562">
        <f>SUM(K163:V163)</f>
        <v>8793.48</v>
      </c>
      <c r="X163" s="475">
        <f>W163/W164</f>
        <v>0.18881287353083778</v>
      </c>
    </row>
    <row r="164" spans="9:24" ht="13.15" customHeight="1" x14ac:dyDescent="0.4">
      <c r="I164" s="444"/>
      <c r="K164" s="563">
        <f t="shared" ref="K164:W164" si="128">K162+K163</f>
        <v>4298.8599999999997</v>
      </c>
      <c r="L164" s="563">
        <f t="shared" si="128"/>
        <v>2343.84</v>
      </c>
      <c r="M164" s="563">
        <f t="shared" si="128"/>
        <v>1707.83</v>
      </c>
      <c r="N164" s="563">
        <f t="shared" si="128"/>
        <v>1968</v>
      </c>
      <c r="O164" s="563">
        <f t="shared" si="128"/>
        <v>4092</v>
      </c>
      <c r="P164" s="563">
        <f t="shared" si="128"/>
        <v>7144.3</v>
      </c>
      <c r="Q164" s="563">
        <f t="shared" si="128"/>
        <v>5700</v>
      </c>
      <c r="R164" s="563">
        <f t="shared" si="128"/>
        <v>1627.4</v>
      </c>
      <c r="S164" s="563">
        <f t="shared" si="128"/>
        <v>5108.4799999999996</v>
      </c>
      <c r="T164" s="563">
        <f t="shared" si="128"/>
        <v>3092</v>
      </c>
      <c r="U164" s="563">
        <f t="shared" si="128"/>
        <v>4094.8</v>
      </c>
      <c r="V164" s="563">
        <f t="shared" si="128"/>
        <v>5394.95</v>
      </c>
      <c r="W164" s="563">
        <f t="shared" si="128"/>
        <v>46572.459999999992</v>
      </c>
      <c r="X164" s="564"/>
    </row>
    <row r="165" spans="9:24" x14ac:dyDescent="0.35">
      <c r="J165" s="454"/>
      <c r="K165" s="454"/>
      <c r="L165" s="454"/>
      <c r="M165" s="454"/>
      <c r="N165" s="454"/>
      <c r="O165" s="454"/>
      <c r="P165" s="454"/>
      <c r="Q165" s="454"/>
      <c r="R165" s="454"/>
      <c r="S165" s="454"/>
      <c r="T165" s="454"/>
      <c r="U165" s="454"/>
      <c r="V165" s="454"/>
      <c r="W165" s="454"/>
      <c r="X165" s="454"/>
    </row>
    <row r="166" spans="9:24" ht="13.15" customHeight="1" x14ac:dyDescent="0.4">
      <c r="I166" s="556" t="s">
        <v>185</v>
      </c>
      <c r="K166" s="577" t="s">
        <v>142</v>
      </c>
      <c r="L166" s="577" t="s">
        <v>143</v>
      </c>
      <c r="M166" s="577" t="s">
        <v>144</v>
      </c>
      <c r="N166" s="577" t="s">
        <v>145</v>
      </c>
      <c r="O166" s="577" t="s">
        <v>146</v>
      </c>
      <c r="P166" s="577" t="s">
        <v>147</v>
      </c>
      <c r="Q166" s="577" t="s">
        <v>148</v>
      </c>
      <c r="R166" s="577" t="s">
        <v>149</v>
      </c>
      <c r="S166" s="577" t="s">
        <v>150</v>
      </c>
      <c r="T166" s="577" t="s">
        <v>151</v>
      </c>
      <c r="U166" s="577" t="s">
        <v>152</v>
      </c>
      <c r="V166" s="577" t="s">
        <v>153</v>
      </c>
      <c r="W166" s="577" t="s">
        <v>19</v>
      </c>
      <c r="X166" s="423" t="s">
        <v>158</v>
      </c>
    </row>
    <row r="167" spans="9:24" ht="13.15" customHeight="1" x14ac:dyDescent="0.4">
      <c r="I167" s="444" t="s">
        <v>183</v>
      </c>
      <c r="K167" s="454">
        <f t="shared" ref="K167:V167" si="129">K94-K168</f>
        <v>20</v>
      </c>
      <c r="L167" s="454">
        <f t="shared" si="129"/>
        <v>6</v>
      </c>
      <c r="M167" s="454">
        <f t="shared" si="129"/>
        <v>8</v>
      </c>
      <c r="N167" s="454">
        <f t="shared" si="129"/>
        <v>21</v>
      </c>
      <c r="O167" s="454">
        <f t="shared" si="129"/>
        <v>43</v>
      </c>
      <c r="P167" s="454">
        <f t="shared" si="129"/>
        <v>57</v>
      </c>
      <c r="Q167" s="454">
        <f t="shared" si="129"/>
        <v>45</v>
      </c>
      <c r="R167" s="454">
        <f t="shared" si="129"/>
        <v>15</v>
      </c>
      <c r="S167" s="454">
        <f t="shared" si="129"/>
        <v>18</v>
      </c>
      <c r="T167" s="454">
        <f t="shared" si="129"/>
        <v>2</v>
      </c>
      <c r="U167" s="454">
        <f t="shared" si="129"/>
        <v>29</v>
      </c>
      <c r="V167" s="454">
        <f t="shared" si="129"/>
        <v>71</v>
      </c>
      <c r="W167" s="554">
        <f>SUM(K167:V167)</f>
        <v>335</v>
      </c>
      <c r="X167" s="475">
        <f>W167/W169</f>
        <v>0.79196217494089838</v>
      </c>
    </row>
    <row r="168" spans="9:24" ht="13.15" customHeight="1" x14ac:dyDescent="0.4">
      <c r="I168" s="561" t="s">
        <v>175</v>
      </c>
      <c r="K168" s="454">
        <f>COUNTIFS($A$209:$A$698,"&gt;31/12/2024",$A$209:$A$698,"&lt;1/2/2025",$G$209:$G$698,"Existing")</f>
        <v>12</v>
      </c>
      <c r="L168" s="432">
        <f>COUNTIFS($A$209:$A$698,"&gt;31/1/2025",$A$209:$A$698,"&lt;1/3/2025",$G$209:$G$698,$I168)</f>
        <v>7</v>
      </c>
      <c r="M168" s="432">
        <f>COUNTIFS($A$209:$A$698,"&gt;28/2/2025",$A$209:$A$698,"&lt;1/4/2025",$G$209:$G$698,$I168)</f>
        <v>9</v>
      </c>
      <c r="N168" s="432">
        <f>COUNTIFS($A$209:$A$698,"&gt;31/3/2025",$A$209:$A$698,"&lt;1/5/2025",$G$209:$G$698,$I168)</f>
        <v>4</v>
      </c>
      <c r="O168" s="432">
        <f>COUNTIFS($A$209:$A$698,"&gt;30/4/2025",$A$209:$A$698,"&lt;1/6/2025",$G$209:$G$698,$I168)</f>
        <v>4</v>
      </c>
      <c r="P168" s="432">
        <f>COUNTIFS($A$209:$A$698,"&gt;31/5/2025",$A$209:$A$698,"&lt;1/7/2025",$G$209:$G$698,$I168)</f>
        <v>6</v>
      </c>
      <c r="Q168" s="432">
        <f>COUNTIFS($A$209:$A$698,"&gt;30/6/2025",$A$209:$A$698,"&lt;1/8/2025",$G$209:$G$698,$I168)</f>
        <v>6</v>
      </c>
      <c r="R168" s="432">
        <f>COUNTIFS($A$209:$A$698,"&gt;31/7/2025",$A$209:$A$698,"&lt;1/9/2025",$G$209:$G$698,$I168)</f>
        <v>7</v>
      </c>
      <c r="S168" s="432">
        <f>COUNTIFS($A$209:$A$698,"&gt;31/8/2025",$A$209:$A$698,"&lt;1/10/2025",$G$209:$G$698,$I168)</f>
        <v>6</v>
      </c>
      <c r="T168" s="432">
        <f>COUNTIFS($A$209:$A$698,"&gt;30/9/2025",$A$209:$A$698,"&lt;1/11/2025",$G$209:$G$698,$I168)</f>
        <v>19</v>
      </c>
      <c r="U168" s="432">
        <f>COUNTIFS($A$209:$A$698,"&gt;31/10/2025",$A$209:$A$698,"&lt;1/12/2025",$G$209:$G$698,$I168)</f>
        <v>8</v>
      </c>
      <c r="V168" s="432">
        <f>COUNTIFS($A$209:$A$698,"&gt;30/11/2025",$A$209:$A$698,"&lt;1/1/2025",$G$209:$G$698,$I168)</f>
        <v>0</v>
      </c>
      <c r="W168" s="554">
        <f>SUM(K168:V168)</f>
        <v>88</v>
      </c>
      <c r="X168" s="475">
        <f>W168/$W$169</f>
        <v>0.20803782505910165</v>
      </c>
    </row>
    <row r="169" spans="9:24" ht="13.15" customHeight="1" x14ac:dyDescent="0.4">
      <c r="J169" s="454"/>
      <c r="K169" s="563">
        <f t="shared" ref="K169:W169" si="130">K167+K168</f>
        <v>32</v>
      </c>
      <c r="L169" s="563">
        <f t="shared" si="130"/>
        <v>13</v>
      </c>
      <c r="M169" s="563">
        <f t="shared" si="130"/>
        <v>17</v>
      </c>
      <c r="N169" s="563">
        <f t="shared" si="130"/>
        <v>25</v>
      </c>
      <c r="O169" s="563">
        <f t="shared" si="130"/>
        <v>47</v>
      </c>
      <c r="P169" s="563">
        <f t="shared" si="130"/>
        <v>63</v>
      </c>
      <c r="Q169" s="563">
        <f t="shared" si="130"/>
        <v>51</v>
      </c>
      <c r="R169" s="563">
        <f t="shared" si="130"/>
        <v>22</v>
      </c>
      <c r="S169" s="563">
        <f t="shared" si="130"/>
        <v>24</v>
      </c>
      <c r="T169" s="563">
        <f t="shared" si="130"/>
        <v>21</v>
      </c>
      <c r="U169" s="563">
        <f t="shared" si="130"/>
        <v>37</v>
      </c>
      <c r="V169" s="563">
        <f t="shared" si="130"/>
        <v>71</v>
      </c>
      <c r="W169" s="563">
        <f t="shared" si="130"/>
        <v>423</v>
      </c>
      <c r="X169" s="564"/>
    </row>
    <row r="170" spans="9:24" ht="13.15" customHeight="1" x14ac:dyDescent="0.4">
      <c r="J170" s="454"/>
      <c r="K170" s="613">
        <f t="shared" ref="K170:W170" si="131">K94-K169</f>
        <v>0</v>
      </c>
      <c r="L170" s="613">
        <f t="shared" si="131"/>
        <v>0</v>
      </c>
      <c r="M170" s="613">
        <f t="shared" si="131"/>
        <v>0</v>
      </c>
      <c r="N170" s="613">
        <f t="shared" si="131"/>
        <v>0</v>
      </c>
      <c r="O170" s="613">
        <f t="shared" si="131"/>
        <v>0</v>
      </c>
      <c r="P170" s="613">
        <f t="shared" si="131"/>
        <v>0</v>
      </c>
      <c r="Q170" s="613">
        <f t="shared" si="131"/>
        <v>0</v>
      </c>
      <c r="R170" s="613">
        <f t="shared" si="131"/>
        <v>0</v>
      </c>
      <c r="S170" s="613">
        <f t="shared" si="131"/>
        <v>0</v>
      </c>
      <c r="T170" s="613">
        <f t="shared" si="131"/>
        <v>0</v>
      </c>
      <c r="U170" s="613">
        <f t="shared" si="131"/>
        <v>0</v>
      </c>
      <c r="V170" s="613">
        <f t="shared" si="131"/>
        <v>0</v>
      </c>
      <c r="W170" s="613">
        <f t="shared" si="131"/>
        <v>0</v>
      </c>
      <c r="X170" s="475"/>
    </row>
    <row r="171" spans="9:24" ht="13.15" customHeight="1" x14ac:dyDescent="0.4">
      <c r="I171" s="556" t="s">
        <v>186</v>
      </c>
      <c r="K171" s="577" t="s">
        <v>142</v>
      </c>
      <c r="L171" s="577" t="s">
        <v>143</v>
      </c>
      <c r="M171" s="577" t="s">
        <v>144</v>
      </c>
      <c r="N171" s="577" t="s">
        <v>145</v>
      </c>
      <c r="O171" s="577" t="s">
        <v>146</v>
      </c>
      <c r="P171" s="577" t="s">
        <v>147</v>
      </c>
      <c r="Q171" s="577" t="s">
        <v>148</v>
      </c>
      <c r="R171" s="577" t="s">
        <v>149</v>
      </c>
      <c r="S171" s="577" t="s">
        <v>150</v>
      </c>
      <c r="T171" s="577" t="s">
        <v>151</v>
      </c>
      <c r="U171" s="577" t="s">
        <v>152</v>
      </c>
      <c r="V171" s="577" t="s">
        <v>153</v>
      </c>
      <c r="W171" s="577" t="s">
        <v>19</v>
      </c>
      <c r="X171" s="423" t="s">
        <v>158</v>
      </c>
    </row>
    <row r="172" spans="9:24" ht="13.15" customHeight="1" x14ac:dyDescent="0.4">
      <c r="I172" s="444" t="s">
        <v>183</v>
      </c>
      <c r="K172" s="454">
        <f t="shared" ref="K172:V172" si="132">IFERROR(K162/K167,0)</f>
        <v>147.58049999999997</v>
      </c>
      <c r="L172" s="454">
        <f t="shared" si="132"/>
        <v>140.64000000000001</v>
      </c>
      <c r="M172" s="454">
        <f t="shared" si="132"/>
        <v>111</v>
      </c>
      <c r="N172" s="454">
        <f t="shared" si="132"/>
        <v>85.38095238095238</v>
      </c>
      <c r="O172" s="454">
        <f t="shared" si="132"/>
        <v>81.232558139534888</v>
      </c>
      <c r="P172" s="454">
        <f t="shared" si="132"/>
        <v>116.21578947368421</v>
      </c>
      <c r="Q172" s="454">
        <f t="shared" si="132"/>
        <v>122.55555555555556</v>
      </c>
      <c r="R172" s="454">
        <f t="shared" si="132"/>
        <v>94.666666666666671</v>
      </c>
      <c r="S172" s="454">
        <f t="shared" si="132"/>
        <v>184.91555555555553</v>
      </c>
      <c r="T172" s="454">
        <f t="shared" si="132"/>
        <v>788.5</v>
      </c>
      <c r="U172" s="454">
        <f t="shared" si="132"/>
        <v>139.13103448275862</v>
      </c>
      <c r="V172" s="454">
        <f t="shared" si="132"/>
        <v>74.788028169014083</v>
      </c>
      <c r="W172" s="554">
        <f>AVERAGE(K172:V172)</f>
        <v>173.88388670197685</v>
      </c>
      <c r="X172" s="475">
        <f>W172/W174</f>
        <v>0.64625084388037468</v>
      </c>
    </row>
    <row r="173" spans="9:24" ht="13.15" customHeight="1" x14ac:dyDescent="0.4">
      <c r="I173" s="444" t="s">
        <v>184</v>
      </c>
      <c r="K173" s="454">
        <f t="shared" ref="K173:V173" si="133">IFERROR(K163/K168,0)</f>
        <v>112.27083333333333</v>
      </c>
      <c r="L173" s="454">
        <f t="shared" si="133"/>
        <v>214.28571428571428</v>
      </c>
      <c r="M173" s="454">
        <f t="shared" si="133"/>
        <v>91.092222222222219</v>
      </c>
      <c r="N173" s="454">
        <f t="shared" si="133"/>
        <v>43.75</v>
      </c>
      <c r="O173" s="454">
        <f t="shared" si="133"/>
        <v>149.75</v>
      </c>
      <c r="P173" s="454">
        <f t="shared" si="133"/>
        <v>86.666666666666671</v>
      </c>
      <c r="Q173" s="454">
        <f t="shared" si="133"/>
        <v>30.833333333333332</v>
      </c>
      <c r="R173" s="454">
        <f t="shared" si="133"/>
        <v>29.62857142857143</v>
      </c>
      <c r="S173" s="454">
        <f t="shared" si="133"/>
        <v>296.66666666666669</v>
      </c>
      <c r="T173" s="454">
        <f t="shared" si="133"/>
        <v>79.736842105263165</v>
      </c>
      <c r="U173" s="454">
        <f t="shared" si="133"/>
        <v>7.5</v>
      </c>
      <c r="V173" s="454">
        <f t="shared" si="133"/>
        <v>0</v>
      </c>
      <c r="W173" s="554">
        <f>AVERAGE(K173:V173)</f>
        <v>95.181737503480917</v>
      </c>
      <c r="X173" s="475">
        <f>W173/$W$174</f>
        <v>0.35374915611962532</v>
      </c>
    </row>
    <row r="174" spans="9:24" ht="13.15" customHeight="1" x14ac:dyDescent="0.4">
      <c r="J174" s="454"/>
      <c r="K174" s="563">
        <f t="shared" ref="K174:W174" si="134">K172+K173</f>
        <v>259.85133333333329</v>
      </c>
      <c r="L174" s="563">
        <f t="shared" si="134"/>
        <v>354.92571428571432</v>
      </c>
      <c r="M174" s="563">
        <f t="shared" si="134"/>
        <v>202.09222222222223</v>
      </c>
      <c r="N174" s="563">
        <f t="shared" si="134"/>
        <v>129.13095238095238</v>
      </c>
      <c r="O174" s="563">
        <f t="shared" si="134"/>
        <v>230.98255813953489</v>
      </c>
      <c r="P174" s="563">
        <f t="shared" si="134"/>
        <v>202.88245614035088</v>
      </c>
      <c r="Q174" s="563">
        <f t="shared" si="134"/>
        <v>153.38888888888889</v>
      </c>
      <c r="R174" s="563">
        <f t="shared" si="134"/>
        <v>124.2952380952381</v>
      </c>
      <c r="S174" s="563">
        <f t="shared" si="134"/>
        <v>481.58222222222219</v>
      </c>
      <c r="T174" s="563">
        <f t="shared" si="134"/>
        <v>868.23684210526312</v>
      </c>
      <c r="U174" s="563">
        <f t="shared" si="134"/>
        <v>146.63103448275862</v>
      </c>
      <c r="V174" s="563">
        <f t="shared" si="134"/>
        <v>74.788028169014083</v>
      </c>
      <c r="W174" s="563">
        <f t="shared" si="134"/>
        <v>269.06562420545777</v>
      </c>
      <c r="X174" s="564"/>
    </row>
    <row r="205" spans="1:11" ht="13.15" customHeight="1" x14ac:dyDescent="0.4">
      <c r="E205" s="605">
        <f>SUM(E209:E698)</f>
        <v>46572.46</v>
      </c>
    </row>
    <row r="206" spans="1:11" ht="13.9" customHeight="1" x14ac:dyDescent="0.4">
      <c r="A206" s="482" t="s">
        <v>187</v>
      </c>
      <c r="B206" s="459" t="s">
        <v>188</v>
      </c>
      <c r="C206" s="459" t="s">
        <v>189</v>
      </c>
      <c r="D206" s="459" t="s">
        <v>190</v>
      </c>
      <c r="E206" s="483" t="s">
        <v>74</v>
      </c>
      <c r="F206" s="459" t="s">
        <v>75</v>
      </c>
      <c r="G206" s="459" t="s">
        <v>191</v>
      </c>
      <c r="I206" s="647" t="s">
        <v>192</v>
      </c>
      <c r="J206" s="647" t="s">
        <v>193</v>
      </c>
      <c r="K206" s="46"/>
    </row>
    <row r="209" spans="1:10" ht="13.5" customHeight="1" x14ac:dyDescent="0.35">
      <c r="A209" s="838"/>
      <c r="B209" s="839"/>
      <c r="C209" s="840"/>
      <c r="D209" s="839"/>
      <c r="E209" s="841"/>
      <c r="F209" s="839"/>
      <c r="G209" s="839"/>
    </row>
    <row r="210" spans="1:10" ht="13.5" customHeight="1" x14ac:dyDescent="0.35">
      <c r="A210" s="838"/>
      <c r="B210" s="839"/>
      <c r="C210" s="840"/>
      <c r="D210" s="839"/>
      <c r="E210" s="841"/>
      <c r="F210" s="839"/>
      <c r="G210" s="839"/>
    </row>
    <row r="211" spans="1:10" ht="13.5" customHeight="1" x14ac:dyDescent="0.35">
      <c r="A211" s="838"/>
      <c r="B211" s="839"/>
      <c r="C211" s="840"/>
      <c r="D211" s="839"/>
      <c r="E211" s="841"/>
      <c r="F211" s="839"/>
      <c r="G211" s="839"/>
    </row>
    <row r="212" spans="1:10" ht="13.5" customHeight="1" x14ac:dyDescent="0.35">
      <c r="A212" s="838"/>
      <c r="B212" s="839"/>
      <c r="C212" s="840"/>
      <c r="D212" s="839"/>
      <c r="E212" s="841"/>
      <c r="F212" s="839"/>
      <c r="G212" s="839"/>
    </row>
    <row r="213" spans="1:10" ht="13.5" customHeight="1" x14ac:dyDescent="0.35">
      <c r="A213" s="838"/>
      <c r="B213" s="839"/>
      <c r="C213" s="840"/>
      <c r="D213" s="839"/>
      <c r="E213" s="841"/>
      <c r="F213" s="839"/>
      <c r="G213" s="839"/>
    </row>
    <row r="214" spans="1:10" ht="13.5" customHeight="1" x14ac:dyDescent="0.35">
      <c r="A214" s="838"/>
      <c r="B214" s="839"/>
      <c r="C214" s="840"/>
      <c r="D214" s="839"/>
      <c r="E214" s="841"/>
      <c r="F214" s="839"/>
      <c r="G214" s="839"/>
    </row>
    <row r="215" spans="1:10" ht="13.5" customHeight="1" x14ac:dyDescent="0.35">
      <c r="A215" s="838"/>
      <c r="B215" s="839"/>
      <c r="C215" s="840"/>
      <c r="D215" s="839"/>
      <c r="E215" s="841"/>
      <c r="F215" s="839"/>
      <c r="G215" s="839"/>
    </row>
    <row r="216" spans="1:10" ht="13.5" customHeight="1" x14ac:dyDescent="0.35">
      <c r="A216" s="838"/>
      <c r="B216" s="839"/>
      <c r="C216" s="840"/>
      <c r="D216" s="839"/>
      <c r="E216" s="841"/>
      <c r="F216" s="839"/>
      <c r="G216" s="839"/>
    </row>
    <row r="217" spans="1:10" ht="13.5" customHeight="1" x14ac:dyDescent="0.35">
      <c r="A217" s="838"/>
      <c r="B217" s="839"/>
      <c r="C217" s="840"/>
      <c r="D217" s="839"/>
      <c r="E217" s="841"/>
      <c r="F217" s="839"/>
      <c r="G217" s="839"/>
    </row>
    <row r="218" spans="1:10" ht="13.5" customHeight="1" x14ac:dyDescent="0.35">
      <c r="A218" s="838">
        <v>46022</v>
      </c>
      <c r="B218" s="839" t="s">
        <v>570</v>
      </c>
      <c r="C218" s="840" t="s">
        <v>31</v>
      </c>
      <c r="D218" s="839" t="s">
        <v>159</v>
      </c>
      <c r="E218" s="841">
        <v>15</v>
      </c>
      <c r="F218" s="839" t="s">
        <v>324</v>
      </c>
      <c r="G218" s="839" t="s">
        <v>174</v>
      </c>
      <c r="I218" t="s">
        <v>325</v>
      </c>
      <c r="J218" t="s">
        <v>226</v>
      </c>
    </row>
    <row r="219" spans="1:10" ht="13.5" customHeight="1" x14ac:dyDescent="0.35">
      <c r="A219" s="838">
        <v>46015</v>
      </c>
      <c r="B219" s="839" t="s">
        <v>571</v>
      </c>
      <c r="C219" s="840" t="s">
        <v>31</v>
      </c>
      <c r="D219" s="839" t="s">
        <v>159</v>
      </c>
      <c r="E219" s="841">
        <v>99</v>
      </c>
      <c r="F219" s="839" t="s">
        <v>230</v>
      </c>
      <c r="G219" s="839" t="s">
        <v>176</v>
      </c>
      <c r="I219" t="s">
        <v>231</v>
      </c>
      <c r="J219" t="s">
        <v>232</v>
      </c>
    </row>
    <row r="220" spans="1:10" ht="13.5" customHeight="1" x14ac:dyDescent="0.35">
      <c r="A220" s="838">
        <v>46015</v>
      </c>
      <c r="B220" s="839" t="s">
        <v>89</v>
      </c>
      <c r="C220" s="840" t="s">
        <v>56</v>
      </c>
      <c r="D220" s="839" t="s">
        <v>160</v>
      </c>
      <c r="E220" s="841">
        <v>41.95</v>
      </c>
      <c r="F220" s="839" t="s">
        <v>572</v>
      </c>
      <c r="G220" s="839" t="s">
        <v>89</v>
      </c>
      <c r="I220" t="s">
        <v>285</v>
      </c>
      <c r="J220" t="s">
        <v>286</v>
      </c>
    </row>
    <row r="221" spans="1:10" ht="13.5" customHeight="1" x14ac:dyDescent="0.35">
      <c r="A221" s="838">
        <v>46015</v>
      </c>
      <c r="B221" s="839" t="s">
        <v>573</v>
      </c>
      <c r="C221" s="840" t="s">
        <v>62</v>
      </c>
      <c r="D221" s="839" t="s">
        <v>159</v>
      </c>
      <c r="E221" s="841">
        <v>25</v>
      </c>
      <c r="F221" s="839" t="s">
        <v>574</v>
      </c>
      <c r="G221" s="839" t="s">
        <v>175</v>
      </c>
      <c r="I221" t="s">
        <v>201</v>
      </c>
      <c r="J221" t="s">
        <v>202</v>
      </c>
    </row>
    <row r="222" spans="1:10" ht="13.5" customHeight="1" x14ac:dyDescent="0.35">
      <c r="A222" s="838">
        <v>46014</v>
      </c>
      <c r="B222" s="839" t="s">
        <v>575</v>
      </c>
      <c r="C222" s="840" t="s">
        <v>31</v>
      </c>
      <c r="D222" s="839" t="s">
        <v>159</v>
      </c>
      <c r="E222" s="841">
        <v>125</v>
      </c>
      <c r="F222" s="839" t="s">
        <v>576</v>
      </c>
      <c r="G222" s="839" t="s">
        <v>174</v>
      </c>
      <c r="I222" t="s">
        <v>274</v>
      </c>
      <c r="J222" t="s">
        <v>232</v>
      </c>
    </row>
    <row r="223" spans="1:10" ht="13.5" customHeight="1" x14ac:dyDescent="0.35">
      <c r="A223" s="838">
        <v>46013</v>
      </c>
      <c r="B223" s="839" t="s">
        <v>577</v>
      </c>
      <c r="C223" s="840" t="s">
        <v>31</v>
      </c>
      <c r="D223" s="839" t="s">
        <v>159</v>
      </c>
      <c r="E223" s="841">
        <v>50</v>
      </c>
      <c r="F223" s="839" t="s">
        <v>578</v>
      </c>
      <c r="G223" s="839" t="s">
        <v>174</v>
      </c>
      <c r="I223" t="s">
        <v>317</v>
      </c>
      <c r="J223" t="s">
        <v>226</v>
      </c>
    </row>
    <row r="224" spans="1:10" ht="13.5" customHeight="1" x14ac:dyDescent="0.35">
      <c r="A224" s="838">
        <v>46010</v>
      </c>
      <c r="B224" s="839" t="s">
        <v>579</v>
      </c>
      <c r="C224" s="840" t="s">
        <v>28</v>
      </c>
      <c r="D224" s="839" t="s">
        <v>162</v>
      </c>
      <c r="E224" s="841">
        <v>150</v>
      </c>
      <c r="F224" s="839" t="s">
        <v>580</v>
      </c>
      <c r="G224" s="839" t="s">
        <v>126</v>
      </c>
      <c r="I224" t="s">
        <v>196</v>
      </c>
      <c r="J224" t="s">
        <v>197</v>
      </c>
    </row>
    <row r="225" spans="1:10" ht="13.5" customHeight="1" x14ac:dyDescent="0.35">
      <c r="A225" s="838">
        <v>46010</v>
      </c>
      <c r="B225" s="839" t="s">
        <v>581</v>
      </c>
      <c r="C225" s="840" t="s">
        <v>31</v>
      </c>
      <c r="D225" s="839" t="s">
        <v>162</v>
      </c>
      <c r="E225" s="841">
        <v>12</v>
      </c>
      <c r="F225" s="839" t="s">
        <v>362</v>
      </c>
      <c r="G225" s="839" t="s">
        <v>126</v>
      </c>
      <c r="I225" t="s">
        <v>325</v>
      </c>
      <c r="J225" t="s">
        <v>226</v>
      </c>
    </row>
    <row r="226" spans="1:10" ht="13.5" customHeight="1" x14ac:dyDescent="0.35">
      <c r="A226" s="838">
        <v>46010</v>
      </c>
      <c r="B226" s="839" t="s">
        <v>582</v>
      </c>
      <c r="C226" s="840" t="s">
        <v>31</v>
      </c>
      <c r="D226" s="839" t="s">
        <v>162</v>
      </c>
      <c r="E226" s="841">
        <v>15</v>
      </c>
      <c r="F226" s="839" t="s">
        <v>362</v>
      </c>
      <c r="G226" s="839" t="s">
        <v>126</v>
      </c>
      <c r="I226" t="s">
        <v>325</v>
      </c>
      <c r="J226" t="s">
        <v>226</v>
      </c>
    </row>
    <row r="227" spans="1:10" ht="13.5" customHeight="1" x14ac:dyDescent="0.35">
      <c r="A227" s="838">
        <v>46010</v>
      </c>
      <c r="B227" s="839" t="s">
        <v>583</v>
      </c>
      <c r="C227" s="840" t="s">
        <v>31</v>
      </c>
      <c r="D227" s="839" t="s">
        <v>162</v>
      </c>
      <c r="E227" s="841">
        <v>15</v>
      </c>
      <c r="F227" s="839" t="s">
        <v>362</v>
      </c>
      <c r="G227" s="839" t="s">
        <v>126</v>
      </c>
      <c r="I227" t="s">
        <v>325</v>
      </c>
      <c r="J227" t="s">
        <v>226</v>
      </c>
    </row>
    <row r="228" spans="1:10" ht="13.5" customHeight="1" x14ac:dyDescent="0.35">
      <c r="A228" s="838">
        <v>46010</v>
      </c>
      <c r="B228" s="839" t="s">
        <v>584</v>
      </c>
      <c r="C228" s="840" t="s">
        <v>31</v>
      </c>
      <c r="D228" s="839" t="s">
        <v>162</v>
      </c>
      <c r="E228" s="841">
        <v>15</v>
      </c>
      <c r="F228" s="839" t="s">
        <v>362</v>
      </c>
      <c r="G228" s="839" t="s">
        <v>126</v>
      </c>
      <c r="I228" t="s">
        <v>325</v>
      </c>
      <c r="J228" t="s">
        <v>226</v>
      </c>
    </row>
    <row r="229" spans="1:10" ht="13.5" customHeight="1" x14ac:dyDescent="0.35">
      <c r="A229" s="838">
        <v>46010</v>
      </c>
      <c r="B229" s="839" t="s">
        <v>585</v>
      </c>
      <c r="C229" s="840" t="s">
        <v>31</v>
      </c>
      <c r="D229" s="839" t="s">
        <v>162</v>
      </c>
      <c r="E229" s="841">
        <v>15</v>
      </c>
      <c r="F229" s="839" t="s">
        <v>362</v>
      </c>
      <c r="G229" s="839" t="s">
        <v>126</v>
      </c>
      <c r="I229" t="s">
        <v>325</v>
      </c>
      <c r="J229" t="s">
        <v>226</v>
      </c>
    </row>
    <row r="230" spans="1:10" ht="13.5" customHeight="1" x14ac:dyDescent="0.35">
      <c r="A230" s="838">
        <v>46010</v>
      </c>
      <c r="B230" s="839" t="s">
        <v>386</v>
      </c>
      <c r="C230" s="840" t="s">
        <v>31</v>
      </c>
      <c r="D230" s="839" t="s">
        <v>162</v>
      </c>
      <c r="E230" s="841">
        <v>15</v>
      </c>
      <c r="F230" s="839" t="s">
        <v>362</v>
      </c>
      <c r="G230" s="839" t="s">
        <v>126</v>
      </c>
      <c r="I230" t="s">
        <v>325</v>
      </c>
      <c r="J230" t="s">
        <v>226</v>
      </c>
    </row>
    <row r="231" spans="1:10" ht="13.5" customHeight="1" x14ac:dyDescent="0.35">
      <c r="A231" s="838">
        <v>46010</v>
      </c>
      <c r="B231" s="839" t="s">
        <v>586</v>
      </c>
      <c r="C231" s="840" t="s">
        <v>31</v>
      </c>
      <c r="D231" s="839" t="s">
        <v>162</v>
      </c>
      <c r="E231" s="841">
        <v>15</v>
      </c>
      <c r="F231" s="839" t="s">
        <v>362</v>
      </c>
      <c r="G231" s="839" t="s">
        <v>126</v>
      </c>
      <c r="I231" t="s">
        <v>325</v>
      </c>
      <c r="J231" t="s">
        <v>226</v>
      </c>
    </row>
    <row r="232" spans="1:10" ht="13.5" customHeight="1" x14ac:dyDescent="0.35">
      <c r="A232" s="838">
        <v>46010</v>
      </c>
      <c r="B232" s="839" t="s">
        <v>587</v>
      </c>
      <c r="C232" s="840" t="s">
        <v>31</v>
      </c>
      <c r="D232" s="839" t="s">
        <v>162</v>
      </c>
      <c r="E232" s="841">
        <v>15</v>
      </c>
      <c r="F232" s="839" t="s">
        <v>362</v>
      </c>
      <c r="G232" s="839" t="s">
        <v>126</v>
      </c>
      <c r="I232" t="s">
        <v>325</v>
      </c>
      <c r="J232" t="s">
        <v>226</v>
      </c>
    </row>
    <row r="233" spans="1:10" ht="13.5" customHeight="1" x14ac:dyDescent="0.35">
      <c r="A233" s="838">
        <v>46010</v>
      </c>
      <c r="B233" s="839" t="s">
        <v>588</v>
      </c>
      <c r="C233" s="840" t="s">
        <v>31</v>
      </c>
      <c r="D233" s="839" t="s">
        <v>162</v>
      </c>
      <c r="E233" s="841">
        <v>15</v>
      </c>
      <c r="F233" s="839" t="s">
        <v>362</v>
      </c>
      <c r="G233" s="839" t="s">
        <v>126</v>
      </c>
      <c r="I233" t="s">
        <v>325</v>
      </c>
      <c r="J233" t="s">
        <v>226</v>
      </c>
    </row>
    <row r="234" spans="1:10" ht="13.5" customHeight="1" x14ac:dyDescent="0.35">
      <c r="A234" s="838">
        <v>46010</v>
      </c>
      <c r="B234" s="839" t="s">
        <v>589</v>
      </c>
      <c r="C234" s="840" t="s">
        <v>31</v>
      </c>
      <c r="D234" s="839" t="s">
        <v>162</v>
      </c>
      <c r="E234" s="841">
        <v>15</v>
      </c>
      <c r="F234" s="839" t="s">
        <v>362</v>
      </c>
      <c r="G234" s="839" t="s">
        <v>126</v>
      </c>
      <c r="I234" t="s">
        <v>325</v>
      </c>
      <c r="J234" t="s">
        <v>226</v>
      </c>
    </row>
    <row r="235" spans="1:10" ht="13.5" customHeight="1" x14ac:dyDescent="0.35">
      <c r="A235" s="838">
        <v>46010</v>
      </c>
      <c r="B235" s="839" t="s">
        <v>387</v>
      </c>
      <c r="C235" s="840" t="s">
        <v>31</v>
      </c>
      <c r="D235" s="839" t="s">
        <v>162</v>
      </c>
      <c r="E235" s="841">
        <v>15</v>
      </c>
      <c r="F235" s="839" t="s">
        <v>362</v>
      </c>
      <c r="G235" s="839" t="s">
        <v>126</v>
      </c>
      <c r="I235" t="s">
        <v>325</v>
      </c>
      <c r="J235" t="s">
        <v>226</v>
      </c>
    </row>
    <row r="236" spans="1:10" ht="13.5" customHeight="1" x14ac:dyDescent="0.35">
      <c r="A236" s="838">
        <v>46010</v>
      </c>
      <c r="B236" s="839" t="s">
        <v>590</v>
      </c>
      <c r="C236" s="840" t="s">
        <v>31</v>
      </c>
      <c r="D236" s="839" t="s">
        <v>162</v>
      </c>
      <c r="E236" s="841">
        <v>15</v>
      </c>
      <c r="F236" s="839" t="s">
        <v>362</v>
      </c>
      <c r="G236" s="839" t="s">
        <v>126</v>
      </c>
      <c r="I236" t="s">
        <v>325</v>
      </c>
      <c r="J236" t="s">
        <v>226</v>
      </c>
    </row>
    <row r="237" spans="1:10" ht="13.5" customHeight="1" x14ac:dyDescent="0.35">
      <c r="A237" s="838">
        <v>46010</v>
      </c>
      <c r="B237" s="839" t="s">
        <v>591</v>
      </c>
      <c r="C237" s="840" t="s">
        <v>31</v>
      </c>
      <c r="D237" s="839" t="s">
        <v>162</v>
      </c>
      <c r="E237" s="841">
        <v>15</v>
      </c>
      <c r="F237" s="839" t="s">
        <v>362</v>
      </c>
      <c r="G237" s="839" t="s">
        <v>126</v>
      </c>
      <c r="I237" t="s">
        <v>325</v>
      </c>
      <c r="J237" t="s">
        <v>226</v>
      </c>
    </row>
    <row r="238" spans="1:10" ht="13.5" customHeight="1" x14ac:dyDescent="0.35">
      <c r="A238" s="838">
        <v>46010</v>
      </c>
      <c r="B238" s="839" t="s">
        <v>592</v>
      </c>
      <c r="C238" s="840" t="s">
        <v>31</v>
      </c>
      <c r="D238" s="839" t="s">
        <v>162</v>
      </c>
      <c r="E238" s="841">
        <v>15</v>
      </c>
      <c r="F238" s="839" t="s">
        <v>362</v>
      </c>
      <c r="G238" s="839" t="s">
        <v>126</v>
      </c>
      <c r="I238" t="s">
        <v>325</v>
      </c>
      <c r="J238" t="s">
        <v>226</v>
      </c>
    </row>
    <row r="239" spans="1:10" ht="13.5" customHeight="1" x14ac:dyDescent="0.35">
      <c r="A239" s="838">
        <v>46010</v>
      </c>
      <c r="B239" s="839" t="s">
        <v>593</v>
      </c>
      <c r="C239" s="840" t="s">
        <v>31</v>
      </c>
      <c r="D239" s="839" t="s">
        <v>162</v>
      </c>
      <c r="E239" s="841">
        <v>15</v>
      </c>
      <c r="F239" s="839" t="s">
        <v>362</v>
      </c>
      <c r="G239" s="839" t="s">
        <v>126</v>
      </c>
      <c r="I239" t="s">
        <v>325</v>
      </c>
      <c r="J239" t="s">
        <v>226</v>
      </c>
    </row>
    <row r="240" spans="1:10" ht="13.5" customHeight="1" x14ac:dyDescent="0.35">
      <c r="A240" s="838">
        <v>46010</v>
      </c>
      <c r="B240" s="839" t="s">
        <v>594</v>
      </c>
      <c r="C240" s="840" t="s">
        <v>31</v>
      </c>
      <c r="D240" s="839" t="s">
        <v>162</v>
      </c>
      <c r="E240" s="841">
        <v>15</v>
      </c>
      <c r="F240" s="839" t="s">
        <v>362</v>
      </c>
      <c r="G240" s="839" t="s">
        <v>126</v>
      </c>
      <c r="I240" t="s">
        <v>325</v>
      </c>
      <c r="J240" t="s">
        <v>226</v>
      </c>
    </row>
    <row r="241" spans="1:10" ht="13.5" customHeight="1" x14ac:dyDescent="0.35">
      <c r="A241" s="838">
        <v>46010</v>
      </c>
      <c r="B241" s="839" t="s">
        <v>595</v>
      </c>
      <c r="C241" s="840" t="s">
        <v>31</v>
      </c>
      <c r="D241" s="839" t="s">
        <v>162</v>
      </c>
      <c r="E241" s="841">
        <v>15</v>
      </c>
      <c r="F241" s="839" t="s">
        <v>362</v>
      </c>
      <c r="G241" s="839" t="s">
        <v>126</v>
      </c>
      <c r="I241" t="s">
        <v>325</v>
      </c>
      <c r="J241" t="s">
        <v>226</v>
      </c>
    </row>
    <row r="242" spans="1:10" ht="13.5" customHeight="1" x14ac:dyDescent="0.35">
      <c r="A242" s="838">
        <v>46010</v>
      </c>
      <c r="B242" s="839" t="s">
        <v>596</v>
      </c>
      <c r="C242" s="840" t="s">
        <v>31</v>
      </c>
      <c r="D242" s="839" t="s">
        <v>162</v>
      </c>
      <c r="E242" s="841">
        <v>15</v>
      </c>
      <c r="F242" s="839" t="s">
        <v>362</v>
      </c>
      <c r="G242" s="839" t="s">
        <v>126</v>
      </c>
      <c r="I242" t="s">
        <v>325</v>
      </c>
      <c r="J242" t="s">
        <v>226</v>
      </c>
    </row>
    <row r="243" spans="1:10" ht="13.5" customHeight="1" x14ac:dyDescent="0.35">
      <c r="A243" s="838">
        <v>46010</v>
      </c>
      <c r="B243" s="839" t="s">
        <v>597</v>
      </c>
      <c r="C243" s="840" t="s">
        <v>31</v>
      </c>
      <c r="D243" s="839" t="s">
        <v>162</v>
      </c>
      <c r="E243" s="841">
        <v>15</v>
      </c>
      <c r="F243" s="839" t="s">
        <v>362</v>
      </c>
      <c r="G243" s="839" t="s">
        <v>126</v>
      </c>
      <c r="I243" t="s">
        <v>325</v>
      </c>
      <c r="J243" t="s">
        <v>226</v>
      </c>
    </row>
    <row r="244" spans="1:10" ht="13.5" customHeight="1" x14ac:dyDescent="0.35">
      <c r="A244" s="838">
        <v>46010</v>
      </c>
      <c r="B244" s="839" t="s">
        <v>598</v>
      </c>
      <c r="C244" s="840" t="s">
        <v>31</v>
      </c>
      <c r="D244" s="839" t="s">
        <v>162</v>
      </c>
      <c r="E244" s="841">
        <v>15</v>
      </c>
      <c r="F244" s="839" t="s">
        <v>362</v>
      </c>
      <c r="G244" s="839" t="s">
        <v>126</v>
      </c>
      <c r="I244" t="s">
        <v>325</v>
      </c>
      <c r="J244" t="s">
        <v>226</v>
      </c>
    </row>
    <row r="245" spans="1:10" ht="13.5" customHeight="1" x14ac:dyDescent="0.35">
      <c r="A245" s="838">
        <v>46010</v>
      </c>
      <c r="B245" s="839" t="s">
        <v>599</v>
      </c>
      <c r="C245" s="840" t="s">
        <v>31</v>
      </c>
      <c r="D245" s="839" t="s">
        <v>162</v>
      </c>
      <c r="E245" s="841">
        <v>15</v>
      </c>
      <c r="F245" s="839" t="s">
        <v>362</v>
      </c>
      <c r="G245" s="839" t="s">
        <v>126</v>
      </c>
      <c r="I245" t="s">
        <v>325</v>
      </c>
      <c r="J245" t="s">
        <v>226</v>
      </c>
    </row>
    <row r="246" spans="1:10" ht="13.5" customHeight="1" x14ac:dyDescent="0.35">
      <c r="A246" s="838">
        <v>46010</v>
      </c>
      <c r="B246" s="839" t="s">
        <v>600</v>
      </c>
      <c r="C246" s="840" t="s">
        <v>31</v>
      </c>
      <c r="D246" s="839" t="s">
        <v>162</v>
      </c>
      <c r="E246" s="841">
        <v>15</v>
      </c>
      <c r="F246" s="839" t="s">
        <v>362</v>
      </c>
      <c r="G246" s="839" t="s">
        <v>126</v>
      </c>
      <c r="I246" t="s">
        <v>325</v>
      </c>
      <c r="J246" t="s">
        <v>226</v>
      </c>
    </row>
    <row r="247" spans="1:10" ht="13.5" customHeight="1" x14ac:dyDescent="0.35">
      <c r="A247" s="838">
        <v>46010</v>
      </c>
      <c r="B247" s="839" t="s">
        <v>601</v>
      </c>
      <c r="C247" s="840" t="s">
        <v>31</v>
      </c>
      <c r="D247" s="839" t="s">
        <v>162</v>
      </c>
      <c r="E247" s="841">
        <v>15</v>
      </c>
      <c r="F247" s="839" t="s">
        <v>362</v>
      </c>
      <c r="G247" s="839" t="s">
        <v>126</v>
      </c>
      <c r="I247" t="s">
        <v>325</v>
      </c>
      <c r="J247" t="s">
        <v>226</v>
      </c>
    </row>
    <row r="248" spans="1:10" ht="13.5" customHeight="1" x14ac:dyDescent="0.35">
      <c r="A248" s="838">
        <v>46010</v>
      </c>
      <c r="B248" s="839" t="s">
        <v>602</v>
      </c>
      <c r="C248" s="840" t="s">
        <v>31</v>
      </c>
      <c r="D248" s="839" t="s">
        <v>162</v>
      </c>
      <c r="E248" s="841">
        <v>15</v>
      </c>
      <c r="F248" s="839" t="s">
        <v>362</v>
      </c>
      <c r="G248" s="839" t="s">
        <v>126</v>
      </c>
      <c r="I248" t="s">
        <v>325</v>
      </c>
      <c r="J248" t="s">
        <v>226</v>
      </c>
    </row>
    <row r="249" spans="1:10" ht="13.5" customHeight="1" x14ac:dyDescent="0.35">
      <c r="A249" s="838">
        <v>46010</v>
      </c>
      <c r="B249" s="839" t="s">
        <v>603</v>
      </c>
      <c r="C249" s="840" t="s">
        <v>31</v>
      </c>
      <c r="D249" s="839" t="s">
        <v>162</v>
      </c>
      <c r="E249" s="841">
        <v>60</v>
      </c>
      <c r="F249" s="839" t="s">
        <v>604</v>
      </c>
      <c r="G249" s="839" t="s">
        <v>126</v>
      </c>
      <c r="I249" t="s">
        <v>605</v>
      </c>
      <c r="J249" t="s">
        <v>226</v>
      </c>
    </row>
    <row r="250" spans="1:10" ht="13.5" customHeight="1" x14ac:dyDescent="0.35">
      <c r="A250" s="838">
        <v>46010</v>
      </c>
      <c r="B250" s="839" t="s">
        <v>606</v>
      </c>
      <c r="C250" s="840" t="s">
        <v>31</v>
      </c>
      <c r="D250" s="839" t="s">
        <v>162</v>
      </c>
      <c r="E250" s="841">
        <v>60</v>
      </c>
      <c r="F250" s="839" t="s">
        <v>604</v>
      </c>
      <c r="G250" s="839" t="s">
        <v>126</v>
      </c>
      <c r="I250" t="s">
        <v>605</v>
      </c>
      <c r="J250" t="s">
        <v>226</v>
      </c>
    </row>
    <row r="251" spans="1:10" ht="13.5" customHeight="1" x14ac:dyDescent="0.35">
      <c r="A251" s="838">
        <v>46010</v>
      </c>
      <c r="B251" s="839" t="s">
        <v>607</v>
      </c>
      <c r="C251" s="840" t="s">
        <v>28</v>
      </c>
      <c r="D251" s="839" t="s">
        <v>162</v>
      </c>
      <c r="E251" s="841">
        <v>120</v>
      </c>
      <c r="F251" s="839" t="s">
        <v>195</v>
      </c>
      <c r="G251" s="839" t="s">
        <v>180</v>
      </c>
      <c r="I251" t="s">
        <v>196</v>
      </c>
      <c r="J251" t="s">
        <v>197</v>
      </c>
    </row>
    <row r="252" spans="1:10" ht="13.5" customHeight="1" x14ac:dyDescent="0.35">
      <c r="A252" s="838">
        <v>46008</v>
      </c>
      <c r="B252" s="839" t="s">
        <v>398</v>
      </c>
      <c r="C252" s="840" t="s">
        <v>59</v>
      </c>
      <c r="D252" s="839" t="s">
        <v>160</v>
      </c>
      <c r="E252" s="841">
        <v>200</v>
      </c>
      <c r="F252" s="839" t="s">
        <v>339</v>
      </c>
      <c r="G252" s="839" t="s">
        <v>174</v>
      </c>
      <c r="I252" t="s">
        <v>254</v>
      </c>
      <c r="J252" t="s">
        <v>304</v>
      </c>
    </row>
    <row r="253" spans="1:10" ht="13.5" customHeight="1" x14ac:dyDescent="0.35">
      <c r="A253" s="838">
        <v>46005</v>
      </c>
      <c r="B253" s="839" t="s">
        <v>608</v>
      </c>
      <c r="C253" s="840" t="s">
        <v>50</v>
      </c>
      <c r="D253" s="839" t="s">
        <v>159</v>
      </c>
      <c r="E253" s="841">
        <v>50</v>
      </c>
      <c r="F253" s="839" t="s">
        <v>609</v>
      </c>
      <c r="G253" s="839" t="s">
        <v>174</v>
      </c>
      <c r="I253" t="s">
        <v>210</v>
      </c>
      <c r="J253" t="s">
        <v>211</v>
      </c>
    </row>
    <row r="254" spans="1:10" ht="13.5" customHeight="1" x14ac:dyDescent="0.35">
      <c r="A254" s="838">
        <v>46005</v>
      </c>
      <c r="B254" s="839" t="s">
        <v>610</v>
      </c>
      <c r="C254" s="840" t="s">
        <v>28</v>
      </c>
      <c r="D254" s="839" t="s">
        <v>159</v>
      </c>
      <c r="E254" s="841">
        <v>150</v>
      </c>
      <c r="F254" s="839" t="s">
        <v>195</v>
      </c>
      <c r="G254" s="839" t="s">
        <v>174</v>
      </c>
      <c r="I254" t="s">
        <v>196</v>
      </c>
      <c r="J254" t="s">
        <v>197</v>
      </c>
    </row>
    <row r="255" spans="1:10" ht="13.5" customHeight="1" x14ac:dyDescent="0.35">
      <c r="A255" s="838">
        <v>46004</v>
      </c>
      <c r="B255" s="839" t="s">
        <v>611</v>
      </c>
      <c r="C255" s="840" t="s">
        <v>50</v>
      </c>
      <c r="D255" s="839" t="s">
        <v>159</v>
      </c>
      <c r="E255" s="841">
        <v>50</v>
      </c>
      <c r="F255" s="839" t="s">
        <v>609</v>
      </c>
      <c r="G255" s="839" t="s">
        <v>174</v>
      </c>
      <c r="I255" t="s">
        <v>210</v>
      </c>
      <c r="J255" t="s">
        <v>211</v>
      </c>
    </row>
    <row r="256" spans="1:10" ht="13.5" customHeight="1" x14ac:dyDescent="0.35">
      <c r="A256" s="838">
        <v>46003</v>
      </c>
      <c r="B256" s="839" t="s">
        <v>612</v>
      </c>
      <c r="C256" s="840" t="s">
        <v>31</v>
      </c>
      <c r="D256" s="839" t="s">
        <v>159</v>
      </c>
      <c r="E256" s="841">
        <v>150</v>
      </c>
      <c r="F256" s="839" t="s">
        <v>613</v>
      </c>
      <c r="G256" s="839" t="s">
        <v>174</v>
      </c>
      <c r="I256" t="s">
        <v>236</v>
      </c>
      <c r="J256" t="s">
        <v>232</v>
      </c>
    </row>
    <row r="257" spans="1:10" ht="13.5" customHeight="1" x14ac:dyDescent="0.35">
      <c r="A257" s="838">
        <v>46003</v>
      </c>
      <c r="B257" s="839" t="s">
        <v>614</v>
      </c>
      <c r="C257" s="840" t="s">
        <v>62</v>
      </c>
      <c r="D257" s="839" t="s">
        <v>159</v>
      </c>
      <c r="E257" s="841">
        <v>20</v>
      </c>
      <c r="F257" s="839" t="s">
        <v>413</v>
      </c>
      <c r="G257" s="839" t="s">
        <v>175</v>
      </c>
      <c r="I257" t="s">
        <v>201</v>
      </c>
      <c r="J257" t="s">
        <v>202</v>
      </c>
    </row>
    <row r="258" spans="1:10" ht="13.5" customHeight="1" x14ac:dyDescent="0.35">
      <c r="A258" s="838">
        <v>46002</v>
      </c>
      <c r="B258" s="839" t="s">
        <v>398</v>
      </c>
      <c r="C258" s="840" t="s">
        <v>59</v>
      </c>
      <c r="D258" s="839" t="s">
        <v>160</v>
      </c>
      <c r="E258" s="841">
        <v>200</v>
      </c>
      <c r="F258" s="839" t="s">
        <v>339</v>
      </c>
      <c r="G258" s="839" t="s">
        <v>174</v>
      </c>
      <c r="I258" t="s">
        <v>254</v>
      </c>
      <c r="J258" t="s">
        <v>304</v>
      </c>
    </row>
    <row r="259" spans="1:10" ht="13.5" customHeight="1" x14ac:dyDescent="0.35">
      <c r="A259" s="838">
        <v>46003</v>
      </c>
      <c r="B259" s="839" t="s">
        <v>615</v>
      </c>
      <c r="C259" s="840" t="s">
        <v>31</v>
      </c>
      <c r="D259" s="839" t="s">
        <v>162</v>
      </c>
      <c r="E259" s="841">
        <v>99</v>
      </c>
      <c r="F259" s="839" t="s">
        <v>616</v>
      </c>
      <c r="G259" s="839" t="s">
        <v>126</v>
      </c>
      <c r="I259" t="s">
        <v>617</v>
      </c>
      <c r="J259" t="s">
        <v>232</v>
      </c>
    </row>
    <row r="260" spans="1:10" ht="13.5" customHeight="1" x14ac:dyDescent="0.35">
      <c r="A260" s="838">
        <v>46003</v>
      </c>
      <c r="B260" s="839" t="s">
        <v>618</v>
      </c>
      <c r="C260" s="840" t="s">
        <v>31</v>
      </c>
      <c r="D260" s="839" t="s">
        <v>162</v>
      </c>
      <c r="E260" s="841">
        <v>99</v>
      </c>
      <c r="F260" s="839" t="s">
        <v>616</v>
      </c>
      <c r="G260" s="839" t="s">
        <v>126</v>
      </c>
      <c r="I260" t="s">
        <v>617</v>
      </c>
      <c r="J260" t="s">
        <v>232</v>
      </c>
    </row>
    <row r="261" spans="1:10" ht="13.5" customHeight="1" x14ac:dyDescent="0.35">
      <c r="A261" s="838">
        <v>46003</v>
      </c>
      <c r="B261" s="839" t="s">
        <v>619</v>
      </c>
      <c r="C261" s="840" t="s">
        <v>31</v>
      </c>
      <c r="D261" s="839" t="s">
        <v>162</v>
      </c>
      <c r="E261" s="841">
        <v>150</v>
      </c>
      <c r="F261" s="839" t="s">
        <v>613</v>
      </c>
      <c r="G261" s="839" t="s">
        <v>126</v>
      </c>
      <c r="I261" t="s">
        <v>236</v>
      </c>
      <c r="J261" t="s">
        <v>232</v>
      </c>
    </row>
    <row r="262" spans="1:10" ht="13.5" customHeight="1" x14ac:dyDescent="0.35">
      <c r="A262" s="838">
        <v>46000</v>
      </c>
      <c r="B262" s="839" t="s">
        <v>620</v>
      </c>
      <c r="C262" s="840" t="s">
        <v>47</v>
      </c>
      <c r="D262" s="839" t="s">
        <v>159</v>
      </c>
      <c r="E262" s="841">
        <v>65</v>
      </c>
      <c r="F262" s="839" t="s">
        <v>621</v>
      </c>
      <c r="G262" s="839" t="s">
        <v>174</v>
      </c>
      <c r="I262" t="s">
        <v>205</v>
      </c>
      <c r="J262" t="s">
        <v>206</v>
      </c>
    </row>
    <row r="263" spans="1:10" ht="13.5" customHeight="1" x14ac:dyDescent="0.35">
      <c r="A263" s="838">
        <v>46000</v>
      </c>
      <c r="B263" s="839" t="s">
        <v>622</v>
      </c>
      <c r="C263" s="840" t="s">
        <v>31</v>
      </c>
      <c r="D263" s="839" t="s">
        <v>159</v>
      </c>
      <c r="E263" s="841">
        <v>125</v>
      </c>
      <c r="F263" s="839" t="s">
        <v>273</v>
      </c>
      <c r="G263" s="839" t="s">
        <v>174</v>
      </c>
      <c r="I263" t="s">
        <v>274</v>
      </c>
      <c r="J263" t="s">
        <v>232</v>
      </c>
    </row>
    <row r="264" spans="1:10" ht="13.5" customHeight="1" x14ac:dyDescent="0.35">
      <c r="A264" s="838">
        <v>45999</v>
      </c>
      <c r="B264" s="839" t="s">
        <v>623</v>
      </c>
      <c r="C264" s="840" t="s">
        <v>62</v>
      </c>
      <c r="D264" s="839" t="s">
        <v>159</v>
      </c>
      <c r="E264" s="841">
        <v>25</v>
      </c>
      <c r="F264" s="839" t="s">
        <v>624</v>
      </c>
      <c r="G264" s="839" t="s">
        <v>174</v>
      </c>
      <c r="I264" t="s">
        <v>201</v>
      </c>
      <c r="J264" t="s">
        <v>202</v>
      </c>
    </row>
    <row r="265" spans="1:10" ht="13.5" customHeight="1" x14ac:dyDescent="0.35">
      <c r="A265" s="838">
        <v>45999</v>
      </c>
      <c r="B265" s="839" t="s">
        <v>625</v>
      </c>
      <c r="C265" s="840" t="s">
        <v>28</v>
      </c>
      <c r="D265" s="839" t="s">
        <v>159</v>
      </c>
      <c r="E265" s="841">
        <v>150</v>
      </c>
      <c r="F265" s="839" t="s">
        <v>195</v>
      </c>
      <c r="G265" s="839" t="s">
        <v>174</v>
      </c>
      <c r="I265" t="s">
        <v>196</v>
      </c>
      <c r="J265" t="s">
        <v>197</v>
      </c>
    </row>
    <row r="266" spans="1:10" ht="13.5" customHeight="1" x14ac:dyDescent="0.35">
      <c r="A266" s="838">
        <v>45996</v>
      </c>
      <c r="B266" s="839" t="s">
        <v>626</v>
      </c>
      <c r="C266" s="840" t="s">
        <v>31</v>
      </c>
      <c r="D266" s="839" t="s">
        <v>159</v>
      </c>
      <c r="E266" s="841">
        <v>125</v>
      </c>
      <c r="F266" s="839" t="s">
        <v>273</v>
      </c>
      <c r="G266" s="839" t="s">
        <v>174</v>
      </c>
      <c r="I266" t="s">
        <v>274</v>
      </c>
      <c r="J266" t="s">
        <v>232</v>
      </c>
    </row>
    <row r="267" spans="1:10" ht="13.5" customHeight="1" x14ac:dyDescent="0.35">
      <c r="A267" s="838">
        <v>45996</v>
      </c>
      <c r="B267" s="839" t="s">
        <v>627</v>
      </c>
      <c r="C267" s="840" t="s">
        <v>31</v>
      </c>
      <c r="D267" s="839" t="s">
        <v>162</v>
      </c>
      <c r="E267" s="841">
        <v>12</v>
      </c>
      <c r="F267" s="839" t="s">
        <v>362</v>
      </c>
      <c r="G267" s="839" t="s">
        <v>126</v>
      </c>
      <c r="I267" t="s">
        <v>325</v>
      </c>
      <c r="J267" t="s">
        <v>226</v>
      </c>
    </row>
    <row r="268" spans="1:10" ht="13.5" customHeight="1" x14ac:dyDescent="0.35">
      <c r="A268" s="838">
        <v>45996</v>
      </c>
      <c r="B268" s="839" t="s">
        <v>628</v>
      </c>
      <c r="C268" s="840" t="s">
        <v>31</v>
      </c>
      <c r="D268" s="839" t="s">
        <v>162</v>
      </c>
      <c r="E268" s="841">
        <v>12</v>
      </c>
      <c r="F268" s="839" t="s">
        <v>362</v>
      </c>
      <c r="G268" s="839" t="s">
        <v>126</v>
      </c>
      <c r="I268" t="s">
        <v>325</v>
      </c>
      <c r="J268" t="s">
        <v>226</v>
      </c>
    </row>
    <row r="269" spans="1:10" ht="13.5" customHeight="1" x14ac:dyDescent="0.35">
      <c r="A269" s="838">
        <v>45996</v>
      </c>
      <c r="B269" s="839" t="s">
        <v>629</v>
      </c>
      <c r="C269" s="840" t="s">
        <v>31</v>
      </c>
      <c r="D269" s="839" t="s">
        <v>162</v>
      </c>
      <c r="E269" s="841">
        <v>12</v>
      </c>
      <c r="F269" s="839" t="s">
        <v>362</v>
      </c>
      <c r="G269" s="839" t="s">
        <v>126</v>
      </c>
      <c r="I269" t="s">
        <v>325</v>
      </c>
      <c r="J269" t="s">
        <v>226</v>
      </c>
    </row>
    <row r="270" spans="1:10" ht="13.5" customHeight="1" x14ac:dyDescent="0.35">
      <c r="A270" s="838">
        <v>45996</v>
      </c>
      <c r="B270" s="839" t="s">
        <v>630</v>
      </c>
      <c r="C270" s="840" t="s">
        <v>31</v>
      </c>
      <c r="D270" s="839" t="s">
        <v>162</v>
      </c>
      <c r="E270" s="841">
        <v>12</v>
      </c>
      <c r="F270" s="839" t="s">
        <v>362</v>
      </c>
      <c r="G270" s="839" t="s">
        <v>126</v>
      </c>
      <c r="I270" t="s">
        <v>325</v>
      </c>
      <c r="J270" t="s">
        <v>226</v>
      </c>
    </row>
    <row r="271" spans="1:10" ht="13.5" customHeight="1" x14ac:dyDescent="0.35">
      <c r="A271" s="838">
        <v>45996</v>
      </c>
      <c r="B271" s="839" t="s">
        <v>631</v>
      </c>
      <c r="C271" s="840" t="s">
        <v>31</v>
      </c>
      <c r="D271" s="839" t="s">
        <v>162</v>
      </c>
      <c r="E271" s="841">
        <v>15</v>
      </c>
      <c r="F271" s="839" t="s">
        <v>362</v>
      </c>
      <c r="G271" s="839" t="s">
        <v>126</v>
      </c>
      <c r="I271" t="s">
        <v>325</v>
      </c>
      <c r="J271" t="s">
        <v>226</v>
      </c>
    </row>
    <row r="272" spans="1:10" ht="13.5" customHeight="1" x14ac:dyDescent="0.35">
      <c r="A272" s="838">
        <v>45996</v>
      </c>
      <c r="B272" s="839" t="s">
        <v>632</v>
      </c>
      <c r="C272" s="840" t="s">
        <v>31</v>
      </c>
      <c r="D272" s="839" t="s">
        <v>162</v>
      </c>
      <c r="E272" s="841">
        <v>15</v>
      </c>
      <c r="F272" s="839" t="s">
        <v>362</v>
      </c>
      <c r="G272" s="839" t="s">
        <v>126</v>
      </c>
      <c r="I272" t="s">
        <v>325</v>
      </c>
      <c r="J272" t="s">
        <v>226</v>
      </c>
    </row>
    <row r="273" spans="1:10" ht="13.5" customHeight="1" x14ac:dyDescent="0.35">
      <c r="A273" s="838">
        <v>45996</v>
      </c>
      <c r="B273" s="839" t="s">
        <v>633</v>
      </c>
      <c r="C273" s="840" t="s">
        <v>31</v>
      </c>
      <c r="D273" s="839" t="s">
        <v>162</v>
      </c>
      <c r="E273" s="841">
        <v>150</v>
      </c>
      <c r="F273" s="839" t="s">
        <v>613</v>
      </c>
      <c r="G273" s="839" t="s">
        <v>126</v>
      </c>
      <c r="I273" t="s">
        <v>236</v>
      </c>
      <c r="J273" t="s">
        <v>232</v>
      </c>
    </row>
    <row r="274" spans="1:10" ht="13.5" customHeight="1" x14ac:dyDescent="0.35">
      <c r="A274" s="838">
        <v>45996</v>
      </c>
      <c r="B274" s="839" t="s">
        <v>634</v>
      </c>
      <c r="C274" s="840" t="s">
        <v>31</v>
      </c>
      <c r="D274" s="839" t="s">
        <v>162</v>
      </c>
      <c r="E274" s="841">
        <v>150</v>
      </c>
      <c r="F274" s="839" t="s">
        <v>613</v>
      </c>
      <c r="G274" s="839" t="s">
        <v>126</v>
      </c>
      <c r="I274" t="s">
        <v>236</v>
      </c>
      <c r="J274" t="s">
        <v>232</v>
      </c>
    </row>
    <row r="275" spans="1:10" ht="13.5" customHeight="1" x14ac:dyDescent="0.35">
      <c r="A275" s="838">
        <v>45996</v>
      </c>
      <c r="B275" s="839" t="s">
        <v>635</v>
      </c>
      <c r="C275" s="840" t="s">
        <v>31</v>
      </c>
      <c r="D275" s="839" t="s">
        <v>162</v>
      </c>
      <c r="E275" s="841">
        <v>150</v>
      </c>
      <c r="F275" s="839" t="s">
        <v>636</v>
      </c>
      <c r="G275" s="839" t="s">
        <v>126</v>
      </c>
      <c r="I275" t="s">
        <v>617</v>
      </c>
      <c r="J275" t="s">
        <v>232</v>
      </c>
    </row>
    <row r="276" spans="1:10" ht="13.5" customHeight="1" x14ac:dyDescent="0.35">
      <c r="A276" s="838">
        <v>45996</v>
      </c>
      <c r="B276" s="839" t="s">
        <v>637</v>
      </c>
      <c r="C276" s="840" t="s">
        <v>31</v>
      </c>
      <c r="D276" s="839" t="s">
        <v>162</v>
      </c>
      <c r="E276" s="841">
        <v>150</v>
      </c>
      <c r="F276" s="839" t="s">
        <v>636</v>
      </c>
      <c r="G276" s="839" t="s">
        <v>126</v>
      </c>
      <c r="I276" t="s">
        <v>617</v>
      </c>
      <c r="J276" t="s">
        <v>232</v>
      </c>
    </row>
    <row r="277" spans="1:10" ht="13.5" customHeight="1" x14ac:dyDescent="0.35">
      <c r="A277" s="838">
        <v>45996</v>
      </c>
      <c r="B277" s="839" t="s">
        <v>638</v>
      </c>
      <c r="C277" s="840" t="s">
        <v>31</v>
      </c>
      <c r="D277" s="839" t="s">
        <v>162</v>
      </c>
      <c r="E277" s="841">
        <v>99</v>
      </c>
      <c r="F277" s="839" t="s">
        <v>616</v>
      </c>
      <c r="G277" s="839" t="s">
        <v>126</v>
      </c>
      <c r="I277" t="s">
        <v>617</v>
      </c>
      <c r="J277" t="s">
        <v>232</v>
      </c>
    </row>
    <row r="278" spans="1:10" ht="13.5" customHeight="1" x14ac:dyDescent="0.35">
      <c r="A278" s="838">
        <v>45996</v>
      </c>
      <c r="B278" s="839" t="s">
        <v>639</v>
      </c>
      <c r="C278" s="840" t="s">
        <v>31</v>
      </c>
      <c r="D278" s="839" t="s">
        <v>162</v>
      </c>
      <c r="E278" s="841">
        <v>150</v>
      </c>
      <c r="F278" s="839" t="s">
        <v>636</v>
      </c>
      <c r="G278" s="839" t="s">
        <v>126</v>
      </c>
      <c r="I278" t="s">
        <v>617</v>
      </c>
      <c r="J278" t="s">
        <v>232</v>
      </c>
    </row>
    <row r="279" spans="1:10" ht="13.5" customHeight="1" x14ac:dyDescent="0.35">
      <c r="A279" s="838">
        <v>45996</v>
      </c>
      <c r="B279" s="839" t="s">
        <v>640</v>
      </c>
      <c r="C279" s="840" t="s">
        <v>31</v>
      </c>
      <c r="D279" s="839" t="s">
        <v>162</v>
      </c>
      <c r="E279" s="841">
        <v>150</v>
      </c>
      <c r="F279" s="839" t="s">
        <v>636</v>
      </c>
      <c r="G279" s="839" t="s">
        <v>126</v>
      </c>
      <c r="I279" t="s">
        <v>617</v>
      </c>
      <c r="J279" t="s">
        <v>232</v>
      </c>
    </row>
    <row r="280" spans="1:10" ht="13.5" customHeight="1" x14ac:dyDescent="0.35">
      <c r="A280" s="838">
        <v>45996</v>
      </c>
      <c r="B280" s="839" t="s">
        <v>641</v>
      </c>
      <c r="C280" s="840" t="s">
        <v>31</v>
      </c>
      <c r="D280" s="839" t="s">
        <v>162</v>
      </c>
      <c r="E280" s="841">
        <v>150</v>
      </c>
      <c r="F280" s="839" t="s">
        <v>636</v>
      </c>
      <c r="G280" s="839" t="s">
        <v>126</v>
      </c>
      <c r="I280" t="s">
        <v>617</v>
      </c>
      <c r="J280" t="s">
        <v>232</v>
      </c>
    </row>
    <row r="281" spans="1:10" ht="13.5" customHeight="1" x14ac:dyDescent="0.35">
      <c r="A281" s="838">
        <v>45996</v>
      </c>
      <c r="B281" s="839" t="s">
        <v>642</v>
      </c>
      <c r="C281" s="840" t="s">
        <v>31</v>
      </c>
      <c r="D281" s="839" t="s">
        <v>162</v>
      </c>
      <c r="E281" s="841">
        <v>150</v>
      </c>
      <c r="F281" s="839" t="s">
        <v>636</v>
      </c>
      <c r="G281" s="839" t="s">
        <v>126</v>
      </c>
      <c r="I281" t="s">
        <v>617</v>
      </c>
      <c r="J281" t="s">
        <v>232</v>
      </c>
    </row>
    <row r="282" spans="1:10" ht="13.5" customHeight="1" x14ac:dyDescent="0.35">
      <c r="A282" s="838">
        <v>45996</v>
      </c>
      <c r="B282" s="839" t="s">
        <v>643</v>
      </c>
      <c r="C282" s="840" t="s">
        <v>31</v>
      </c>
      <c r="D282" s="839" t="s">
        <v>162</v>
      </c>
      <c r="E282" s="841">
        <v>99</v>
      </c>
      <c r="F282" s="839" t="s">
        <v>616</v>
      </c>
      <c r="G282" s="839" t="s">
        <v>126</v>
      </c>
      <c r="I282" t="s">
        <v>617</v>
      </c>
      <c r="J282" t="s">
        <v>232</v>
      </c>
    </row>
    <row r="283" spans="1:10" ht="13.5" customHeight="1" x14ac:dyDescent="0.35">
      <c r="A283" s="838">
        <v>45996</v>
      </c>
      <c r="B283" s="839" t="s">
        <v>386</v>
      </c>
      <c r="C283" s="840" t="s">
        <v>31</v>
      </c>
      <c r="D283" s="839" t="s">
        <v>162</v>
      </c>
      <c r="E283" s="841">
        <v>150</v>
      </c>
      <c r="F283" s="839" t="s">
        <v>636</v>
      </c>
      <c r="G283" s="839" t="s">
        <v>126</v>
      </c>
      <c r="I283" t="s">
        <v>617</v>
      </c>
      <c r="J283" t="s">
        <v>232</v>
      </c>
    </row>
    <row r="284" spans="1:10" ht="13.5" customHeight="1" x14ac:dyDescent="0.35">
      <c r="A284" s="838">
        <v>45996</v>
      </c>
      <c r="B284" s="839" t="s">
        <v>644</v>
      </c>
      <c r="C284" s="840" t="s">
        <v>31</v>
      </c>
      <c r="D284" s="839" t="s">
        <v>162</v>
      </c>
      <c r="E284" s="841">
        <v>150</v>
      </c>
      <c r="F284" s="839" t="s">
        <v>636</v>
      </c>
      <c r="G284" s="839" t="s">
        <v>126</v>
      </c>
      <c r="I284" t="s">
        <v>617</v>
      </c>
      <c r="J284" t="s">
        <v>232</v>
      </c>
    </row>
    <row r="285" spans="1:10" ht="13.5" customHeight="1" x14ac:dyDescent="0.35">
      <c r="A285" s="838">
        <v>45996</v>
      </c>
      <c r="B285" s="839" t="s">
        <v>645</v>
      </c>
      <c r="C285" s="840" t="s">
        <v>31</v>
      </c>
      <c r="D285" s="839" t="s">
        <v>162</v>
      </c>
      <c r="E285" s="841">
        <v>99</v>
      </c>
      <c r="F285" s="839" t="s">
        <v>616</v>
      </c>
      <c r="G285" s="839" t="s">
        <v>126</v>
      </c>
      <c r="I285" t="s">
        <v>617</v>
      </c>
      <c r="J285" t="s">
        <v>232</v>
      </c>
    </row>
    <row r="286" spans="1:10" ht="13.5" customHeight="1" x14ac:dyDescent="0.35">
      <c r="A286" s="838">
        <v>45996</v>
      </c>
      <c r="B286" s="839" t="s">
        <v>646</v>
      </c>
      <c r="C286" s="840" t="s">
        <v>31</v>
      </c>
      <c r="D286" s="839" t="s">
        <v>162</v>
      </c>
      <c r="E286" s="841">
        <v>150</v>
      </c>
      <c r="F286" s="839" t="s">
        <v>636</v>
      </c>
      <c r="G286" s="839" t="s">
        <v>126</v>
      </c>
      <c r="I286" t="s">
        <v>617</v>
      </c>
      <c r="J286" t="s">
        <v>232</v>
      </c>
    </row>
    <row r="287" spans="1:10" ht="13.5" customHeight="1" x14ac:dyDescent="0.35">
      <c r="A287" s="838">
        <v>45996</v>
      </c>
      <c r="B287" s="839" t="s">
        <v>647</v>
      </c>
      <c r="C287" s="840" t="s">
        <v>31</v>
      </c>
      <c r="D287" s="839" t="s">
        <v>162</v>
      </c>
      <c r="E287" s="841">
        <v>150</v>
      </c>
      <c r="F287" s="839" t="s">
        <v>636</v>
      </c>
      <c r="G287" s="839" t="s">
        <v>126</v>
      </c>
      <c r="I287" t="s">
        <v>617</v>
      </c>
      <c r="J287" t="s">
        <v>232</v>
      </c>
    </row>
    <row r="288" spans="1:10" ht="13.5" customHeight="1" x14ac:dyDescent="0.35">
      <c r="A288" s="838">
        <v>45996</v>
      </c>
      <c r="B288" s="839" t="s">
        <v>648</v>
      </c>
      <c r="C288" s="840" t="s">
        <v>31</v>
      </c>
      <c r="D288" s="839" t="s">
        <v>162</v>
      </c>
      <c r="E288" s="841">
        <v>150</v>
      </c>
      <c r="F288" s="839" t="s">
        <v>636</v>
      </c>
      <c r="G288" s="839" t="s">
        <v>126</v>
      </c>
      <c r="I288" t="s">
        <v>617</v>
      </c>
      <c r="J288" t="s">
        <v>232</v>
      </c>
    </row>
    <row r="289" spans="1:10" ht="13.5" customHeight="1" x14ac:dyDescent="0.35">
      <c r="A289" s="838">
        <v>45996</v>
      </c>
      <c r="B289" s="839" t="s">
        <v>649</v>
      </c>
      <c r="C289" s="840" t="s">
        <v>31</v>
      </c>
      <c r="D289" s="839" t="s">
        <v>162</v>
      </c>
      <c r="E289" s="841">
        <v>150</v>
      </c>
      <c r="F289" s="839" t="s">
        <v>636</v>
      </c>
      <c r="G289" s="839" t="s">
        <v>126</v>
      </c>
      <c r="I289" t="s">
        <v>617</v>
      </c>
      <c r="J289" t="s">
        <v>232</v>
      </c>
    </row>
    <row r="290" spans="1:10" ht="13.5" customHeight="1" x14ac:dyDescent="0.35">
      <c r="A290" s="838">
        <v>45996</v>
      </c>
      <c r="B290" s="839" t="s">
        <v>650</v>
      </c>
      <c r="C290" s="840" t="s">
        <v>31</v>
      </c>
      <c r="D290" s="839" t="s">
        <v>162</v>
      </c>
      <c r="E290" s="841">
        <v>99</v>
      </c>
      <c r="F290" s="839" t="s">
        <v>616</v>
      </c>
      <c r="G290" s="839" t="s">
        <v>126</v>
      </c>
      <c r="I290" t="s">
        <v>617</v>
      </c>
      <c r="J290" t="s">
        <v>232</v>
      </c>
    </row>
    <row r="291" spans="1:10" ht="13.5" customHeight="1" x14ac:dyDescent="0.35">
      <c r="A291" s="838">
        <v>45992</v>
      </c>
      <c r="B291" s="839" t="s">
        <v>651</v>
      </c>
      <c r="C291" s="840" t="s">
        <v>62</v>
      </c>
      <c r="D291" s="839" t="s">
        <v>159</v>
      </c>
      <c r="E291" s="841">
        <v>20</v>
      </c>
      <c r="F291" s="839" t="s">
        <v>652</v>
      </c>
      <c r="G291" s="839" t="s">
        <v>174</v>
      </c>
      <c r="I291" t="s">
        <v>201</v>
      </c>
      <c r="J291" t="s">
        <v>202</v>
      </c>
    </row>
    <row r="292" spans="1:10" ht="13.5" customHeight="1" x14ac:dyDescent="0.35">
      <c r="A292" s="838">
        <v>45992</v>
      </c>
      <c r="B292" s="839" t="s">
        <v>292</v>
      </c>
      <c r="C292" s="840" t="s">
        <v>44</v>
      </c>
      <c r="D292" s="839" t="s">
        <v>159</v>
      </c>
      <c r="E292" s="841">
        <v>40</v>
      </c>
      <c r="F292" s="839" t="s">
        <v>292</v>
      </c>
      <c r="G292" s="839" t="s">
        <v>175</v>
      </c>
      <c r="I292" t="s">
        <v>294</v>
      </c>
      <c r="J292" t="s">
        <v>295</v>
      </c>
    </row>
    <row r="293" spans="1:10" ht="13.5" customHeight="1" x14ac:dyDescent="0.35">
      <c r="A293" s="838"/>
      <c r="B293" s="839"/>
      <c r="C293" s="840"/>
      <c r="D293" s="839"/>
      <c r="E293" s="841"/>
      <c r="F293" s="839"/>
      <c r="G293" s="839"/>
    </row>
    <row r="294" spans="1:10" ht="13.5" customHeight="1" x14ac:dyDescent="0.35">
      <c r="A294" s="838">
        <v>45988</v>
      </c>
      <c r="B294" s="839" t="s">
        <v>653</v>
      </c>
      <c r="C294" s="840" t="s">
        <v>47</v>
      </c>
      <c r="D294" s="839" t="s">
        <v>159</v>
      </c>
      <c r="E294" s="841">
        <v>240</v>
      </c>
      <c r="F294" s="839" t="s">
        <v>654</v>
      </c>
      <c r="G294" s="839" t="s">
        <v>174</v>
      </c>
      <c r="I294" t="s">
        <v>342</v>
      </c>
      <c r="J294" t="s">
        <v>269</v>
      </c>
    </row>
    <row r="295" spans="1:10" ht="13.5" customHeight="1" x14ac:dyDescent="0.35">
      <c r="A295" s="838">
        <v>45983</v>
      </c>
      <c r="B295" s="839" t="s">
        <v>655</v>
      </c>
      <c r="C295" s="840" t="s">
        <v>28</v>
      </c>
      <c r="D295" s="839" t="s">
        <v>159</v>
      </c>
      <c r="E295" s="841">
        <v>150</v>
      </c>
      <c r="F295" s="839" t="s">
        <v>656</v>
      </c>
      <c r="G295" s="839" t="s">
        <v>174</v>
      </c>
      <c r="I295" t="s">
        <v>657</v>
      </c>
      <c r="J295" t="s">
        <v>197</v>
      </c>
    </row>
    <row r="296" spans="1:10" ht="13.5" customHeight="1" x14ac:dyDescent="0.35">
      <c r="A296" s="838">
        <v>45983</v>
      </c>
      <c r="B296" s="839" t="s">
        <v>658</v>
      </c>
      <c r="C296" s="840" t="s">
        <v>31</v>
      </c>
      <c r="D296" s="839" t="s">
        <v>159</v>
      </c>
      <c r="E296" s="841">
        <v>125</v>
      </c>
      <c r="F296" s="839" t="s">
        <v>659</v>
      </c>
      <c r="G296" s="839" t="s">
        <v>174</v>
      </c>
      <c r="I296" t="s">
        <v>274</v>
      </c>
      <c r="J296" t="s">
        <v>232</v>
      </c>
    </row>
    <row r="297" spans="1:10" ht="13.5" customHeight="1" x14ac:dyDescent="0.35">
      <c r="A297" s="838">
        <v>45976</v>
      </c>
      <c r="B297" s="839" t="s">
        <v>660</v>
      </c>
      <c r="C297" s="840" t="s">
        <v>62</v>
      </c>
      <c r="D297" s="839" t="s">
        <v>159</v>
      </c>
      <c r="E297" s="841">
        <v>20</v>
      </c>
      <c r="F297" s="839" t="s">
        <v>413</v>
      </c>
      <c r="G297" s="839" t="s">
        <v>174</v>
      </c>
      <c r="I297" t="s">
        <v>201</v>
      </c>
      <c r="J297" t="s">
        <v>202</v>
      </c>
    </row>
    <row r="298" spans="1:10" ht="13.5" customHeight="1" x14ac:dyDescent="0.35">
      <c r="A298" s="838">
        <v>45975</v>
      </c>
      <c r="B298" s="839" t="s">
        <v>661</v>
      </c>
      <c r="C298" s="840" t="s">
        <v>44</v>
      </c>
      <c r="D298" s="839" t="s">
        <v>159</v>
      </c>
      <c r="E298" s="841">
        <v>240</v>
      </c>
      <c r="F298" s="839" t="s">
        <v>662</v>
      </c>
      <c r="G298" s="839" t="s">
        <v>174</v>
      </c>
      <c r="I298" t="s">
        <v>314</v>
      </c>
      <c r="J298" t="s">
        <v>269</v>
      </c>
    </row>
    <row r="299" spans="1:10" ht="13.5" customHeight="1" x14ac:dyDescent="0.35">
      <c r="A299" s="838">
        <v>45974</v>
      </c>
      <c r="B299" s="839" t="s">
        <v>663</v>
      </c>
      <c r="C299" s="840" t="s">
        <v>31</v>
      </c>
      <c r="D299" s="839" t="s">
        <v>162</v>
      </c>
      <c r="E299" s="841">
        <v>125</v>
      </c>
      <c r="F299" s="839" t="s">
        <v>664</v>
      </c>
      <c r="G299" s="839" t="s">
        <v>126</v>
      </c>
      <c r="I299" t="s">
        <v>274</v>
      </c>
      <c r="J299" t="s">
        <v>232</v>
      </c>
    </row>
    <row r="300" spans="1:10" ht="13.5" customHeight="1" x14ac:dyDescent="0.35">
      <c r="A300" s="838">
        <v>45974</v>
      </c>
      <c r="B300" s="839" t="s">
        <v>665</v>
      </c>
      <c r="C300" s="840" t="s">
        <v>28</v>
      </c>
      <c r="D300" s="839" t="s">
        <v>162</v>
      </c>
      <c r="E300" s="841">
        <v>150</v>
      </c>
      <c r="F300" s="839" t="s">
        <v>666</v>
      </c>
      <c r="G300" s="839" t="s">
        <v>126</v>
      </c>
      <c r="I300" t="s">
        <v>215</v>
      </c>
      <c r="J300" t="s">
        <v>216</v>
      </c>
    </row>
    <row r="301" spans="1:10" ht="13.5" customHeight="1" x14ac:dyDescent="0.35">
      <c r="A301" s="838">
        <v>45974</v>
      </c>
      <c r="B301" s="839" t="s">
        <v>591</v>
      </c>
      <c r="C301" s="840" t="s">
        <v>28</v>
      </c>
      <c r="D301" s="839" t="s">
        <v>162</v>
      </c>
      <c r="E301" s="841">
        <v>150</v>
      </c>
      <c r="F301" s="839" t="s">
        <v>666</v>
      </c>
      <c r="G301" s="839" t="s">
        <v>126</v>
      </c>
      <c r="I301" t="s">
        <v>215</v>
      </c>
      <c r="J301" t="s">
        <v>216</v>
      </c>
    </row>
    <row r="302" spans="1:10" ht="13.5" customHeight="1" x14ac:dyDescent="0.35">
      <c r="A302" s="838">
        <v>45974</v>
      </c>
      <c r="B302" s="839" t="s">
        <v>667</v>
      </c>
      <c r="C302" s="840" t="s">
        <v>28</v>
      </c>
      <c r="D302" s="839" t="s">
        <v>162</v>
      </c>
      <c r="E302" s="841">
        <v>150</v>
      </c>
      <c r="F302" s="839" t="s">
        <v>580</v>
      </c>
      <c r="G302" s="839" t="s">
        <v>126</v>
      </c>
      <c r="I302" t="s">
        <v>196</v>
      </c>
      <c r="J302" t="s">
        <v>197</v>
      </c>
    </row>
    <row r="303" spans="1:10" ht="13.5" customHeight="1" x14ac:dyDescent="0.35">
      <c r="A303" s="838">
        <v>45974</v>
      </c>
      <c r="B303" s="839" t="s">
        <v>668</v>
      </c>
      <c r="C303" s="840" t="s">
        <v>28</v>
      </c>
      <c r="D303" s="839" t="s">
        <v>162</v>
      </c>
      <c r="E303" s="841">
        <v>150</v>
      </c>
      <c r="F303" s="839" t="s">
        <v>580</v>
      </c>
      <c r="G303" s="839" t="s">
        <v>126</v>
      </c>
      <c r="I303" t="s">
        <v>196</v>
      </c>
      <c r="J303" t="s">
        <v>197</v>
      </c>
    </row>
    <row r="304" spans="1:10" ht="13.5" customHeight="1" x14ac:dyDescent="0.35">
      <c r="A304" s="838">
        <v>45974</v>
      </c>
      <c r="B304" s="839" t="s">
        <v>669</v>
      </c>
      <c r="C304" s="840" t="s">
        <v>28</v>
      </c>
      <c r="D304" s="839" t="s">
        <v>162</v>
      </c>
      <c r="E304" s="841">
        <v>150</v>
      </c>
      <c r="F304" s="839" t="s">
        <v>580</v>
      </c>
      <c r="G304" s="839" t="s">
        <v>126</v>
      </c>
      <c r="I304" t="s">
        <v>196</v>
      </c>
      <c r="J304" t="s">
        <v>197</v>
      </c>
    </row>
    <row r="305" spans="1:10" ht="13.5" customHeight="1" x14ac:dyDescent="0.35">
      <c r="A305" s="838">
        <v>45974</v>
      </c>
      <c r="B305" s="839" t="s">
        <v>670</v>
      </c>
      <c r="C305" s="840" t="s">
        <v>28</v>
      </c>
      <c r="D305" s="839" t="s">
        <v>162</v>
      </c>
      <c r="E305" s="841">
        <v>150</v>
      </c>
      <c r="F305" s="839" t="s">
        <v>580</v>
      </c>
      <c r="G305" s="839" t="s">
        <v>126</v>
      </c>
      <c r="I305" t="s">
        <v>196</v>
      </c>
      <c r="J305" t="s">
        <v>197</v>
      </c>
    </row>
    <row r="306" spans="1:10" ht="13.5" customHeight="1" x14ac:dyDescent="0.35">
      <c r="A306" s="838">
        <v>45974</v>
      </c>
      <c r="B306" s="839" t="s">
        <v>671</v>
      </c>
      <c r="C306" s="840" t="s">
        <v>28</v>
      </c>
      <c r="D306" s="839" t="s">
        <v>162</v>
      </c>
      <c r="E306" s="841">
        <v>150</v>
      </c>
      <c r="F306" s="839" t="s">
        <v>580</v>
      </c>
      <c r="G306" s="839" t="s">
        <v>126</v>
      </c>
      <c r="I306" t="s">
        <v>196</v>
      </c>
      <c r="J306" t="s">
        <v>197</v>
      </c>
    </row>
    <row r="307" spans="1:10" ht="13.5" customHeight="1" x14ac:dyDescent="0.35">
      <c r="A307" s="838">
        <v>45974</v>
      </c>
      <c r="B307" s="839" t="s">
        <v>672</v>
      </c>
      <c r="C307" s="840" t="s">
        <v>28</v>
      </c>
      <c r="D307" s="839" t="s">
        <v>162</v>
      </c>
      <c r="E307" s="841">
        <v>150</v>
      </c>
      <c r="F307" s="839" t="s">
        <v>580</v>
      </c>
      <c r="G307" s="839" t="s">
        <v>126</v>
      </c>
      <c r="I307" t="s">
        <v>196</v>
      </c>
      <c r="J307" t="s">
        <v>197</v>
      </c>
    </row>
    <row r="308" spans="1:10" ht="13.5" customHeight="1" x14ac:dyDescent="0.35">
      <c r="A308" s="838">
        <v>45974</v>
      </c>
      <c r="B308" s="839" t="s">
        <v>673</v>
      </c>
      <c r="C308" s="840" t="s">
        <v>31</v>
      </c>
      <c r="D308" s="839" t="s">
        <v>162</v>
      </c>
      <c r="E308" s="841">
        <v>50</v>
      </c>
      <c r="F308" s="839" t="s">
        <v>674</v>
      </c>
      <c r="G308" s="839" t="s">
        <v>126</v>
      </c>
      <c r="I308" t="s">
        <v>380</v>
      </c>
      <c r="J308" t="s">
        <v>226</v>
      </c>
    </row>
    <row r="309" spans="1:10" ht="13.5" customHeight="1" x14ac:dyDescent="0.35">
      <c r="A309" s="838">
        <v>45974</v>
      </c>
      <c r="B309" s="839" t="s">
        <v>675</v>
      </c>
      <c r="C309" s="840" t="s">
        <v>31</v>
      </c>
      <c r="D309" s="839" t="s">
        <v>162</v>
      </c>
      <c r="E309" s="841">
        <v>50</v>
      </c>
      <c r="F309" s="839" t="s">
        <v>674</v>
      </c>
      <c r="G309" s="839" t="s">
        <v>126</v>
      </c>
      <c r="I309" t="s">
        <v>380</v>
      </c>
      <c r="J309" t="s">
        <v>226</v>
      </c>
    </row>
    <row r="310" spans="1:10" ht="13.5" customHeight="1" x14ac:dyDescent="0.35">
      <c r="A310" s="838">
        <v>45974</v>
      </c>
      <c r="B310" s="839" t="s">
        <v>676</v>
      </c>
      <c r="C310" s="840" t="s">
        <v>28</v>
      </c>
      <c r="D310" s="839" t="s">
        <v>162</v>
      </c>
      <c r="E310" s="841">
        <v>150</v>
      </c>
      <c r="F310" s="839" t="s">
        <v>677</v>
      </c>
      <c r="G310" s="839" t="s">
        <v>126</v>
      </c>
      <c r="I310" t="s">
        <v>678</v>
      </c>
      <c r="J310" t="s">
        <v>679</v>
      </c>
    </row>
    <row r="311" spans="1:10" ht="13.5" customHeight="1" x14ac:dyDescent="0.35">
      <c r="A311" s="838">
        <v>45974</v>
      </c>
      <c r="B311" s="839" t="s">
        <v>680</v>
      </c>
      <c r="C311" s="840" t="s">
        <v>31</v>
      </c>
      <c r="D311" s="839" t="s">
        <v>162</v>
      </c>
      <c r="E311" s="841">
        <v>50</v>
      </c>
      <c r="F311" s="839" t="s">
        <v>681</v>
      </c>
      <c r="G311" s="839" t="s">
        <v>126</v>
      </c>
      <c r="I311" t="s">
        <v>244</v>
      </c>
      <c r="J311" t="s">
        <v>226</v>
      </c>
    </row>
    <row r="312" spans="1:10" ht="13.5" customHeight="1" x14ac:dyDescent="0.35">
      <c r="A312" s="838">
        <v>45974</v>
      </c>
      <c r="B312" s="839" t="s">
        <v>682</v>
      </c>
      <c r="C312" s="840" t="s">
        <v>31</v>
      </c>
      <c r="D312" s="839" t="s">
        <v>162</v>
      </c>
      <c r="E312" s="841">
        <v>50</v>
      </c>
      <c r="F312" s="839" t="s">
        <v>674</v>
      </c>
      <c r="G312" s="839" t="s">
        <v>126</v>
      </c>
      <c r="I312" t="s">
        <v>380</v>
      </c>
      <c r="J312" t="s">
        <v>226</v>
      </c>
    </row>
    <row r="313" spans="1:10" ht="13.5" customHeight="1" x14ac:dyDescent="0.35">
      <c r="A313" s="838">
        <v>45974</v>
      </c>
      <c r="B313" s="839" t="s">
        <v>683</v>
      </c>
      <c r="C313" s="840" t="s">
        <v>31</v>
      </c>
      <c r="D313" s="839" t="s">
        <v>162</v>
      </c>
      <c r="E313" s="841">
        <v>50</v>
      </c>
      <c r="F313" s="839" t="s">
        <v>674</v>
      </c>
      <c r="G313" s="839" t="s">
        <v>126</v>
      </c>
      <c r="I313" t="s">
        <v>380</v>
      </c>
      <c r="J313" t="s">
        <v>226</v>
      </c>
    </row>
    <row r="314" spans="1:10" ht="13.5" customHeight="1" x14ac:dyDescent="0.35">
      <c r="A314" s="838">
        <v>45974</v>
      </c>
      <c r="B314" s="839" t="s">
        <v>684</v>
      </c>
      <c r="C314" s="840" t="s">
        <v>31</v>
      </c>
      <c r="D314" s="839" t="s">
        <v>162</v>
      </c>
      <c r="E314" s="841">
        <v>50</v>
      </c>
      <c r="F314" s="839" t="s">
        <v>674</v>
      </c>
      <c r="G314" s="839" t="s">
        <v>126</v>
      </c>
      <c r="I314" t="s">
        <v>380</v>
      </c>
      <c r="J314" t="s">
        <v>226</v>
      </c>
    </row>
    <row r="315" spans="1:10" ht="13.5" customHeight="1" x14ac:dyDescent="0.35">
      <c r="A315" s="838">
        <v>45974</v>
      </c>
      <c r="B315" s="839" t="s">
        <v>685</v>
      </c>
      <c r="C315" s="840" t="s">
        <v>28</v>
      </c>
      <c r="D315" s="839" t="s">
        <v>162</v>
      </c>
      <c r="E315" s="841">
        <v>150</v>
      </c>
      <c r="F315" s="839" t="s">
        <v>580</v>
      </c>
      <c r="G315" s="839" t="s">
        <v>126</v>
      </c>
      <c r="I315" t="s">
        <v>196</v>
      </c>
      <c r="J315" t="s">
        <v>197</v>
      </c>
    </row>
    <row r="316" spans="1:10" ht="13.5" customHeight="1" x14ac:dyDescent="0.35">
      <c r="A316" s="838">
        <v>45974</v>
      </c>
      <c r="B316" s="839" t="s">
        <v>686</v>
      </c>
      <c r="C316" s="840" t="s">
        <v>28</v>
      </c>
      <c r="D316" s="839" t="s">
        <v>162</v>
      </c>
      <c r="E316" s="841">
        <v>150</v>
      </c>
      <c r="F316" s="839" t="s">
        <v>580</v>
      </c>
      <c r="G316" s="839" t="s">
        <v>126</v>
      </c>
      <c r="I316" t="s">
        <v>196</v>
      </c>
      <c r="J316" t="s">
        <v>197</v>
      </c>
    </row>
    <row r="317" spans="1:10" ht="13.5" customHeight="1" x14ac:dyDescent="0.35">
      <c r="A317" s="838">
        <v>45974</v>
      </c>
      <c r="B317" s="839" t="s">
        <v>687</v>
      </c>
      <c r="C317" s="840" t="s">
        <v>28</v>
      </c>
      <c r="D317" s="839" t="s">
        <v>162</v>
      </c>
      <c r="E317" s="841">
        <v>150</v>
      </c>
      <c r="F317" s="839" t="s">
        <v>580</v>
      </c>
      <c r="G317" s="839" t="s">
        <v>126</v>
      </c>
      <c r="I317" t="s">
        <v>196</v>
      </c>
      <c r="J317" t="s">
        <v>197</v>
      </c>
    </row>
    <row r="318" spans="1:10" ht="13.5" customHeight="1" x14ac:dyDescent="0.35">
      <c r="A318" s="838">
        <v>45974</v>
      </c>
      <c r="B318" s="839" t="s">
        <v>688</v>
      </c>
      <c r="C318" s="840" t="s">
        <v>28</v>
      </c>
      <c r="D318" s="839" t="s">
        <v>162</v>
      </c>
      <c r="E318" s="841">
        <v>150</v>
      </c>
      <c r="F318" s="839" t="s">
        <v>580</v>
      </c>
      <c r="G318" s="839" t="s">
        <v>126</v>
      </c>
      <c r="I318" t="s">
        <v>196</v>
      </c>
      <c r="J318" t="s">
        <v>197</v>
      </c>
    </row>
    <row r="319" spans="1:10" ht="13.5" customHeight="1" x14ac:dyDescent="0.35">
      <c r="A319" s="838">
        <v>45974</v>
      </c>
      <c r="B319" s="839" t="s">
        <v>689</v>
      </c>
      <c r="C319" s="840" t="s">
        <v>28</v>
      </c>
      <c r="D319" s="839" t="s">
        <v>162</v>
      </c>
      <c r="E319" s="841">
        <v>150</v>
      </c>
      <c r="F319" s="839" t="s">
        <v>580</v>
      </c>
      <c r="G319" s="839" t="s">
        <v>126</v>
      </c>
      <c r="I319" t="s">
        <v>196</v>
      </c>
      <c r="J319" t="s">
        <v>197</v>
      </c>
    </row>
    <row r="320" spans="1:10" ht="13.5" customHeight="1" x14ac:dyDescent="0.35">
      <c r="A320" s="838">
        <v>45973</v>
      </c>
      <c r="B320" s="839" t="s">
        <v>690</v>
      </c>
      <c r="C320" s="840" t="s">
        <v>28</v>
      </c>
      <c r="D320" s="839" t="s">
        <v>159</v>
      </c>
      <c r="E320" s="841">
        <v>240</v>
      </c>
      <c r="F320" s="839" t="s">
        <v>662</v>
      </c>
      <c r="G320" s="839" t="s">
        <v>174</v>
      </c>
      <c r="I320" t="s">
        <v>314</v>
      </c>
      <c r="J320" t="s">
        <v>269</v>
      </c>
    </row>
    <row r="321" spans="1:10" ht="13.5" customHeight="1" x14ac:dyDescent="0.35">
      <c r="A321" s="838">
        <v>45971</v>
      </c>
      <c r="B321" s="839" t="s">
        <v>691</v>
      </c>
      <c r="C321" s="840" t="s">
        <v>28</v>
      </c>
      <c r="D321" s="839" t="s">
        <v>159</v>
      </c>
      <c r="E321" s="841">
        <v>150</v>
      </c>
      <c r="F321" s="839" t="s">
        <v>580</v>
      </c>
      <c r="G321" s="839" t="s">
        <v>174</v>
      </c>
      <c r="I321" t="s">
        <v>196</v>
      </c>
      <c r="J321" t="s">
        <v>197</v>
      </c>
    </row>
    <row r="322" spans="1:10" ht="13.5" customHeight="1" x14ac:dyDescent="0.35">
      <c r="A322" s="838">
        <v>45967</v>
      </c>
      <c r="B322" s="839" t="s">
        <v>87</v>
      </c>
      <c r="C322" s="840" t="s">
        <v>56</v>
      </c>
      <c r="D322" s="839" t="s">
        <v>160</v>
      </c>
      <c r="E322" s="841">
        <v>279.8</v>
      </c>
      <c r="F322" s="839" t="s">
        <v>414</v>
      </c>
      <c r="G322" s="839" t="s">
        <v>87</v>
      </c>
      <c r="I322" t="s">
        <v>285</v>
      </c>
      <c r="J322" t="s">
        <v>286</v>
      </c>
    </row>
    <row r="323" spans="1:10" ht="13.5" customHeight="1" x14ac:dyDescent="0.35">
      <c r="A323" s="838">
        <v>45963</v>
      </c>
      <c r="B323" s="839" t="s">
        <v>692</v>
      </c>
      <c r="C323" s="840" t="s">
        <v>31</v>
      </c>
      <c r="D323" s="839" t="s">
        <v>159</v>
      </c>
      <c r="E323" s="841">
        <v>65</v>
      </c>
      <c r="F323" s="839" t="s">
        <v>693</v>
      </c>
      <c r="G323" s="839" t="s">
        <v>174</v>
      </c>
      <c r="I323" t="s">
        <v>605</v>
      </c>
      <c r="J323" t="s">
        <v>226</v>
      </c>
    </row>
    <row r="324" spans="1:10" ht="13.5" customHeight="1" x14ac:dyDescent="0.35">
      <c r="A324" s="838">
        <v>45963</v>
      </c>
      <c r="B324" s="839" t="s">
        <v>694</v>
      </c>
      <c r="C324" s="840" t="s">
        <v>31</v>
      </c>
      <c r="D324" s="839" t="s">
        <v>159</v>
      </c>
      <c r="E324" s="841">
        <v>25</v>
      </c>
      <c r="F324" s="839" t="s">
        <v>472</v>
      </c>
      <c r="G324" s="839" t="s">
        <v>175</v>
      </c>
      <c r="I324" t="s">
        <v>380</v>
      </c>
      <c r="J324" t="s">
        <v>226</v>
      </c>
    </row>
    <row r="325" spans="1:10" ht="13.5" customHeight="1" x14ac:dyDescent="0.35">
      <c r="A325" s="838">
        <v>45963</v>
      </c>
      <c r="B325" s="839" t="s">
        <v>694</v>
      </c>
      <c r="C325" s="840" t="s">
        <v>31</v>
      </c>
      <c r="D325" s="839" t="s">
        <v>165</v>
      </c>
      <c r="E325" s="841">
        <v>25</v>
      </c>
      <c r="F325" s="839" t="s">
        <v>472</v>
      </c>
      <c r="G325" s="839" t="s">
        <v>175</v>
      </c>
      <c r="I325" t="s">
        <v>380</v>
      </c>
      <c r="J325" t="s">
        <v>226</v>
      </c>
    </row>
    <row r="326" spans="1:10" ht="13.5" customHeight="1" x14ac:dyDescent="0.35">
      <c r="A326" s="838">
        <v>45963</v>
      </c>
      <c r="B326" s="839" t="s">
        <v>694</v>
      </c>
      <c r="C326" s="840" t="s">
        <v>53</v>
      </c>
      <c r="D326" s="839" t="s">
        <v>165</v>
      </c>
      <c r="E326" s="841">
        <v>-25</v>
      </c>
      <c r="F326" s="839" t="s">
        <v>472</v>
      </c>
      <c r="G326" s="839" t="s">
        <v>175</v>
      </c>
      <c r="I326" t="s">
        <v>220</v>
      </c>
      <c r="J326"/>
    </row>
    <row r="327" spans="1:10" ht="13.5" customHeight="1" x14ac:dyDescent="0.35">
      <c r="A327" s="838">
        <v>45963</v>
      </c>
      <c r="B327" s="839" t="s">
        <v>694</v>
      </c>
      <c r="C327" s="840" t="s">
        <v>31</v>
      </c>
      <c r="D327" s="839" t="s">
        <v>165</v>
      </c>
      <c r="E327" s="841">
        <v>150</v>
      </c>
      <c r="F327" s="839" t="s">
        <v>695</v>
      </c>
      <c r="G327" s="839" t="s">
        <v>175</v>
      </c>
      <c r="I327" t="s">
        <v>282</v>
      </c>
      <c r="J327" t="s">
        <v>226</v>
      </c>
    </row>
    <row r="328" spans="1:10" ht="13.5" customHeight="1" x14ac:dyDescent="0.35">
      <c r="A328" s="838">
        <v>45963</v>
      </c>
      <c r="B328" s="839" t="s">
        <v>694</v>
      </c>
      <c r="C328" s="840" t="s">
        <v>53</v>
      </c>
      <c r="D328" s="839" t="s">
        <v>165</v>
      </c>
      <c r="E328" s="841">
        <v>-150</v>
      </c>
      <c r="F328" s="839" t="s">
        <v>695</v>
      </c>
      <c r="G328" s="839" t="s">
        <v>175</v>
      </c>
      <c r="I328" t="s">
        <v>220</v>
      </c>
      <c r="J328"/>
    </row>
    <row r="329" spans="1:10" ht="13.5" customHeight="1" x14ac:dyDescent="0.35">
      <c r="A329" s="838">
        <v>45963</v>
      </c>
      <c r="B329" s="839" t="s">
        <v>694</v>
      </c>
      <c r="C329" s="840" t="s">
        <v>31</v>
      </c>
      <c r="D329" s="839" t="s">
        <v>165</v>
      </c>
      <c r="E329" s="841">
        <v>125</v>
      </c>
      <c r="F329" s="839" t="s">
        <v>224</v>
      </c>
      <c r="G329" s="839" t="s">
        <v>175</v>
      </c>
      <c r="I329" t="s">
        <v>225</v>
      </c>
      <c r="J329" t="s">
        <v>226</v>
      </c>
    </row>
    <row r="330" spans="1:10" ht="13.5" customHeight="1" x14ac:dyDescent="0.35">
      <c r="A330" s="838">
        <v>45963</v>
      </c>
      <c r="B330" s="839" t="s">
        <v>694</v>
      </c>
      <c r="C330" s="840" t="s">
        <v>53</v>
      </c>
      <c r="D330" s="839" t="s">
        <v>165</v>
      </c>
      <c r="E330" s="841">
        <v>-125</v>
      </c>
      <c r="F330" s="839" t="s">
        <v>224</v>
      </c>
      <c r="G330" s="839" t="s">
        <v>175</v>
      </c>
      <c r="I330" t="s">
        <v>220</v>
      </c>
      <c r="J330"/>
    </row>
    <row r="331" spans="1:10" ht="13.5" customHeight="1" x14ac:dyDescent="0.35">
      <c r="A331" s="838">
        <v>45962</v>
      </c>
      <c r="B331" s="839" t="s">
        <v>292</v>
      </c>
      <c r="C331" s="840" t="s">
        <v>44</v>
      </c>
      <c r="D331" s="839" t="s">
        <v>159</v>
      </c>
      <c r="E331" s="841">
        <v>35</v>
      </c>
      <c r="F331" s="839" t="s">
        <v>292</v>
      </c>
      <c r="G331" s="839" t="s">
        <v>175</v>
      </c>
      <c r="I331" t="s">
        <v>294</v>
      </c>
      <c r="J331" t="s">
        <v>295</v>
      </c>
    </row>
    <row r="332" spans="1:10" ht="13.5" customHeight="1" x14ac:dyDescent="0.35">
      <c r="A332" s="838"/>
      <c r="B332" s="839"/>
      <c r="C332" s="840"/>
      <c r="D332" s="839"/>
      <c r="E332" s="841"/>
      <c r="F332" s="839"/>
      <c r="G332" s="839"/>
    </row>
    <row r="333" spans="1:10" ht="13.5" customHeight="1" x14ac:dyDescent="0.35">
      <c r="A333" s="838">
        <v>45961</v>
      </c>
      <c r="B333" s="839" t="s">
        <v>696</v>
      </c>
      <c r="C333" s="840" t="s">
        <v>62</v>
      </c>
      <c r="D333" s="839" t="s">
        <v>159</v>
      </c>
      <c r="E333" s="841">
        <v>25</v>
      </c>
      <c r="F333" s="839" t="s">
        <v>697</v>
      </c>
      <c r="G333" s="839" t="s">
        <v>175</v>
      </c>
      <c r="I333" t="s">
        <v>201</v>
      </c>
      <c r="J333" t="s">
        <v>202</v>
      </c>
    </row>
    <row r="334" spans="1:10" ht="13.5" customHeight="1" x14ac:dyDescent="0.35">
      <c r="A334" s="838">
        <v>45960</v>
      </c>
      <c r="B334" s="839" t="s">
        <v>698</v>
      </c>
      <c r="C334" s="840" t="s">
        <v>62</v>
      </c>
      <c r="D334" s="839" t="s">
        <v>159</v>
      </c>
      <c r="E334" s="841">
        <v>30</v>
      </c>
      <c r="F334" s="839" t="s">
        <v>699</v>
      </c>
      <c r="G334" s="839" t="s">
        <v>175</v>
      </c>
      <c r="I334" t="s">
        <v>201</v>
      </c>
      <c r="J334" t="s">
        <v>202</v>
      </c>
    </row>
    <row r="335" spans="1:10" ht="13.5" customHeight="1" x14ac:dyDescent="0.35">
      <c r="A335" s="838">
        <v>45960</v>
      </c>
      <c r="B335" s="839" t="s">
        <v>698</v>
      </c>
      <c r="C335" s="840" t="s">
        <v>62</v>
      </c>
      <c r="D335" s="839" t="s">
        <v>159</v>
      </c>
      <c r="E335" s="841">
        <v>25</v>
      </c>
      <c r="F335" s="839" t="s">
        <v>697</v>
      </c>
      <c r="G335" s="839" t="s">
        <v>175</v>
      </c>
      <c r="I335" t="s">
        <v>201</v>
      </c>
      <c r="J335" t="s">
        <v>202</v>
      </c>
    </row>
    <row r="336" spans="1:10" ht="13.5" customHeight="1" x14ac:dyDescent="0.35">
      <c r="A336" s="838">
        <v>45958</v>
      </c>
      <c r="B336" s="839" t="s">
        <v>700</v>
      </c>
      <c r="C336" s="840" t="s">
        <v>62</v>
      </c>
      <c r="D336" s="839" t="s">
        <v>159</v>
      </c>
      <c r="E336" s="841">
        <v>25</v>
      </c>
      <c r="F336" s="839" t="s">
        <v>697</v>
      </c>
      <c r="G336" s="839" t="s">
        <v>175</v>
      </c>
      <c r="I336" t="s">
        <v>201</v>
      </c>
      <c r="J336" t="s">
        <v>202</v>
      </c>
    </row>
    <row r="337" spans="1:10" ht="13.5" customHeight="1" x14ac:dyDescent="0.35">
      <c r="A337" s="838">
        <v>45956</v>
      </c>
      <c r="B337" s="839" t="s">
        <v>701</v>
      </c>
      <c r="C337" s="840" t="s">
        <v>28</v>
      </c>
      <c r="D337" s="839" t="s">
        <v>159</v>
      </c>
      <c r="E337" s="841">
        <v>300</v>
      </c>
      <c r="F337" s="839" t="s">
        <v>656</v>
      </c>
      <c r="G337" s="839" t="s">
        <v>174</v>
      </c>
      <c r="I337" t="s">
        <v>657</v>
      </c>
      <c r="J337" t="s">
        <v>197</v>
      </c>
    </row>
    <row r="338" spans="1:10" ht="13.5" customHeight="1" x14ac:dyDescent="0.35">
      <c r="A338" s="838">
        <v>45956</v>
      </c>
      <c r="B338" s="839" t="s">
        <v>702</v>
      </c>
      <c r="C338" s="840" t="s">
        <v>62</v>
      </c>
      <c r="D338" s="839" t="s">
        <v>159</v>
      </c>
      <c r="E338" s="841">
        <v>20</v>
      </c>
      <c r="F338" s="839" t="s">
        <v>413</v>
      </c>
      <c r="G338" s="839" t="s">
        <v>175</v>
      </c>
      <c r="I338" t="s">
        <v>201</v>
      </c>
      <c r="J338" t="s">
        <v>202</v>
      </c>
    </row>
    <row r="339" spans="1:10" ht="13.5" customHeight="1" x14ac:dyDescent="0.35">
      <c r="A339" s="838">
        <v>45955</v>
      </c>
      <c r="B339" s="839" t="s">
        <v>703</v>
      </c>
      <c r="C339" s="840" t="s">
        <v>62</v>
      </c>
      <c r="D339" s="839" t="s">
        <v>159</v>
      </c>
      <c r="E339" s="841">
        <v>25</v>
      </c>
      <c r="F339" s="839" t="s">
        <v>697</v>
      </c>
      <c r="G339" s="839" t="s">
        <v>175</v>
      </c>
      <c r="I339" t="s">
        <v>201</v>
      </c>
      <c r="J339" t="s">
        <v>202</v>
      </c>
    </row>
    <row r="340" spans="1:10" ht="13.5" customHeight="1" x14ac:dyDescent="0.35">
      <c r="A340" s="838">
        <v>45954</v>
      </c>
      <c r="B340" s="839" t="s">
        <v>704</v>
      </c>
      <c r="C340" s="840" t="s">
        <v>62</v>
      </c>
      <c r="D340" s="839" t="s">
        <v>159</v>
      </c>
      <c r="E340" s="841">
        <v>25</v>
      </c>
      <c r="F340" s="839" t="s">
        <v>697</v>
      </c>
      <c r="G340" s="839" t="s">
        <v>175</v>
      </c>
      <c r="I340" t="s">
        <v>201</v>
      </c>
      <c r="J340" t="s">
        <v>202</v>
      </c>
    </row>
    <row r="341" spans="1:10" ht="13.5" customHeight="1" x14ac:dyDescent="0.35">
      <c r="A341" s="838">
        <v>45953</v>
      </c>
      <c r="B341" s="839" t="s">
        <v>705</v>
      </c>
      <c r="C341" s="840" t="s">
        <v>59</v>
      </c>
      <c r="D341" s="839" t="s">
        <v>159</v>
      </c>
      <c r="E341" s="841">
        <v>695</v>
      </c>
      <c r="F341" s="839" t="s">
        <v>91</v>
      </c>
      <c r="G341" s="839" t="s">
        <v>175</v>
      </c>
      <c r="I341" t="s">
        <v>299</v>
      </c>
      <c r="J341" t="s">
        <v>255</v>
      </c>
    </row>
    <row r="342" spans="1:10" ht="13.5" customHeight="1" x14ac:dyDescent="0.35">
      <c r="A342" s="838">
        <v>45950</v>
      </c>
      <c r="B342" s="839" t="s">
        <v>706</v>
      </c>
      <c r="C342" s="840" t="s">
        <v>62</v>
      </c>
      <c r="D342" s="839" t="s">
        <v>159</v>
      </c>
      <c r="E342" s="841">
        <v>25</v>
      </c>
      <c r="F342" s="839" t="s">
        <v>697</v>
      </c>
      <c r="G342" s="839" t="s">
        <v>175</v>
      </c>
      <c r="I342" t="s">
        <v>201</v>
      </c>
      <c r="J342" t="s">
        <v>202</v>
      </c>
    </row>
    <row r="343" spans="1:10" ht="13.5" customHeight="1" x14ac:dyDescent="0.35">
      <c r="A343" s="838">
        <v>45949</v>
      </c>
      <c r="B343" s="839" t="s">
        <v>707</v>
      </c>
      <c r="C343" s="840" t="s">
        <v>62</v>
      </c>
      <c r="D343" s="839" t="s">
        <v>159</v>
      </c>
      <c r="E343" s="841">
        <v>25</v>
      </c>
      <c r="F343" s="839" t="s">
        <v>697</v>
      </c>
      <c r="G343" s="839" t="s">
        <v>175</v>
      </c>
      <c r="I343" t="s">
        <v>201</v>
      </c>
      <c r="J343" t="s">
        <v>202</v>
      </c>
    </row>
    <row r="344" spans="1:10" ht="13.5" customHeight="1" x14ac:dyDescent="0.35">
      <c r="A344" s="838">
        <v>45946</v>
      </c>
      <c r="B344" s="839" t="s">
        <v>708</v>
      </c>
      <c r="C344" s="840" t="s">
        <v>62</v>
      </c>
      <c r="D344" s="839" t="s">
        <v>159</v>
      </c>
      <c r="E344" s="841">
        <v>25</v>
      </c>
      <c r="F344" s="839" t="s">
        <v>697</v>
      </c>
      <c r="G344" s="839" t="s">
        <v>175</v>
      </c>
      <c r="I344" t="s">
        <v>201</v>
      </c>
      <c r="J344" t="s">
        <v>202</v>
      </c>
    </row>
    <row r="345" spans="1:10" ht="13.5" customHeight="1" x14ac:dyDescent="0.35">
      <c r="A345" s="838">
        <v>45946</v>
      </c>
      <c r="B345" s="839" t="s">
        <v>306</v>
      </c>
      <c r="C345" s="840" t="s">
        <v>31</v>
      </c>
      <c r="D345" s="839" t="s">
        <v>159</v>
      </c>
      <c r="E345" s="841">
        <v>150</v>
      </c>
      <c r="F345" s="839" t="s">
        <v>235</v>
      </c>
      <c r="G345" s="839" t="s">
        <v>175</v>
      </c>
      <c r="I345" t="s">
        <v>236</v>
      </c>
      <c r="J345" t="s">
        <v>232</v>
      </c>
    </row>
    <row r="346" spans="1:10" ht="13.5" customHeight="1" x14ac:dyDescent="0.35">
      <c r="A346" s="838">
        <v>45945</v>
      </c>
      <c r="B346" s="839" t="s">
        <v>709</v>
      </c>
      <c r="C346" s="840" t="s">
        <v>62</v>
      </c>
      <c r="D346" s="839" t="s">
        <v>159</v>
      </c>
      <c r="E346" s="841">
        <v>20</v>
      </c>
      <c r="F346" s="839" t="s">
        <v>413</v>
      </c>
      <c r="G346" s="839" t="s">
        <v>175</v>
      </c>
      <c r="I346" t="s">
        <v>201</v>
      </c>
      <c r="J346" t="s">
        <v>202</v>
      </c>
    </row>
    <row r="347" spans="1:10" ht="13.5" customHeight="1" x14ac:dyDescent="0.35">
      <c r="A347" s="838">
        <v>45944</v>
      </c>
      <c r="B347" s="839" t="s">
        <v>710</v>
      </c>
      <c r="C347" s="840" t="s">
        <v>31</v>
      </c>
      <c r="D347" s="839" t="s">
        <v>159</v>
      </c>
      <c r="E347" s="841">
        <v>125</v>
      </c>
      <c r="F347" s="839" t="s">
        <v>711</v>
      </c>
      <c r="G347" s="839" t="s">
        <v>174</v>
      </c>
      <c r="I347" t="s">
        <v>274</v>
      </c>
      <c r="J347" t="s">
        <v>232</v>
      </c>
    </row>
    <row r="348" spans="1:10" ht="13.5" customHeight="1" x14ac:dyDescent="0.35">
      <c r="A348" s="838">
        <v>45943</v>
      </c>
      <c r="B348" s="839" t="s">
        <v>712</v>
      </c>
      <c r="C348" s="840" t="s">
        <v>31</v>
      </c>
      <c r="D348" s="839" t="s">
        <v>159</v>
      </c>
      <c r="E348" s="841">
        <v>99</v>
      </c>
      <c r="F348" s="839" t="s">
        <v>177</v>
      </c>
      <c r="G348" s="839" t="s">
        <v>176</v>
      </c>
      <c r="I348" t="s">
        <v>210</v>
      </c>
      <c r="J348" t="s">
        <v>211</v>
      </c>
    </row>
    <row r="349" spans="1:10" ht="13.5" customHeight="1" x14ac:dyDescent="0.35">
      <c r="A349" s="838">
        <v>45943</v>
      </c>
      <c r="B349" s="839" t="s">
        <v>713</v>
      </c>
      <c r="C349" s="840" t="s">
        <v>31</v>
      </c>
      <c r="D349" s="839" t="s">
        <v>159</v>
      </c>
      <c r="E349" s="841">
        <v>99</v>
      </c>
      <c r="F349" s="839" t="s">
        <v>177</v>
      </c>
      <c r="G349" s="839" t="s">
        <v>177</v>
      </c>
      <c r="I349" t="s">
        <v>210</v>
      </c>
      <c r="J349" t="s">
        <v>211</v>
      </c>
    </row>
    <row r="350" spans="1:10" ht="13.5" customHeight="1" x14ac:dyDescent="0.35">
      <c r="A350" s="838">
        <v>45941</v>
      </c>
      <c r="B350" s="839" t="s">
        <v>714</v>
      </c>
      <c r="C350" s="840" t="s">
        <v>31</v>
      </c>
      <c r="D350" s="839" t="s">
        <v>159</v>
      </c>
      <c r="E350" s="841">
        <v>99</v>
      </c>
      <c r="F350" s="839" t="s">
        <v>177</v>
      </c>
      <c r="G350" s="839" t="s">
        <v>177</v>
      </c>
      <c r="I350" t="s">
        <v>210</v>
      </c>
      <c r="J350" t="s">
        <v>211</v>
      </c>
    </row>
    <row r="351" spans="1:10" ht="13.5" customHeight="1" x14ac:dyDescent="0.35">
      <c r="A351" s="838">
        <v>45939</v>
      </c>
      <c r="B351" s="839" t="s">
        <v>263</v>
      </c>
      <c r="C351" s="840" t="s">
        <v>47</v>
      </c>
      <c r="D351" s="839" t="s">
        <v>159</v>
      </c>
      <c r="E351" s="841">
        <v>50</v>
      </c>
      <c r="F351" s="839" t="s">
        <v>360</v>
      </c>
      <c r="G351" s="839" t="s">
        <v>175</v>
      </c>
      <c r="I351" t="s">
        <v>268</v>
      </c>
      <c r="J351" t="s">
        <v>269</v>
      </c>
    </row>
    <row r="352" spans="1:10" ht="13.5" customHeight="1" x14ac:dyDescent="0.35">
      <c r="A352" s="838">
        <v>45939</v>
      </c>
      <c r="B352" s="839" t="s">
        <v>715</v>
      </c>
      <c r="C352" s="840" t="s">
        <v>47</v>
      </c>
      <c r="D352" s="839" t="s">
        <v>159</v>
      </c>
      <c r="E352" s="841">
        <v>170</v>
      </c>
      <c r="F352" s="839" t="s">
        <v>313</v>
      </c>
      <c r="G352" s="839" t="s">
        <v>175</v>
      </c>
      <c r="I352" t="s">
        <v>314</v>
      </c>
      <c r="J352" t="s">
        <v>269</v>
      </c>
    </row>
    <row r="353" spans="1:10" ht="13.5" customHeight="1" x14ac:dyDescent="0.35">
      <c r="A353" s="838">
        <v>45939</v>
      </c>
      <c r="B353" s="839" t="s">
        <v>716</v>
      </c>
      <c r="C353" s="840" t="s">
        <v>31</v>
      </c>
      <c r="D353" s="839" t="s">
        <v>162</v>
      </c>
      <c r="E353" s="841">
        <v>100</v>
      </c>
      <c r="F353" s="839" t="s">
        <v>717</v>
      </c>
      <c r="G353" s="839" t="s">
        <v>180</v>
      </c>
      <c r="I353" t="s">
        <v>617</v>
      </c>
      <c r="J353" t="s">
        <v>232</v>
      </c>
    </row>
    <row r="354" spans="1:10" ht="13.5" customHeight="1" x14ac:dyDescent="0.35">
      <c r="A354" s="838">
        <v>45939</v>
      </c>
      <c r="B354" s="839" t="s">
        <v>718</v>
      </c>
      <c r="C354" s="840" t="s">
        <v>31</v>
      </c>
      <c r="D354" s="839" t="s">
        <v>162</v>
      </c>
      <c r="E354" s="841">
        <v>100</v>
      </c>
      <c r="F354" s="839" t="s">
        <v>719</v>
      </c>
      <c r="G354" s="839" t="s">
        <v>180</v>
      </c>
      <c r="I354" t="s">
        <v>617</v>
      </c>
      <c r="J354" t="s">
        <v>232</v>
      </c>
    </row>
    <row r="355" spans="1:10" ht="13.5" customHeight="1" x14ac:dyDescent="0.35">
      <c r="A355" s="838">
        <v>45939</v>
      </c>
      <c r="B355" s="839" t="s">
        <v>720</v>
      </c>
      <c r="C355" s="840" t="s">
        <v>31</v>
      </c>
      <c r="D355" s="839" t="s">
        <v>162</v>
      </c>
      <c r="E355" s="841">
        <v>100</v>
      </c>
      <c r="F355" s="839" t="s">
        <v>719</v>
      </c>
      <c r="G355" s="839" t="s">
        <v>180</v>
      </c>
      <c r="I355" t="s">
        <v>617</v>
      </c>
      <c r="J355" t="s">
        <v>232</v>
      </c>
    </row>
    <row r="356" spans="1:10" ht="13.5" customHeight="1" x14ac:dyDescent="0.35">
      <c r="A356" s="838">
        <v>45939</v>
      </c>
      <c r="B356" s="839" t="s">
        <v>721</v>
      </c>
      <c r="C356" s="840" t="s">
        <v>28</v>
      </c>
      <c r="D356" s="839" t="s">
        <v>162</v>
      </c>
      <c r="E356" s="841">
        <v>120</v>
      </c>
      <c r="F356" s="839" t="s">
        <v>722</v>
      </c>
      <c r="G356" s="839" t="s">
        <v>180</v>
      </c>
      <c r="I356" t="s">
        <v>657</v>
      </c>
      <c r="J356" t="s">
        <v>197</v>
      </c>
    </row>
    <row r="357" spans="1:10" ht="13.5" customHeight="1" x14ac:dyDescent="0.35">
      <c r="A357" s="838">
        <v>45938</v>
      </c>
      <c r="B357" s="839" t="s">
        <v>723</v>
      </c>
      <c r="C357" s="840" t="s">
        <v>62</v>
      </c>
      <c r="D357" s="839" t="s">
        <v>159</v>
      </c>
      <c r="E357" s="841">
        <v>30</v>
      </c>
      <c r="F357" s="839" t="s">
        <v>724</v>
      </c>
      <c r="G357" s="839" t="s">
        <v>175</v>
      </c>
      <c r="I357" t="s">
        <v>725</v>
      </c>
      <c r="J357" t="s">
        <v>726</v>
      </c>
    </row>
    <row r="358" spans="1:10" ht="13.5" customHeight="1" x14ac:dyDescent="0.35">
      <c r="A358" s="838">
        <v>45937</v>
      </c>
      <c r="B358" s="839" t="s">
        <v>727</v>
      </c>
      <c r="C358" s="840" t="s">
        <v>62</v>
      </c>
      <c r="D358" s="839" t="s">
        <v>159</v>
      </c>
      <c r="E358" s="841">
        <v>25</v>
      </c>
      <c r="F358" s="839" t="s">
        <v>697</v>
      </c>
      <c r="G358" s="839" t="s">
        <v>174</v>
      </c>
      <c r="I358" t="s">
        <v>201</v>
      </c>
      <c r="J358" t="s">
        <v>202</v>
      </c>
    </row>
    <row r="359" spans="1:10" ht="13.5" customHeight="1" x14ac:dyDescent="0.35">
      <c r="A359" s="838">
        <v>45936</v>
      </c>
      <c r="B359" s="839" t="s">
        <v>728</v>
      </c>
      <c r="C359" s="840" t="s">
        <v>31</v>
      </c>
      <c r="D359" s="839" t="s">
        <v>162</v>
      </c>
      <c r="E359" s="841">
        <v>50</v>
      </c>
      <c r="F359" s="839" t="s">
        <v>729</v>
      </c>
      <c r="G359" s="839" t="s">
        <v>126</v>
      </c>
      <c r="I359" t="s">
        <v>317</v>
      </c>
      <c r="J359" t="s">
        <v>226</v>
      </c>
    </row>
    <row r="360" spans="1:10" ht="13.5" customHeight="1" x14ac:dyDescent="0.35">
      <c r="A360" s="838">
        <v>45936</v>
      </c>
      <c r="B360" s="839" t="s">
        <v>730</v>
      </c>
      <c r="C360" s="840" t="s">
        <v>31</v>
      </c>
      <c r="D360" s="839" t="s">
        <v>162</v>
      </c>
      <c r="E360" s="841">
        <v>50</v>
      </c>
      <c r="F360" s="839" t="s">
        <v>729</v>
      </c>
      <c r="G360" s="839" t="s">
        <v>126</v>
      </c>
      <c r="I360" t="s">
        <v>317</v>
      </c>
      <c r="J360" t="s">
        <v>226</v>
      </c>
    </row>
    <row r="361" spans="1:10" ht="13.5" customHeight="1" x14ac:dyDescent="0.35">
      <c r="A361" s="838">
        <v>45936</v>
      </c>
      <c r="B361" s="839" t="s">
        <v>390</v>
      </c>
      <c r="C361" s="840" t="s">
        <v>31</v>
      </c>
      <c r="D361" s="839" t="s">
        <v>162</v>
      </c>
      <c r="E361" s="841">
        <v>50</v>
      </c>
      <c r="F361" s="839" t="s">
        <v>729</v>
      </c>
      <c r="G361" s="839" t="s">
        <v>126</v>
      </c>
      <c r="I361" t="s">
        <v>317</v>
      </c>
      <c r="J361" t="s">
        <v>226</v>
      </c>
    </row>
    <row r="362" spans="1:10" ht="13.5" customHeight="1" x14ac:dyDescent="0.35">
      <c r="A362" s="838">
        <v>45936</v>
      </c>
      <c r="B362" s="839" t="s">
        <v>402</v>
      </c>
      <c r="C362" s="840" t="s">
        <v>47</v>
      </c>
      <c r="D362" s="839" t="s">
        <v>159</v>
      </c>
      <c r="E362" s="841">
        <v>50</v>
      </c>
      <c r="F362" s="839" t="s">
        <v>360</v>
      </c>
      <c r="G362" s="839" t="s">
        <v>175</v>
      </c>
      <c r="I362" t="s">
        <v>268</v>
      </c>
      <c r="J362" t="s">
        <v>269</v>
      </c>
    </row>
    <row r="363" spans="1:10" ht="13.5" customHeight="1" x14ac:dyDescent="0.35">
      <c r="A363" s="838">
        <v>45932</v>
      </c>
      <c r="B363" s="839" t="s">
        <v>731</v>
      </c>
      <c r="C363" s="840" t="s">
        <v>47</v>
      </c>
      <c r="D363" s="839" t="s">
        <v>159</v>
      </c>
      <c r="E363" s="841">
        <v>170</v>
      </c>
      <c r="F363" s="839" t="s">
        <v>313</v>
      </c>
      <c r="G363" s="839" t="s">
        <v>176</v>
      </c>
      <c r="I363" t="s">
        <v>314</v>
      </c>
      <c r="J363" t="s">
        <v>269</v>
      </c>
    </row>
    <row r="364" spans="1:10" ht="13.5" customHeight="1" x14ac:dyDescent="0.35">
      <c r="A364" s="838">
        <v>45931</v>
      </c>
      <c r="B364" s="839" t="s">
        <v>732</v>
      </c>
      <c r="C364" s="840" t="s">
        <v>47</v>
      </c>
      <c r="D364" s="839" t="s">
        <v>159</v>
      </c>
      <c r="E364" s="841">
        <v>65</v>
      </c>
      <c r="F364" s="839" t="s">
        <v>621</v>
      </c>
      <c r="G364" s="839" t="s">
        <v>175</v>
      </c>
      <c r="I364" t="s">
        <v>205</v>
      </c>
      <c r="J364" t="s">
        <v>206</v>
      </c>
    </row>
    <row r="365" spans="1:10" ht="13.5" customHeight="1" x14ac:dyDescent="0.35">
      <c r="A365" s="838">
        <v>45931</v>
      </c>
      <c r="B365" s="839" t="s">
        <v>733</v>
      </c>
      <c r="C365" s="840" t="s">
        <v>50</v>
      </c>
      <c r="D365" s="839" t="s">
        <v>159</v>
      </c>
      <c r="E365" s="841">
        <v>65</v>
      </c>
      <c r="F365" s="839" t="s">
        <v>734</v>
      </c>
      <c r="G365" s="839" t="s">
        <v>174</v>
      </c>
      <c r="I365" t="s">
        <v>210</v>
      </c>
      <c r="J365" t="s">
        <v>211</v>
      </c>
    </row>
    <row r="366" spans="1:10" ht="13.5" customHeight="1" x14ac:dyDescent="0.35">
      <c r="A366" s="838">
        <v>45931</v>
      </c>
      <c r="B366" s="839" t="s">
        <v>735</v>
      </c>
      <c r="C366" s="840" t="s">
        <v>62</v>
      </c>
      <c r="D366" s="839" t="s">
        <v>159</v>
      </c>
      <c r="E366" s="841">
        <v>25</v>
      </c>
      <c r="F366" s="839" t="s">
        <v>697</v>
      </c>
      <c r="G366" s="839" t="s">
        <v>174</v>
      </c>
      <c r="I366" t="s">
        <v>201</v>
      </c>
      <c r="J366" t="s">
        <v>202</v>
      </c>
    </row>
    <row r="367" spans="1:10" ht="13.5" customHeight="1" x14ac:dyDescent="0.35">
      <c r="A367" s="838">
        <v>45931</v>
      </c>
      <c r="B367" s="839" t="s">
        <v>292</v>
      </c>
      <c r="C367" s="840" t="s">
        <v>44</v>
      </c>
      <c r="D367" s="839" t="s">
        <v>159</v>
      </c>
      <c r="E367" s="841">
        <v>35</v>
      </c>
      <c r="F367" s="839" t="s">
        <v>292</v>
      </c>
      <c r="G367" s="839" t="s">
        <v>175</v>
      </c>
      <c r="I367" t="s">
        <v>294</v>
      </c>
      <c r="J367" t="s">
        <v>295</v>
      </c>
    </row>
    <row r="368" spans="1:10" ht="13.5" customHeight="1" x14ac:dyDescent="0.35">
      <c r="A368" s="838"/>
      <c r="B368" s="839"/>
      <c r="C368" s="840"/>
      <c r="D368" s="839"/>
      <c r="E368" s="841"/>
      <c r="F368" s="839"/>
      <c r="G368" s="839"/>
    </row>
    <row r="369" spans="1:10" ht="13.5" customHeight="1" x14ac:dyDescent="0.35">
      <c r="A369" s="838">
        <v>45928</v>
      </c>
      <c r="B369" s="839" t="s">
        <v>736</v>
      </c>
      <c r="C369" s="840" t="s">
        <v>62</v>
      </c>
      <c r="D369" s="839" t="s">
        <v>159</v>
      </c>
      <c r="E369" s="841">
        <v>25</v>
      </c>
      <c r="F369" s="839" t="s">
        <v>697</v>
      </c>
      <c r="G369" s="839" t="s">
        <v>174</v>
      </c>
      <c r="I369" t="s">
        <v>201</v>
      </c>
      <c r="J369" t="s">
        <v>202</v>
      </c>
    </row>
    <row r="370" spans="1:10" ht="13.5" customHeight="1" x14ac:dyDescent="0.35">
      <c r="A370" s="838">
        <v>45926</v>
      </c>
      <c r="B370" s="839" t="s">
        <v>737</v>
      </c>
      <c r="C370" s="840" t="s">
        <v>31</v>
      </c>
      <c r="D370" s="839" t="s">
        <v>162</v>
      </c>
      <c r="E370" s="841">
        <v>125</v>
      </c>
      <c r="F370" s="839" t="s">
        <v>738</v>
      </c>
      <c r="G370" s="839" t="s">
        <v>126</v>
      </c>
      <c r="I370" t="s">
        <v>739</v>
      </c>
      <c r="J370" t="s">
        <v>226</v>
      </c>
    </row>
    <row r="371" spans="1:10" ht="13.5" customHeight="1" x14ac:dyDescent="0.35">
      <c r="A371" s="838">
        <v>45926</v>
      </c>
      <c r="B371" s="839" t="s">
        <v>740</v>
      </c>
      <c r="C371" s="840" t="s">
        <v>31</v>
      </c>
      <c r="D371" s="839" t="s">
        <v>162</v>
      </c>
      <c r="E371" s="841">
        <v>125</v>
      </c>
      <c r="F371" s="839" t="s">
        <v>738</v>
      </c>
      <c r="G371" s="839" t="s">
        <v>126</v>
      </c>
      <c r="I371" t="s">
        <v>739</v>
      </c>
      <c r="J371" t="s">
        <v>226</v>
      </c>
    </row>
    <row r="372" spans="1:10" ht="13.5" customHeight="1" x14ac:dyDescent="0.35">
      <c r="A372" s="838">
        <v>45925</v>
      </c>
      <c r="B372" s="839" t="s">
        <v>741</v>
      </c>
      <c r="C372" s="840" t="s">
        <v>62</v>
      </c>
      <c r="D372" s="839" t="s">
        <v>159</v>
      </c>
      <c r="E372" s="841">
        <v>25</v>
      </c>
      <c r="F372" s="839" t="s">
        <v>697</v>
      </c>
      <c r="G372" s="839" t="s">
        <v>174</v>
      </c>
      <c r="I372" t="s">
        <v>201</v>
      </c>
      <c r="J372" t="s">
        <v>202</v>
      </c>
    </row>
    <row r="373" spans="1:10" ht="13.5" customHeight="1" x14ac:dyDescent="0.35">
      <c r="A373" s="838">
        <v>45923</v>
      </c>
      <c r="B373" s="839" t="s">
        <v>89</v>
      </c>
      <c r="C373" s="840" t="s">
        <v>56</v>
      </c>
      <c r="D373" s="839" t="s">
        <v>160</v>
      </c>
      <c r="E373" s="841">
        <v>14.48</v>
      </c>
      <c r="F373" s="839" t="s">
        <v>284</v>
      </c>
      <c r="G373" s="839" t="s">
        <v>89</v>
      </c>
      <c r="I373" t="s">
        <v>285</v>
      </c>
      <c r="J373" t="s">
        <v>286</v>
      </c>
    </row>
    <row r="374" spans="1:10" ht="13.5" customHeight="1" x14ac:dyDescent="0.35">
      <c r="A374" s="838">
        <v>45922</v>
      </c>
      <c r="B374" s="839" t="s">
        <v>351</v>
      </c>
      <c r="C374" s="840" t="s">
        <v>37</v>
      </c>
      <c r="D374" s="839" t="s">
        <v>159</v>
      </c>
      <c r="E374" s="841">
        <v>1200</v>
      </c>
      <c r="F374" s="839" t="s">
        <v>742</v>
      </c>
      <c r="G374" s="839" t="s">
        <v>175</v>
      </c>
      <c r="I374" t="s">
        <v>353</v>
      </c>
      <c r="J374" t="s">
        <v>354</v>
      </c>
    </row>
    <row r="375" spans="1:10" ht="13.5" customHeight="1" x14ac:dyDescent="0.35">
      <c r="A375" s="838">
        <v>45921</v>
      </c>
      <c r="B375" s="839" t="s">
        <v>743</v>
      </c>
      <c r="C375" s="840" t="s">
        <v>31</v>
      </c>
      <c r="D375" s="839" t="s">
        <v>159</v>
      </c>
      <c r="E375" s="841">
        <v>50</v>
      </c>
      <c r="F375" s="839" t="s">
        <v>744</v>
      </c>
      <c r="G375" s="839" t="s">
        <v>174</v>
      </c>
      <c r="I375" t="s">
        <v>244</v>
      </c>
      <c r="J375" t="s">
        <v>226</v>
      </c>
    </row>
    <row r="376" spans="1:10" ht="13.5" customHeight="1" x14ac:dyDescent="0.35">
      <c r="A376" s="838">
        <v>45918</v>
      </c>
      <c r="B376" s="839" t="s">
        <v>745</v>
      </c>
      <c r="C376" s="840" t="s">
        <v>31</v>
      </c>
      <c r="D376" s="839" t="s">
        <v>159</v>
      </c>
      <c r="E376" s="841">
        <v>50</v>
      </c>
      <c r="F376" s="839" t="s">
        <v>744</v>
      </c>
      <c r="G376" s="839" t="s">
        <v>176</v>
      </c>
      <c r="I376" t="s">
        <v>244</v>
      </c>
      <c r="J376" t="s">
        <v>226</v>
      </c>
    </row>
    <row r="377" spans="1:10" ht="13.5" customHeight="1" x14ac:dyDescent="0.35">
      <c r="A377" s="838">
        <v>45916</v>
      </c>
      <c r="B377" s="839" t="s">
        <v>746</v>
      </c>
      <c r="C377" s="840" t="s">
        <v>47</v>
      </c>
      <c r="D377" s="839" t="s">
        <v>159</v>
      </c>
      <c r="E377" s="841">
        <v>95</v>
      </c>
      <c r="F377" s="839" t="s">
        <v>747</v>
      </c>
      <c r="G377" s="839" t="s">
        <v>174</v>
      </c>
      <c r="I377" t="s">
        <v>678</v>
      </c>
      <c r="J377" t="s">
        <v>679</v>
      </c>
    </row>
    <row r="378" spans="1:10" ht="13.5" customHeight="1" x14ac:dyDescent="0.35">
      <c r="A378" s="838">
        <v>45914</v>
      </c>
      <c r="B378" s="839" t="s">
        <v>748</v>
      </c>
      <c r="C378" s="840" t="s">
        <v>62</v>
      </c>
      <c r="D378" s="839" t="s">
        <v>159</v>
      </c>
      <c r="E378" s="841">
        <v>20</v>
      </c>
      <c r="F378" s="839" t="s">
        <v>749</v>
      </c>
      <c r="G378" s="839" t="s">
        <v>174</v>
      </c>
      <c r="I378" t="s">
        <v>201</v>
      </c>
      <c r="J378" t="s">
        <v>202</v>
      </c>
    </row>
    <row r="379" spans="1:10" ht="13.5" customHeight="1" x14ac:dyDescent="0.35">
      <c r="A379" s="838">
        <v>45914</v>
      </c>
      <c r="B379" s="839" t="s">
        <v>750</v>
      </c>
      <c r="C379" s="840" t="s">
        <v>62</v>
      </c>
      <c r="D379" s="839" t="s">
        <v>160</v>
      </c>
      <c r="E379" s="841">
        <v>20</v>
      </c>
      <c r="F379" s="839" t="s">
        <v>749</v>
      </c>
      <c r="G379" s="839" t="s">
        <v>174</v>
      </c>
      <c r="I379" t="s">
        <v>201</v>
      </c>
      <c r="J379" t="s">
        <v>202</v>
      </c>
    </row>
    <row r="380" spans="1:10" ht="13.5" customHeight="1" x14ac:dyDescent="0.35">
      <c r="A380" s="838">
        <v>45911</v>
      </c>
      <c r="B380" s="839" t="s">
        <v>751</v>
      </c>
      <c r="C380" s="840" t="s">
        <v>62</v>
      </c>
      <c r="D380" s="839" t="s">
        <v>160</v>
      </c>
      <c r="E380" s="841">
        <v>25</v>
      </c>
      <c r="F380" s="839" t="s">
        <v>697</v>
      </c>
      <c r="G380" s="839" t="s">
        <v>174</v>
      </c>
      <c r="I380" t="s">
        <v>201</v>
      </c>
      <c r="J380" t="s">
        <v>202</v>
      </c>
    </row>
    <row r="381" spans="1:10" ht="13.5" customHeight="1" x14ac:dyDescent="0.35">
      <c r="A381" s="838">
        <v>45913</v>
      </c>
      <c r="B381" s="839" t="s">
        <v>752</v>
      </c>
      <c r="C381" s="840" t="s">
        <v>62</v>
      </c>
      <c r="D381" s="839" t="s">
        <v>159</v>
      </c>
      <c r="E381" s="841">
        <v>30</v>
      </c>
      <c r="F381" s="839" t="s">
        <v>753</v>
      </c>
      <c r="G381" s="839" t="s">
        <v>174</v>
      </c>
      <c r="I381" t="s">
        <v>725</v>
      </c>
      <c r="J381" t="s">
        <v>726</v>
      </c>
    </row>
    <row r="382" spans="1:10" ht="13.5" customHeight="1" x14ac:dyDescent="0.35">
      <c r="A382" s="838">
        <v>45912</v>
      </c>
      <c r="B382" s="839" t="s">
        <v>290</v>
      </c>
      <c r="C382" s="840" t="s">
        <v>62</v>
      </c>
      <c r="D382" s="839" t="s">
        <v>159</v>
      </c>
      <c r="E382" s="841">
        <v>20</v>
      </c>
      <c r="F382" s="839" t="s">
        <v>749</v>
      </c>
      <c r="G382" s="839" t="s">
        <v>174</v>
      </c>
      <c r="I382" t="s">
        <v>201</v>
      </c>
      <c r="J382" t="s">
        <v>202</v>
      </c>
    </row>
    <row r="383" spans="1:10" ht="13.5" customHeight="1" x14ac:dyDescent="0.35">
      <c r="A383" s="838">
        <v>45912</v>
      </c>
      <c r="B383" s="839" t="s">
        <v>309</v>
      </c>
      <c r="C383" s="840" t="s">
        <v>47</v>
      </c>
      <c r="D383" s="839" t="s">
        <v>159</v>
      </c>
      <c r="E383" s="841">
        <v>300</v>
      </c>
      <c r="F383" s="839" t="s">
        <v>403</v>
      </c>
      <c r="G383" s="839" t="s">
        <v>175</v>
      </c>
      <c r="I383" t="s">
        <v>342</v>
      </c>
      <c r="J383" t="s">
        <v>269</v>
      </c>
    </row>
    <row r="384" spans="1:10" ht="13.5" customHeight="1" x14ac:dyDescent="0.35">
      <c r="A384" s="838">
        <v>45910</v>
      </c>
      <c r="B384" s="839" t="s">
        <v>754</v>
      </c>
      <c r="C384" s="840" t="s">
        <v>62</v>
      </c>
      <c r="D384" s="839" t="s">
        <v>159</v>
      </c>
      <c r="E384" s="841">
        <v>20</v>
      </c>
      <c r="F384" s="839" t="s">
        <v>749</v>
      </c>
      <c r="G384" s="839" t="s">
        <v>174</v>
      </c>
      <c r="I384" t="s">
        <v>201</v>
      </c>
      <c r="J384" t="s">
        <v>202</v>
      </c>
    </row>
    <row r="385" spans="1:10" ht="13.5" customHeight="1" x14ac:dyDescent="0.35">
      <c r="A385" s="838">
        <v>45909</v>
      </c>
      <c r="B385" s="839" t="s">
        <v>755</v>
      </c>
      <c r="C385" s="840" t="s">
        <v>50</v>
      </c>
      <c r="D385" s="839" t="s">
        <v>159</v>
      </c>
      <c r="E385" s="841">
        <v>150</v>
      </c>
      <c r="F385" s="839" t="s">
        <v>734</v>
      </c>
      <c r="G385" s="839" t="s">
        <v>174</v>
      </c>
      <c r="I385" t="s">
        <v>210</v>
      </c>
      <c r="J385" t="s">
        <v>211</v>
      </c>
    </row>
    <row r="386" spans="1:10" ht="13.5" customHeight="1" x14ac:dyDescent="0.35">
      <c r="A386" s="838">
        <v>45909</v>
      </c>
      <c r="B386" s="839" t="s">
        <v>756</v>
      </c>
      <c r="C386" s="840" t="s">
        <v>31</v>
      </c>
      <c r="D386" s="839" t="s">
        <v>159</v>
      </c>
      <c r="E386" s="841">
        <v>145</v>
      </c>
      <c r="F386" s="839" t="s">
        <v>757</v>
      </c>
      <c r="G386" s="839" t="s">
        <v>175</v>
      </c>
      <c r="I386" t="s">
        <v>758</v>
      </c>
      <c r="J386" t="s">
        <v>222</v>
      </c>
    </row>
    <row r="387" spans="1:10" ht="13.5" customHeight="1" x14ac:dyDescent="0.35">
      <c r="A387" s="838">
        <v>45908</v>
      </c>
      <c r="B387" s="839" t="s">
        <v>759</v>
      </c>
      <c r="C387" s="840" t="s">
        <v>31</v>
      </c>
      <c r="D387" s="839" t="s">
        <v>160</v>
      </c>
      <c r="E387" s="841">
        <v>50</v>
      </c>
      <c r="F387" s="839" t="s">
        <v>744</v>
      </c>
      <c r="G387" s="839" t="s">
        <v>175</v>
      </c>
      <c r="I387" t="s">
        <v>244</v>
      </c>
      <c r="J387" t="s">
        <v>226</v>
      </c>
    </row>
    <row r="388" spans="1:10" ht="13.5" customHeight="1" x14ac:dyDescent="0.35">
      <c r="A388" s="838">
        <v>45908</v>
      </c>
      <c r="B388" s="839" t="s">
        <v>760</v>
      </c>
      <c r="C388" s="840" t="s">
        <v>62</v>
      </c>
      <c r="D388" s="839" t="s">
        <v>159</v>
      </c>
      <c r="E388" s="841">
        <v>20</v>
      </c>
      <c r="F388" s="839" t="s">
        <v>749</v>
      </c>
      <c r="G388" s="839" t="s">
        <v>174</v>
      </c>
      <c r="I388" t="s">
        <v>201</v>
      </c>
      <c r="J388" t="s">
        <v>202</v>
      </c>
    </row>
    <row r="389" spans="1:10" ht="13.5" customHeight="1" x14ac:dyDescent="0.35">
      <c r="A389" s="838">
        <v>45906</v>
      </c>
      <c r="B389" s="839" t="s">
        <v>761</v>
      </c>
      <c r="C389" s="840" t="s">
        <v>31</v>
      </c>
      <c r="D389" s="839" t="s">
        <v>162</v>
      </c>
      <c r="E389" s="841">
        <v>150</v>
      </c>
      <c r="F389" s="839" t="s">
        <v>762</v>
      </c>
      <c r="G389" s="839" t="s">
        <v>126</v>
      </c>
      <c r="I389" t="s">
        <v>282</v>
      </c>
      <c r="J389" t="s">
        <v>226</v>
      </c>
    </row>
    <row r="390" spans="1:10" ht="13.5" customHeight="1" x14ac:dyDescent="0.35">
      <c r="A390" s="838">
        <v>45906</v>
      </c>
      <c r="B390" s="839" t="s">
        <v>763</v>
      </c>
      <c r="C390" s="840" t="s">
        <v>31</v>
      </c>
      <c r="D390" s="839" t="s">
        <v>162</v>
      </c>
      <c r="E390" s="841">
        <v>150</v>
      </c>
      <c r="F390" s="839" t="s">
        <v>762</v>
      </c>
      <c r="G390" s="839" t="s">
        <v>126</v>
      </c>
      <c r="I390" t="s">
        <v>282</v>
      </c>
      <c r="J390" t="s">
        <v>226</v>
      </c>
    </row>
    <row r="391" spans="1:10" ht="13.5" customHeight="1" x14ac:dyDescent="0.35">
      <c r="A391" s="838">
        <v>45906</v>
      </c>
      <c r="B391" s="839" t="s">
        <v>764</v>
      </c>
      <c r="C391" s="840" t="s">
        <v>31</v>
      </c>
      <c r="D391" s="839" t="s">
        <v>162</v>
      </c>
      <c r="E391" s="841">
        <v>150</v>
      </c>
      <c r="F391" s="839" t="s">
        <v>762</v>
      </c>
      <c r="G391" s="839" t="s">
        <v>126</v>
      </c>
      <c r="I391" t="s">
        <v>282</v>
      </c>
      <c r="J391" t="s">
        <v>226</v>
      </c>
    </row>
    <row r="392" spans="1:10" ht="13.5" customHeight="1" x14ac:dyDescent="0.35">
      <c r="A392" s="838">
        <v>45906</v>
      </c>
      <c r="B392" s="839" t="s">
        <v>765</v>
      </c>
      <c r="C392" s="840" t="s">
        <v>31</v>
      </c>
      <c r="D392" s="839" t="s">
        <v>162</v>
      </c>
      <c r="E392" s="841">
        <v>150</v>
      </c>
      <c r="F392" s="839" t="s">
        <v>762</v>
      </c>
      <c r="G392" s="839" t="s">
        <v>126</v>
      </c>
      <c r="I392" t="s">
        <v>282</v>
      </c>
      <c r="J392" t="s">
        <v>226</v>
      </c>
    </row>
    <row r="393" spans="1:10" ht="13.5" customHeight="1" x14ac:dyDescent="0.35">
      <c r="A393" s="838">
        <v>45906</v>
      </c>
      <c r="B393" s="839" t="s">
        <v>766</v>
      </c>
      <c r="C393" s="840" t="s">
        <v>31</v>
      </c>
      <c r="D393" s="839" t="s">
        <v>162</v>
      </c>
      <c r="E393" s="841">
        <v>150</v>
      </c>
      <c r="F393" s="839" t="s">
        <v>762</v>
      </c>
      <c r="G393" s="839" t="s">
        <v>126</v>
      </c>
      <c r="I393" t="s">
        <v>282</v>
      </c>
      <c r="J393" t="s">
        <v>226</v>
      </c>
    </row>
    <row r="394" spans="1:10" ht="13.5" customHeight="1" x14ac:dyDescent="0.35">
      <c r="A394" s="838">
        <v>45906</v>
      </c>
      <c r="B394" s="839" t="s">
        <v>767</v>
      </c>
      <c r="C394" s="840" t="s">
        <v>31</v>
      </c>
      <c r="D394" s="839" t="s">
        <v>162</v>
      </c>
      <c r="E394" s="841">
        <v>150</v>
      </c>
      <c r="F394" s="839" t="s">
        <v>762</v>
      </c>
      <c r="G394" s="839" t="s">
        <v>126</v>
      </c>
      <c r="I394" t="s">
        <v>282</v>
      </c>
      <c r="J394" t="s">
        <v>226</v>
      </c>
    </row>
    <row r="395" spans="1:10" ht="13.5" customHeight="1" x14ac:dyDescent="0.35">
      <c r="A395" s="838">
        <v>45906</v>
      </c>
      <c r="B395" s="839" t="s">
        <v>768</v>
      </c>
      <c r="C395" s="840" t="s">
        <v>31</v>
      </c>
      <c r="D395" s="839" t="s">
        <v>162</v>
      </c>
      <c r="E395" s="841">
        <v>150</v>
      </c>
      <c r="F395" s="839" t="s">
        <v>762</v>
      </c>
      <c r="G395" s="839" t="s">
        <v>126</v>
      </c>
      <c r="I395" t="s">
        <v>282</v>
      </c>
      <c r="J395" t="s">
        <v>226</v>
      </c>
    </row>
    <row r="396" spans="1:10" ht="13.5" customHeight="1" x14ac:dyDescent="0.35">
      <c r="A396" s="838">
        <v>45906</v>
      </c>
      <c r="B396" s="839" t="s">
        <v>769</v>
      </c>
      <c r="C396" s="840" t="s">
        <v>31</v>
      </c>
      <c r="D396" s="839" t="s">
        <v>159</v>
      </c>
      <c r="E396" s="841">
        <v>99</v>
      </c>
      <c r="F396" s="839" t="s">
        <v>177</v>
      </c>
      <c r="G396" s="839" t="s">
        <v>177</v>
      </c>
      <c r="I396" t="s">
        <v>210</v>
      </c>
      <c r="J396" t="s">
        <v>211</v>
      </c>
    </row>
    <row r="397" spans="1:10" ht="13.5" customHeight="1" x14ac:dyDescent="0.35">
      <c r="A397" s="838">
        <v>45905</v>
      </c>
      <c r="B397" s="839" t="s">
        <v>770</v>
      </c>
      <c r="C397" s="840" t="s">
        <v>31</v>
      </c>
      <c r="D397" s="839" t="s">
        <v>159</v>
      </c>
      <c r="E397" s="841">
        <v>150</v>
      </c>
      <c r="F397" s="839" t="s">
        <v>177</v>
      </c>
      <c r="G397" s="839" t="s">
        <v>177</v>
      </c>
      <c r="I397" t="s">
        <v>210</v>
      </c>
      <c r="J397" t="s">
        <v>211</v>
      </c>
    </row>
    <row r="398" spans="1:10" ht="13.5" customHeight="1" x14ac:dyDescent="0.35">
      <c r="A398" s="838">
        <v>45905</v>
      </c>
      <c r="B398" s="839" t="s">
        <v>771</v>
      </c>
      <c r="C398" s="840" t="s">
        <v>35</v>
      </c>
      <c r="D398" s="839" t="s">
        <v>159</v>
      </c>
      <c r="E398" s="841">
        <v>750</v>
      </c>
      <c r="F398" s="839" t="s">
        <v>468</v>
      </c>
      <c r="G398" s="839" t="s">
        <v>174</v>
      </c>
      <c r="I398" t="s">
        <v>221</v>
      </c>
      <c r="J398" t="s">
        <v>222</v>
      </c>
    </row>
    <row r="399" spans="1:10" ht="13.5" customHeight="1" x14ac:dyDescent="0.35">
      <c r="A399" s="838">
        <v>45905</v>
      </c>
      <c r="B399" s="839" t="s">
        <v>772</v>
      </c>
      <c r="C399" s="840" t="s">
        <v>47</v>
      </c>
      <c r="D399" s="839" t="s">
        <v>159</v>
      </c>
      <c r="E399" s="841">
        <v>360</v>
      </c>
      <c r="F399" s="839" t="s">
        <v>773</v>
      </c>
      <c r="G399" s="839" t="s">
        <v>174</v>
      </c>
      <c r="I399" t="s">
        <v>774</v>
      </c>
      <c r="J399" t="s">
        <v>206</v>
      </c>
    </row>
    <row r="400" spans="1:10" ht="13.5" customHeight="1" x14ac:dyDescent="0.35">
      <c r="A400" s="838">
        <v>45905</v>
      </c>
      <c r="B400" s="839" t="s">
        <v>775</v>
      </c>
      <c r="C400" s="840" t="s">
        <v>62</v>
      </c>
      <c r="D400" s="839" t="s">
        <v>159</v>
      </c>
      <c r="E400" s="841">
        <v>25</v>
      </c>
      <c r="F400" s="839" t="s">
        <v>697</v>
      </c>
      <c r="G400" s="839" t="s">
        <v>174</v>
      </c>
      <c r="I400" t="s">
        <v>201</v>
      </c>
      <c r="J400" t="s">
        <v>202</v>
      </c>
    </row>
    <row r="401" spans="1:10" ht="13.5" customHeight="1" x14ac:dyDescent="0.35">
      <c r="A401" s="838">
        <v>45904</v>
      </c>
      <c r="B401" s="839" t="s">
        <v>327</v>
      </c>
      <c r="C401" s="840" t="s">
        <v>31</v>
      </c>
      <c r="D401" s="839" t="s">
        <v>159</v>
      </c>
      <c r="E401" s="841">
        <v>50</v>
      </c>
      <c r="F401" s="839" t="s">
        <v>744</v>
      </c>
      <c r="G401" s="839" t="s">
        <v>175</v>
      </c>
      <c r="I401" t="s">
        <v>244</v>
      </c>
      <c r="J401" t="s">
        <v>226</v>
      </c>
    </row>
    <row r="402" spans="1:10" ht="13.5" customHeight="1" x14ac:dyDescent="0.35">
      <c r="A402" s="838">
        <v>45901</v>
      </c>
      <c r="B402" s="839" t="s">
        <v>776</v>
      </c>
      <c r="C402" s="840" t="s">
        <v>62</v>
      </c>
      <c r="D402" s="839" t="s">
        <v>160</v>
      </c>
      <c r="E402" s="841">
        <v>25</v>
      </c>
      <c r="F402" s="839" t="s">
        <v>777</v>
      </c>
      <c r="G402" s="839" t="s">
        <v>174</v>
      </c>
      <c r="I402" t="s">
        <v>201</v>
      </c>
      <c r="J402" t="s">
        <v>202</v>
      </c>
    </row>
    <row r="403" spans="1:10" ht="13.5" customHeight="1" x14ac:dyDescent="0.35">
      <c r="A403" s="838">
        <v>45901</v>
      </c>
      <c r="B403" s="839" t="s">
        <v>778</v>
      </c>
      <c r="C403" s="840" t="s">
        <v>62</v>
      </c>
      <c r="D403" s="839" t="s">
        <v>159</v>
      </c>
      <c r="E403" s="841">
        <v>55</v>
      </c>
      <c r="F403" s="839" t="s">
        <v>779</v>
      </c>
      <c r="G403" s="839" t="s">
        <v>174</v>
      </c>
      <c r="I403" t="s">
        <v>201</v>
      </c>
      <c r="J403" t="s">
        <v>202</v>
      </c>
    </row>
    <row r="404" spans="1:10" ht="13.5" customHeight="1" x14ac:dyDescent="0.35">
      <c r="A404" s="838">
        <v>45901</v>
      </c>
      <c r="B404" s="839" t="s">
        <v>292</v>
      </c>
      <c r="C404" s="840" t="s">
        <v>44</v>
      </c>
      <c r="D404" s="839" t="s">
        <v>159</v>
      </c>
      <c r="E404" s="841">
        <v>35</v>
      </c>
      <c r="F404" s="839" t="s">
        <v>292</v>
      </c>
      <c r="G404" s="839" t="s">
        <v>175</v>
      </c>
      <c r="I404" t="s">
        <v>294</v>
      </c>
      <c r="J404" t="s">
        <v>295</v>
      </c>
    </row>
    <row r="405" spans="1:10" ht="13.5" customHeight="1" x14ac:dyDescent="0.35">
      <c r="A405" s="838"/>
      <c r="B405" s="839"/>
      <c r="C405" s="840"/>
      <c r="D405" s="839"/>
      <c r="E405" s="841"/>
      <c r="F405" s="839"/>
      <c r="G405" s="839"/>
    </row>
    <row r="406" spans="1:10" ht="13.5" customHeight="1" x14ac:dyDescent="0.35">
      <c r="A406" s="838">
        <v>45898</v>
      </c>
      <c r="B406" s="839" t="s">
        <v>780</v>
      </c>
      <c r="C406" s="840" t="s">
        <v>35</v>
      </c>
      <c r="D406" s="839" t="s">
        <v>159</v>
      </c>
      <c r="E406" s="841">
        <v>82.4</v>
      </c>
      <c r="F406" s="839" t="s">
        <v>781</v>
      </c>
      <c r="G406" s="839" t="s">
        <v>175</v>
      </c>
      <c r="I406" t="s">
        <v>758</v>
      </c>
      <c r="J406" t="s">
        <v>222</v>
      </c>
    </row>
    <row r="407" spans="1:10" ht="13.5" customHeight="1" x14ac:dyDescent="0.35">
      <c r="A407" s="838">
        <v>45897</v>
      </c>
      <c r="B407" s="839" t="s">
        <v>782</v>
      </c>
      <c r="C407" s="840" t="s">
        <v>31</v>
      </c>
      <c r="D407" s="839" t="s">
        <v>159</v>
      </c>
      <c r="E407" s="841">
        <v>50</v>
      </c>
      <c r="F407" s="839" t="s">
        <v>783</v>
      </c>
      <c r="G407" s="839" t="s">
        <v>174</v>
      </c>
      <c r="I407" t="s">
        <v>317</v>
      </c>
      <c r="J407" t="s">
        <v>226</v>
      </c>
    </row>
    <row r="408" spans="1:10" ht="13.5" customHeight="1" x14ac:dyDescent="0.35">
      <c r="A408" s="838">
        <v>45896</v>
      </c>
      <c r="B408" s="839" t="s">
        <v>784</v>
      </c>
      <c r="C408" s="840" t="s">
        <v>31</v>
      </c>
      <c r="D408" s="839" t="s">
        <v>159</v>
      </c>
      <c r="E408" s="841">
        <v>15</v>
      </c>
      <c r="F408" s="839" t="s">
        <v>785</v>
      </c>
      <c r="G408" s="839" t="s">
        <v>175</v>
      </c>
      <c r="I408" t="s">
        <v>325</v>
      </c>
      <c r="J408" t="s">
        <v>226</v>
      </c>
    </row>
    <row r="409" spans="1:10" ht="13.5" customHeight="1" x14ac:dyDescent="0.35">
      <c r="A409" s="838">
        <v>45891</v>
      </c>
      <c r="B409" s="839" t="s">
        <v>786</v>
      </c>
      <c r="C409" s="840" t="s">
        <v>31</v>
      </c>
      <c r="D409" s="839" t="s">
        <v>159</v>
      </c>
      <c r="E409" s="841">
        <v>50</v>
      </c>
      <c r="F409" s="839" t="s">
        <v>783</v>
      </c>
      <c r="G409" s="839" t="s">
        <v>174</v>
      </c>
      <c r="I409" t="s">
        <v>317</v>
      </c>
      <c r="J409" t="s">
        <v>226</v>
      </c>
    </row>
    <row r="410" spans="1:10" ht="13.5" customHeight="1" x14ac:dyDescent="0.35">
      <c r="A410" s="838">
        <v>45891</v>
      </c>
      <c r="B410" s="839" t="s">
        <v>787</v>
      </c>
      <c r="C410" s="840" t="s">
        <v>31</v>
      </c>
      <c r="D410" s="839" t="s">
        <v>162</v>
      </c>
      <c r="E410" s="841">
        <v>95</v>
      </c>
      <c r="F410" s="839" t="s">
        <v>788</v>
      </c>
      <c r="G410" s="839" t="s">
        <v>126</v>
      </c>
      <c r="I410" t="s">
        <v>378</v>
      </c>
      <c r="J410" t="s">
        <v>226</v>
      </c>
    </row>
    <row r="411" spans="1:10" ht="13.5" customHeight="1" x14ac:dyDescent="0.35">
      <c r="A411" s="838">
        <v>45890</v>
      </c>
      <c r="B411" s="839" t="s">
        <v>676</v>
      </c>
      <c r="C411" s="840" t="s">
        <v>31</v>
      </c>
      <c r="D411" s="839" t="s">
        <v>159</v>
      </c>
      <c r="E411" s="841">
        <v>50</v>
      </c>
      <c r="F411" s="839" t="s">
        <v>783</v>
      </c>
      <c r="G411" s="839" t="s">
        <v>175</v>
      </c>
      <c r="I411" t="s">
        <v>317</v>
      </c>
      <c r="J411" t="s">
        <v>226</v>
      </c>
    </row>
    <row r="412" spans="1:10" ht="13.5" customHeight="1" x14ac:dyDescent="0.35">
      <c r="A412" s="838">
        <v>45889</v>
      </c>
      <c r="B412" s="839" t="s">
        <v>789</v>
      </c>
      <c r="C412" s="840" t="s">
        <v>31</v>
      </c>
      <c r="D412" s="839" t="s">
        <v>159</v>
      </c>
      <c r="E412" s="841">
        <v>50</v>
      </c>
      <c r="F412" s="839" t="s">
        <v>472</v>
      </c>
      <c r="G412" s="839" t="s">
        <v>174</v>
      </c>
      <c r="I412" t="s">
        <v>380</v>
      </c>
      <c r="J412" t="s">
        <v>226</v>
      </c>
    </row>
    <row r="413" spans="1:10" ht="13.5" customHeight="1" x14ac:dyDescent="0.35">
      <c r="A413" s="838">
        <v>45888</v>
      </c>
      <c r="B413" s="839" t="s">
        <v>790</v>
      </c>
      <c r="C413" s="840" t="s">
        <v>59</v>
      </c>
      <c r="D413" s="839" t="s">
        <v>162</v>
      </c>
      <c r="E413" s="841">
        <v>75</v>
      </c>
      <c r="F413" s="839" t="s">
        <v>791</v>
      </c>
      <c r="G413" s="839" t="s">
        <v>174</v>
      </c>
      <c r="I413" t="s">
        <v>320</v>
      </c>
      <c r="J413" t="s">
        <v>304</v>
      </c>
    </row>
    <row r="414" spans="1:10" ht="13.5" customHeight="1" x14ac:dyDescent="0.35">
      <c r="A414" s="838">
        <v>45887</v>
      </c>
      <c r="B414" s="839" t="s">
        <v>792</v>
      </c>
      <c r="C414" s="840" t="s">
        <v>31</v>
      </c>
      <c r="D414" s="839" t="s">
        <v>162</v>
      </c>
      <c r="E414" s="841">
        <v>120</v>
      </c>
      <c r="F414" s="839" t="s">
        <v>793</v>
      </c>
      <c r="G414" s="839" t="s">
        <v>180</v>
      </c>
      <c r="I414" t="s">
        <v>236</v>
      </c>
      <c r="J414" t="s">
        <v>232</v>
      </c>
    </row>
    <row r="415" spans="1:10" ht="13.5" customHeight="1" x14ac:dyDescent="0.35">
      <c r="A415" s="838">
        <v>45884</v>
      </c>
      <c r="B415" s="839" t="s">
        <v>794</v>
      </c>
      <c r="C415" s="840" t="s">
        <v>62</v>
      </c>
      <c r="D415" s="839" t="s">
        <v>159</v>
      </c>
      <c r="E415" s="841">
        <v>25</v>
      </c>
      <c r="F415" s="839" t="s">
        <v>795</v>
      </c>
      <c r="G415" s="839" t="s">
        <v>174</v>
      </c>
      <c r="I415" t="s">
        <v>201</v>
      </c>
      <c r="J415" t="s">
        <v>202</v>
      </c>
    </row>
    <row r="416" spans="1:10" ht="13.5" customHeight="1" x14ac:dyDescent="0.35">
      <c r="A416" s="838">
        <v>45884</v>
      </c>
      <c r="B416" s="839" t="s">
        <v>796</v>
      </c>
      <c r="C416" s="840" t="s">
        <v>28</v>
      </c>
      <c r="D416" s="839" t="s">
        <v>162</v>
      </c>
      <c r="E416" s="841">
        <v>150</v>
      </c>
      <c r="F416" s="839" t="s">
        <v>580</v>
      </c>
      <c r="G416" s="839" t="s">
        <v>126</v>
      </c>
      <c r="I416" t="s">
        <v>196</v>
      </c>
      <c r="J416" t="s">
        <v>197</v>
      </c>
    </row>
    <row r="417" spans="1:10" ht="13.5" customHeight="1" x14ac:dyDescent="0.35">
      <c r="A417" s="838">
        <v>45884</v>
      </c>
      <c r="B417" s="839" t="s">
        <v>797</v>
      </c>
      <c r="C417" s="840" t="s">
        <v>28</v>
      </c>
      <c r="D417" s="839" t="s">
        <v>162</v>
      </c>
      <c r="E417" s="841">
        <v>150</v>
      </c>
      <c r="F417" s="839" t="s">
        <v>580</v>
      </c>
      <c r="G417" s="839" t="s">
        <v>126</v>
      </c>
      <c r="I417" t="s">
        <v>196</v>
      </c>
      <c r="J417" t="s">
        <v>197</v>
      </c>
    </row>
    <row r="418" spans="1:10" ht="13.5" customHeight="1" x14ac:dyDescent="0.35">
      <c r="A418" s="838">
        <v>45884</v>
      </c>
      <c r="B418" s="839" t="s">
        <v>798</v>
      </c>
      <c r="C418" s="840" t="s">
        <v>28</v>
      </c>
      <c r="D418" s="839" t="s">
        <v>162</v>
      </c>
      <c r="E418" s="841">
        <v>150</v>
      </c>
      <c r="F418" s="839" t="s">
        <v>580</v>
      </c>
      <c r="G418" s="839" t="s">
        <v>126</v>
      </c>
      <c r="I418" t="s">
        <v>196</v>
      </c>
      <c r="J418" t="s">
        <v>197</v>
      </c>
    </row>
    <row r="419" spans="1:10" ht="13.5" customHeight="1" x14ac:dyDescent="0.35">
      <c r="A419" s="838">
        <v>45884</v>
      </c>
      <c r="B419" s="839" t="s">
        <v>799</v>
      </c>
      <c r="C419" s="840" t="s">
        <v>28</v>
      </c>
      <c r="D419" s="839" t="s">
        <v>162</v>
      </c>
      <c r="E419" s="841">
        <v>150</v>
      </c>
      <c r="F419" s="839" t="s">
        <v>580</v>
      </c>
      <c r="G419" s="839" t="s">
        <v>126</v>
      </c>
      <c r="I419" t="s">
        <v>196</v>
      </c>
      <c r="J419" t="s">
        <v>197</v>
      </c>
    </row>
    <row r="420" spans="1:10" ht="13.5" customHeight="1" x14ac:dyDescent="0.35">
      <c r="A420" s="838">
        <v>45884</v>
      </c>
      <c r="B420" s="839" t="s">
        <v>800</v>
      </c>
      <c r="C420" s="840" t="s">
        <v>31</v>
      </c>
      <c r="D420" s="839" t="s">
        <v>162</v>
      </c>
      <c r="E420" s="841">
        <v>35</v>
      </c>
      <c r="F420" s="839" t="s">
        <v>801</v>
      </c>
      <c r="G420" s="839" t="s">
        <v>126</v>
      </c>
      <c r="I420" t="s">
        <v>280</v>
      </c>
      <c r="J420" t="s">
        <v>226</v>
      </c>
    </row>
    <row r="421" spans="1:10" ht="13.5" customHeight="1" x14ac:dyDescent="0.35">
      <c r="A421" s="838">
        <v>45884</v>
      </c>
      <c r="B421" s="839" t="s">
        <v>802</v>
      </c>
      <c r="C421" s="840" t="s">
        <v>31</v>
      </c>
      <c r="D421" s="839" t="s">
        <v>162</v>
      </c>
      <c r="E421" s="841">
        <v>35</v>
      </c>
      <c r="F421" s="839" t="s">
        <v>801</v>
      </c>
      <c r="G421" s="839" t="s">
        <v>126</v>
      </c>
      <c r="I421" t="s">
        <v>280</v>
      </c>
      <c r="J421" t="s">
        <v>226</v>
      </c>
    </row>
    <row r="422" spans="1:10" ht="13.5" customHeight="1" x14ac:dyDescent="0.35">
      <c r="A422" s="838">
        <v>45884</v>
      </c>
      <c r="B422" s="839" t="s">
        <v>803</v>
      </c>
      <c r="C422" s="840" t="s">
        <v>31</v>
      </c>
      <c r="D422" s="839" t="s">
        <v>162</v>
      </c>
      <c r="E422" s="841">
        <v>35</v>
      </c>
      <c r="F422" s="839" t="s">
        <v>801</v>
      </c>
      <c r="G422" s="839" t="s">
        <v>126</v>
      </c>
      <c r="I422" t="s">
        <v>280</v>
      </c>
      <c r="J422" t="s">
        <v>226</v>
      </c>
    </row>
    <row r="423" spans="1:10" ht="13.5" customHeight="1" x14ac:dyDescent="0.35">
      <c r="A423" s="838">
        <v>45881</v>
      </c>
      <c r="B423" s="839" t="s">
        <v>804</v>
      </c>
      <c r="C423" s="840" t="s">
        <v>31</v>
      </c>
      <c r="D423" s="839" t="s">
        <v>165</v>
      </c>
      <c r="E423" s="841">
        <v>99</v>
      </c>
      <c r="F423" s="839" t="s">
        <v>177</v>
      </c>
      <c r="G423" s="839" t="s">
        <v>175</v>
      </c>
      <c r="I423" t="s">
        <v>210</v>
      </c>
      <c r="J423" t="s">
        <v>211</v>
      </c>
    </row>
    <row r="424" spans="1:10" ht="13.5" customHeight="1" x14ac:dyDescent="0.35">
      <c r="A424" s="838">
        <v>45881</v>
      </c>
      <c r="B424" s="839" t="s">
        <v>804</v>
      </c>
      <c r="C424" s="840" t="s">
        <v>53</v>
      </c>
      <c r="D424" s="839" t="s">
        <v>165</v>
      </c>
      <c r="E424" s="841">
        <v>-99</v>
      </c>
      <c r="F424" s="839" t="s">
        <v>734</v>
      </c>
      <c r="G424" s="839" t="s">
        <v>175</v>
      </c>
      <c r="I424" t="s">
        <v>220</v>
      </c>
      <c r="J424"/>
    </row>
    <row r="425" spans="1:10" ht="13.5" customHeight="1" x14ac:dyDescent="0.35">
      <c r="A425" s="838">
        <v>45880</v>
      </c>
      <c r="B425" s="839" t="s">
        <v>804</v>
      </c>
      <c r="C425" s="840" t="s">
        <v>50</v>
      </c>
      <c r="D425" s="839" t="s">
        <v>159</v>
      </c>
      <c r="E425" s="841">
        <v>100</v>
      </c>
      <c r="F425" s="839" t="s">
        <v>734</v>
      </c>
      <c r="G425" s="839" t="s">
        <v>174</v>
      </c>
      <c r="I425" t="s">
        <v>210</v>
      </c>
      <c r="J425" t="s">
        <v>211</v>
      </c>
    </row>
    <row r="426" spans="1:10" ht="13.5" customHeight="1" x14ac:dyDescent="0.35">
      <c r="A426" s="838">
        <v>45873</v>
      </c>
      <c r="B426" s="839" t="s">
        <v>805</v>
      </c>
      <c r="C426" s="840" t="s">
        <v>28</v>
      </c>
      <c r="D426" s="839" t="s">
        <v>159</v>
      </c>
      <c r="E426" s="841">
        <v>150</v>
      </c>
      <c r="F426" s="839" t="s">
        <v>195</v>
      </c>
      <c r="G426" s="839" t="s">
        <v>174</v>
      </c>
      <c r="I426" t="s">
        <v>196</v>
      </c>
      <c r="J426" t="s">
        <v>197</v>
      </c>
    </row>
    <row r="427" spans="1:10" ht="13.5" customHeight="1" x14ac:dyDescent="0.35">
      <c r="A427" s="838">
        <v>45873</v>
      </c>
      <c r="B427" s="839" t="s">
        <v>806</v>
      </c>
      <c r="C427" s="840" t="s">
        <v>28</v>
      </c>
      <c r="D427" s="839" t="s">
        <v>162</v>
      </c>
      <c r="E427" s="841">
        <v>25</v>
      </c>
      <c r="F427" s="839" t="s">
        <v>195</v>
      </c>
      <c r="G427" s="839" t="s">
        <v>175</v>
      </c>
      <c r="I427" t="s">
        <v>196</v>
      </c>
      <c r="J427" t="s">
        <v>197</v>
      </c>
    </row>
    <row r="428" spans="1:10" ht="13.5" customHeight="1" x14ac:dyDescent="0.35">
      <c r="A428" s="838">
        <v>45870</v>
      </c>
      <c r="B428" s="839" t="s">
        <v>292</v>
      </c>
      <c r="C428" s="840" t="s">
        <v>44</v>
      </c>
      <c r="D428" s="839" t="s">
        <v>159</v>
      </c>
      <c r="E428" s="841">
        <v>35</v>
      </c>
      <c r="F428" s="839" t="s">
        <v>292</v>
      </c>
      <c r="G428" s="839" t="s">
        <v>175</v>
      </c>
      <c r="I428" t="s">
        <v>294</v>
      </c>
      <c r="J428" t="s">
        <v>295</v>
      </c>
    </row>
    <row r="429" spans="1:10" ht="13.5" customHeight="1" x14ac:dyDescent="0.35">
      <c r="A429" s="838"/>
      <c r="B429" s="839"/>
      <c r="C429" s="840"/>
      <c r="D429" s="839"/>
      <c r="E429" s="841"/>
      <c r="F429" s="839"/>
      <c r="G429" s="839"/>
    </row>
    <row r="430" spans="1:10" ht="13.5" customHeight="1" x14ac:dyDescent="0.35">
      <c r="A430" s="838">
        <v>45868</v>
      </c>
      <c r="B430" s="839" t="s">
        <v>807</v>
      </c>
      <c r="C430" s="840" t="s">
        <v>47</v>
      </c>
      <c r="D430" s="839" t="s">
        <v>160</v>
      </c>
      <c r="E430" s="841">
        <v>50</v>
      </c>
      <c r="F430" s="839" t="s">
        <v>360</v>
      </c>
      <c r="G430" s="839" t="s">
        <v>175</v>
      </c>
      <c r="I430" t="s">
        <v>268</v>
      </c>
      <c r="J430" t="s">
        <v>269</v>
      </c>
    </row>
    <row r="431" spans="1:10" ht="13.5" customHeight="1" x14ac:dyDescent="0.35">
      <c r="A431" s="838">
        <v>45866</v>
      </c>
      <c r="B431" s="839" t="s">
        <v>808</v>
      </c>
      <c r="C431" s="840" t="s">
        <v>31</v>
      </c>
      <c r="D431" s="839" t="s">
        <v>159</v>
      </c>
      <c r="E431" s="841">
        <v>200</v>
      </c>
      <c r="F431" s="839" t="s">
        <v>809</v>
      </c>
      <c r="G431" s="839" t="s">
        <v>174</v>
      </c>
      <c r="I431" t="s">
        <v>739</v>
      </c>
      <c r="J431" t="s">
        <v>226</v>
      </c>
    </row>
    <row r="432" spans="1:10" ht="13.5" customHeight="1" x14ac:dyDescent="0.35">
      <c r="A432" s="838">
        <v>45865</v>
      </c>
      <c r="B432" s="839" t="s">
        <v>810</v>
      </c>
      <c r="C432" s="840" t="s">
        <v>28</v>
      </c>
      <c r="D432" s="839" t="s">
        <v>159</v>
      </c>
      <c r="E432" s="841">
        <v>150</v>
      </c>
      <c r="F432" s="839" t="s">
        <v>580</v>
      </c>
      <c r="G432" s="839" t="s">
        <v>174</v>
      </c>
      <c r="I432" t="s">
        <v>196</v>
      </c>
      <c r="J432" t="s">
        <v>197</v>
      </c>
    </row>
    <row r="433" spans="1:10" ht="13.5" customHeight="1" x14ac:dyDescent="0.35">
      <c r="A433" s="838">
        <v>45861</v>
      </c>
      <c r="B433" s="839" t="s">
        <v>811</v>
      </c>
      <c r="C433" s="840" t="s">
        <v>31</v>
      </c>
      <c r="D433" s="839" t="s">
        <v>159</v>
      </c>
      <c r="E433" s="841">
        <v>150</v>
      </c>
      <c r="F433" s="839" t="s">
        <v>177</v>
      </c>
      <c r="G433" s="839" t="s">
        <v>174</v>
      </c>
      <c r="I433" t="s">
        <v>210</v>
      </c>
      <c r="J433" t="s">
        <v>211</v>
      </c>
    </row>
    <row r="434" spans="1:10" ht="13.5" customHeight="1" x14ac:dyDescent="0.35">
      <c r="A434" s="838">
        <v>45860</v>
      </c>
      <c r="B434" s="839" t="s">
        <v>812</v>
      </c>
      <c r="C434" s="840" t="s">
        <v>47</v>
      </c>
      <c r="D434" s="839" t="s">
        <v>160</v>
      </c>
      <c r="E434" s="841">
        <v>50</v>
      </c>
      <c r="F434" s="839" t="s">
        <v>360</v>
      </c>
      <c r="G434" s="839" t="s">
        <v>175</v>
      </c>
      <c r="I434" t="s">
        <v>268</v>
      </c>
      <c r="J434" t="s">
        <v>269</v>
      </c>
    </row>
    <row r="435" spans="1:10" ht="13.5" customHeight="1" x14ac:dyDescent="0.35">
      <c r="A435" s="838">
        <v>45860</v>
      </c>
      <c r="B435" s="839" t="s">
        <v>813</v>
      </c>
      <c r="C435" s="840" t="s">
        <v>62</v>
      </c>
      <c r="D435" s="839" t="s">
        <v>159</v>
      </c>
      <c r="E435" s="841">
        <v>25</v>
      </c>
      <c r="F435" s="839" t="s">
        <v>795</v>
      </c>
      <c r="G435" s="839" t="s">
        <v>174</v>
      </c>
      <c r="I435" t="s">
        <v>201</v>
      </c>
      <c r="J435" t="s">
        <v>202</v>
      </c>
    </row>
    <row r="436" spans="1:10" ht="13.5" customHeight="1" x14ac:dyDescent="0.35">
      <c r="A436" s="838">
        <v>45862</v>
      </c>
      <c r="B436" s="839" t="s">
        <v>814</v>
      </c>
      <c r="C436" s="840" t="s">
        <v>28</v>
      </c>
      <c r="D436" s="839" t="s">
        <v>162</v>
      </c>
      <c r="E436" s="841">
        <v>150</v>
      </c>
      <c r="F436" s="839" t="s">
        <v>580</v>
      </c>
      <c r="G436" s="839" t="s">
        <v>126</v>
      </c>
      <c r="I436" t="s">
        <v>196</v>
      </c>
      <c r="J436" t="s">
        <v>197</v>
      </c>
    </row>
    <row r="437" spans="1:10" ht="13.5" customHeight="1" x14ac:dyDescent="0.35">
      <c r="A437" s="838">
        <v>45862</v>
      </c>
      <c r="B437" s="839" t="s">
        <v>815</v>
      </c>
      <c r="C437" s="840" t="s">
        <v>28</v>
      </c>
      <c r="D437" s="839" t="s">
        <v>162</v>
      </c>
      <c r="E437" s="841">
        <v>150</v>
      </c>
      <c r="F437" s="839" t="s">
        <v>580</v>
      </c>
      <c r="G437" s="839" t="s">
        <v>126</v>
      </c>
      <c r="I437" t="s">
        <v>196</v>
      </c>
      <c r="J437" t="s">
        <v>197</v>
      </c>
    </row>
    <row r="438" spans="1:10" ht="13.5" customHeight="1" x14ac:dyDescent="0.35">
      <c r="A438" s="838">
        <v>45862</v>
      </c>
      <c r="B438" s="839" t="s">
        <v>816</v>
      </c>
      <c r="C438" s="840" t="s">
        <v>47</v>
      </c>
      <c r="D438" s="839" t="s">
        <v>162</v>
      </c>
      <c r="E438" s="841">
        <v>120</v>
      </c>
      <c r="F438" s="839" t="s">
        <v>817</v>
      </c>
      <c r="G438" s="839" t="s">
        <v>126</v>
      </c>
      <c r="I438" t="s">
        <v>265</v>
      </c>
      <c r="J438" t="s">
        <v>206</v>
      </c>
    </row>
    <row r="439" spans="1:10" ht="13.5" customHeight="1" x14ac:dyDescent="0.35">
      <c r="A439" s="838">
        <v>45858</v>
      </c>
      <c r="B439" s="839" t="s">
        <v>818</v>
      </c>
      <c r="C439" s="840" t="s">
        <v>35</v>
      </c>
      <c r="D439" s="839" t="s">
        <v>160</v>
      </c>
      <c r="E439" s="841">
        <v>895</v>
      </c>
      <c r="F439" s="839" t="s">
        <v>219</v>
      </c>
      <c r="G439" s="839" t="s">
        <v>174</v>
      </c>
      <c r="I439" t="s">
        <v>221</v>
      </c>
      <c r="J439" t="s">
        <v>222</v>
      </c>
    </row>
    <row r="440" spans="1:10" ht="13.5" customHeight="1" x14ac:dyDescent="0.35">
      <c r="A440" s="838">
        <v>45857</v>
      </c>
      <c r="B440" s="839" t="s">
        <v>310</v>
      </c>
      <c r="C440" s="840" t="s">
        <v>62</v>
      </c>
      <c r="D440" s="839" t="s">
        <v>159</v>
      </c>
      <c r="E440" s="841">
        <v>25</v>
      </c>
      <c r="F440" s="839" t="s">
        <v>795</v>
      </c>
      <c r="G440" s="839" t="s">
        <v>174</v>
      </c>
      <c r="I440" t="s">
        <v>201</v>
      </c>
      <c r="J440" t="s">
        <v>202</v>
      </c>
    </row>
    <row r="441" spans="1:10" ht="13.5" customHeight="1" x14ac:dyDescent="0.35">
      <c r="A441" s="838">
        <v>45856</v>
      </c>
      <c r="B441" s="839" t="s">
        <v>819</v>
      </c>
      <c r="C441" s="840" t="s">
        <v>47</v>
      </c>
      <c r="D441" s="839" t="s">
        <v>162</v>
      </c>
      <c r="E441" s="841">
        <v>65</v>
      </c>
      <c r="F441" s="839" t="s">
        <v>820</v>
      </c>
      <c r="G441" s="839" t="s">
        <v>126</v>
      </c>
      <c r="I441" t="s">
        <v>205</v>
      </c>
      <c r="J441" t="s">
        <v>206</v>
      </c>
    </row>
    <row r="442" spans="1:10" ht="13.5" customHeight="1" x14ac:dyDescent="0.35">
      <c r="A442" s="838">
        <v>45851</v>
      </c>
      <c r="B442" s="839" t="s">
        <v>821</v>
      </c>
      <c r="C442" s="840" t="s">
        <v>62</v>
      </c>
      <c r="D442" s="839" t="s">
        <v>159</v>
      </c>
      <c r="E442" s="841">
        <v>30</v>
      </c>
      <c r="F442" s="839" t="s">
        <v>753</v>
      </c>
      <c r="G442" s="839" t="s">
        <v>174</v>
      </c>
      <c r="I442" t="s">
        <v>725</v>
      </c>
      <c r="J442" t="s">
        <v>726</v>
      </c>
    </row>
    <row r="443" spans="1:10" ht="13.5" customHeight="1" x14ac:dyDescent="0.35">
      <c r="A443" s="838">
        <v>45852</v>
      </c>
      <c r="B443" s="839" t="s">
        <v>812</v>
      </c>
      <c r="C443" s="840" t="s">
        <v>47</v>
      </c>
      <c r="D443" s="839" t="s">
        <v>160</v>
      </c>
      <c r="E443" s="841">
        <v>50</v>
      </c>
      <c r="F443" s="839" t="s">
        <v>360</v>
      </c>
      <c r="G443" s="839" t="s">
        <v>174</v>
      </c>
      <c r="I443" t="s">
        <v>268</v>
      </c>
      <c r="J443" t="s">
        <v>269</v>
      </c>
    </row>
    <row r="444" spans="1:10" ht="13.5" customHeight="1" x14ac:dyDescent="0.35">
      <c r="A444" s="838">
        <v>45854</v>
      </c>
      <c r="B444" s="839" t="s">
        <v>822</v>
      </c>
      <c r="C444" s="840" t="s">
        <v>62</v>
      </c>
      <c r="D444" s="839" t="s">
        <v>159</v>
      </c>
      <c r="E444" s="841">
        <v>30</v>
      </c>
      <c r="F444" s="839" t="s">
        <v>753</v>
      </c>
      <c r="G444" s="839" t="s">
        <v>174</v>
      </c>
      <c r="I444" t="s">
        <v>725</v>
      </c>
      <c r="J444" t="s">
        <v>726</v>
      </c>
    </row>
    <row r="445" spans="1:10" ht="13.5" customHeight="1" x14ac:dyDescent="0.35">
      <c r="A445" s="838">
        <v>45849</v>
      </c>
      <c r="B445" s="839" t="s">
        <v>823</v>
      </c>
      <c r="C445" s="840" t="s">
        <v>31</v>
      </c>
      <c r="D445" s="839" t="s">
        <v>159</v>
      </c>
      <c r="E445" s="841">
        <v>125</v>
      </c>
      <c r="F445" s="839" t="s">
        <v>273</v>
      </c>
      <c r="G445" s="839" t="s">
        <v>174</v>
      </c>
      <c r="I445" t="s">
        <v>274</v>
      </c>
      <c r="J445" t="s">
        <v>232</v>
      </c>
    </row>
    <row r="446" spans="1:10" ht="13.5" customHeight="1" x14ac:dyDescent="0.35">
      <c r="A446" s="838">
        <v>45848</v>
      </c>
      <c r="B446" s="839" t="s">
        <v>824</v>
      </c>
      <c r="C446" s="840" t="s">
        <v>31</v>
      </c>
      <c r="D446" s="839" t="s">
        <v>159</v>
      </c>
      <c r="E446" s="841">
        <v>125</v>
      </c>
      <c r="F446" s="839" t="s">
        <v>809</v>
      </c>
      <c r="G446" s="839" t="s">
        <v>174</v>
      </c>
      <c r="I446" t="s">
        <v>739</v>
      </c>
      <c r="J446" t="s">
        <v>226</v>
      </c>
    </row>
    <row r="447" spans="1:10" ht="13.5" customHeight="1" x14ac:dyDescent="0.35">
      <c r="A447" s="838">
        <v>45849</v>
      </c>
      <c r="B447" s="839" t="s">
        <v>825</v>
      </c>
      <c r="C447" s="840" t="s">
        <v>28</v>
      </c>
      <c r="D447" s="839" t="s">
        <v>162</v>
      </c>
      <c r="E447" s="841">
        <v>150</v>
      </c>
      <c r="F447" s="839" t="s">
        <v>580</v>
      </c>
      <c r="G447" s="839" t="s">
        <v>126</v>
      </c>
      <c r="I447" t="s">
        <v>196</v>
      </c>
      <c r="J447" t="s">
        <v>197</v>
      </c>
    </row>
    <row r="448" spans="1:10" ht="13.5" customHeight="1" x14ac:dyDescent="0.35">
      <c r="A448" s="838">
        <v>45849</v>
      </c>
      <c r="B448" s="839" t="s">
        <v>826</v>
      </c>
      <c r="C448" s="840" t="s">
        <v>28</v>
      </c>
      <c r="D448" s="839" t="s">
        <v>162</v>
      </c>
      <c r="E448" s="841">
        <v>150</v>
      </c>
      <c r="F448" s="839" t="s">
        <v>580</v>
      </c>
      <c r="G448" s="839" t="s">
        <v>126</v>
      </c>
      <c r="I448" t="s">
        <v>196</v>
      </c>
      <c r="J448" t="s">
        <v>197</v>
      </c>
    </row>
    <row r="449" spans="1:10" ht="13.5" customHeight="1" x14ac:dyDescent="0.35">
      <c r="A449" s="838">
        <v>45849</v>
      </c>
      <c r="B449" s="839" t="s">
        <v>213</v>
      </c>
      <c r="C449" s="840" t="s">
        <v>28</v>
      </c>
      <c r="D449" s="839" t="s">
        <v>162</v>
      </c>
      <c r="E449" s="841">
        <v>150</v>
      </c>
      <c r="F449" s="839" t="s">
        <v>580</v>
      </c>
      <c r="G449" s="839" t="s">
        <v>126</v>
      </c>
      <c r="I449" t="s">
        <v>196</v>
      </c>
      <c r="J449" t="s">
        <v>197</v>
      </c>
    </row>
    <row r="450" spans="1:10" ht="13.5" customHeight="1" x14ac:dyDescent="0.35">
      <c r="A450" s="838">
        <v>45849</v>
      </c>
      <c r="B450" s="839" t="s">
        <v>827</v>
      </c>
      <c r="C450" s="840" t="s">
        <v>28</v>
      </c>
      <c r="D450" s="839" t="s">
        <v>162</v>
      </c>
      <c r="E450" s="841">
        <v>150</v>
      </c>
      <c r="F450" s="839" t="s">
        <v>580</v>
      </c>
      <c r="G450" s="839" t="s">
        <v>126</v>
      </c>
      <c r="I450" t="s">
        <v>196</v>
      </c>
      <c r="J450" t="s">
        <v>197</v>
      </c>
    </row>
    <row r="451" spans="1:10" ht="13.5" customHeight="1" x14ac:dyDescent="0.35">
      <c r="A451" s="838">
        <v>45849</v>
      </c>
      <c r="B451" s="839" t="s">
        <v>828</v>
      </c>
      <c r="C451" s="840" t="s">
        <v>47</v>
      </c>
      <c r="D451" s="839" t="s">
        <v>162</v>
      </c>
      <c r="E451" s="841">
        <v>120</v>
      </c>
      <c r="F451" s="839" t="s">
        <v>817</v>
      </c>
      <c r="G451" s="839" t="s">
        <v>126</v>
      </c>
      <c r="I451" t="s">
        <v>265</v>
      </c>
      <c r="J451" t="s">
        <v>206</v>
      </c>
    </row>
    <row r="452" spans="1:10" ht="13.5" customHeight="1" x14ac:dyDescent="0.35">
      <c r="A452" s="838">
        <v>45849</v>
      </c>
      <c r="B452" s="839" t="s">
        <v>829</v>
      </c>
      <c r="C452" s="840" t="s">
        <v>31</v>
      </c>
      <c r="D452" s="839" t="s">
        <v>162</v>
      </c>
      <c r="E452" s="841">
        <v>50</v>
      </c>
      <c r="F452" s="839" t="s">
        <v>674</v>
      </c>
      <c r="G452" s="839" t="s">
        <v>126</v>
      </c>
      <c r="I452" t="s">
        <v>380</v>
      </c>
      <c r="J452" t="s">
        <v>226</v>
      </c>
    </row>
    <row r="453" spans="1:10" ht="13.5" customHeight="1" x14ac:dyDescent="0.35">
      <c r="A453" s="838">
        <v>45849</v>
      </c>
      <c r="B453" s="839" t="s">
        <v>680</v>
      </c>
      <c r="C453" s="840" t="s">
        <v>31</v>
      </c>
      <c r="D453" s="839" t="s">
        <v>162</v>
      </c>
      <c r="E453" s="841">
        <v>50</v>
      </c>
      <c r="F453" s="839" t="s">
        <v>674</v>
      </c>
      <c r="G453" s="839" t="s">
        <v>126</v>
      </c>
      <c r="I453" t="s">
        <v>380</v>
      </c>
      <c r="J453" t="s">
        <v>226</v>
      </c>
    </row>
    <row r="454" spans="1:10" ht="13.5" customHeight="1" x14ac:dyDescent="0.35">
      <c r="A454" s="838">
        <v>45849</v>
      </c>
      <c r="B454" s="839" t="s">
        <v>830</v>
      </c>
      <c r="C454" s="840" t="s">
        <v>31</v>
      </c>
      <c r="D454" s="839" t="s">
        <v>162</v>
      </c>
      <c r="E454" s="841">
        <v>50</v>
      </c>
      <c r="F454" s="839" t="s">
        <v>674</v>
      </c>
      <c r="G454" s="839" t="s">
        <v>126</v>
      </c>
      <c r="I454" t="s">
        <v>380</v>
      </c>
      <c r="J454" t="s">
        <v>226</v>
      </c>
    </row>
    <row r="455" spans="1:10" ht="13.5" customHeight="1" x14ac:dyDescent="0.35">
      <c r="A455" s="838">
        <v>45849</v>
      </c>
      <c r="B455" s="839" t="s">
        <v>386</v>
      </c>
      <c r="C455" s="840" t="s">
        <v>31</v>
      </c>
      <c r="D455" s="839" t="s">
        <v>162</v>
      </c>
      <c r="E455" s="841">
        <v>50</v>
      </c>
      <c r="F455" s="839" t="s">
        <v>674</v>
      </c>
      <c r="G455" s="839" t="s">
        <v>126</v>
      </c>
      <c r="I455" t="s">
        <v>380</v>
      </c>
      <c r="J455" t="s">
        <v>226</v>
      </c>
    </row>
    <row r="456" spans="1:10" ht="13.5" customHeight="1" x14ac:dyDescent="0.35">
      <c r="A456" s="838">
        <v>45849</v>
      </c>
      <c r="B456" s="839" t="s">
        <v>643</v>
      </c>
      <c r="C456" s="840" t="s">
        <v>31</v>
      </c>
      <c r="D456" s="839" t="s">
        <v>162</v>
      </c>
      <c r="E456" s="841">
        <v>50</v>
      </c>
      <c r="F456" s="839" t="s">
        <v>674</v>
      </c>
      <c r="G456" s="839" t="s">
        <v>126</v>
      </c>
      <c r="I456" t="s">
        <v>380</v>
      </c>
      <c r="J456" t="s">
        <v>226</v>
      </c>
    </row>
    <row r="457" spans="1:10" ht="13.5" customHeight="1" x14ac:dyDescent="0.35">
      <c r="A457" s="838">
        <v>45849</v>
      </c>
      <c r="B457" s="839" t="s">
        <v>831</v>
      </c>
      <c r="C457" s="840" t="s">
        <v>31</v>
      </c>
      <c r="D457" s="839" t="s">
        <v>162</v>
      </c>
      <c r="E457" s="841">
        <v>50</v>
      </c>
      <c r="F457" s="839" t="s">
        <v>674</v>
      </c>
      <c r="G457" s="839" t="s">
        <v>126</v>
      </c>
      <c r="I457" t="s">
        <v>380</v>
      </c>
      <c r="J457" t="s">
        <v>226</v>
      </c>
    </row>
    <row r="458" spans="1:10" ht="13.5" customHeight="1" x14ac:dyDescent="0.35">
      <c r="A458" s="838">
        <v>45849</v>
      </c>
      <c r="B458" s="839" t="s">
        <v>832</v>
      </c>
      <c r="C458" s="840" t="s">
        <v>31</v>
      </c>
      <c r="D458" s="839" t="s">
        <v>162</v>
      </c>
      <c r="E458" s="841">
        <v>50</v>
      </c>
      <c r="F458" s="839" t="s">
        <v>674</v>
      </c>
      <c r="G458" s="839" t="s">
        <v>126</v>
      </c>
      <c r="I458" t="s">
        <v>380</v>
      </c>
      <c r="J458" t="s">
        <v>226</v>
      </c>
    </row>
    <row r="459" spans="1:10" ht="13.5" customHeight="1" x14ac:dyDescent="0.35">
      <c r="A459" s="838">
        <v>45849</v>
      </c>
      <c r="B459" s="839" t="s">
        <v>386</v>
      </c>
      <c r="C459" s="840" t="s">
        <v>31</v>
      </c>
      <c r="D459" s="839" t="s">
        <v>162</v>
      </c>
      <c r="E459" s="841">
        <v>60</v>
      </c>
      <c r="F459" s="839" t="s">
        <v>833</v>
      </c>
      <c r="G459" s="839" t="s">
        <v>126</v>
      </c>
      <c r="I459" t="s">
        <v>834</v>
      </c>
      <c r="J459" t="s">
        <v>226</v>
      </c>
    </row>
    <row r="460" spans="1:10" ht="13.5" customHeight="1" x14ac:dyDescent="0.35">
      <c r="A460" s="838">
        <v>45849</v>
      </c>
      <c r="B460" s="839" t="s">
        <v>835</v>
      </c>
      <c r="C460" s="840" t="s">
        <v>31</v>
      </c>
      <c r="D460" s="839" t="s">
        <v>162</v>
      </c>
      <c r="E460" s="841">
        <v>60</v>
      </c>
      <c r="F460" s="839" t="s">
        <v>833</v>
      </c>
      <c r="G460" s="839" t="s">
        <v>126</v>
      </c>
      <c r="I460" t="s">
        <v>834</v>
      </c>
      <c r="J460" t="s">
        <v>226</v>
      </c>
    </row>
    <row r="461" spans="1:10" ht="13.5" customHeight="1" x14ac:dyDescent="0.35">
      <c r="A461" s="838">
        <v>45849</v>
      </c>
      <c r="B461" s="839" t="s">
        <v>836</v>
      </c>
      <c r="C461" s="840" t="s">
        <v>31</v>
      </c>
      <c r="D461" s="839" t="s">
        <v>162</v>
      </c>
      <c r="E461" s="841">
        <v>60</v>
      </c>
      <c r="F461" s="839" t="s">
        <v>833</v>
      </c>
      <c r="G461" s="839" t="s">
        <v>126</v>
      </c>
      <c r="I461" t="s">
        <v>834</v>
      </c>
      <c r="J461" t="s">
        <v>226</v>
      </c>
    </row>
    <row r="462" spans="1:10" ht="13.5" customHeight="1" x14ac:dyDescent="0.35">
      <c r="A462" s="838">
        <v>45849</v>
      </c>
      <c r="B462" s="839" t="s">
        <v>837</v>
      </c>
      <c r="C462" s="840" t="s">
        <v>47</v>
      </c>
      <c r="D462" s="839" t="s">
        <v>162</v>
      </c>
      <c r="E462" s="841">
        <v>65</v>
      </c>
      <c r="F462" s="839" t="s">
        <v>817</v>
      </c>
      <c r="G462" s="839" t="s">
        <v>126</v>
      </c>
      <c r="I462" t="s">
        <v>265</v>
      </c>
      <c r="J462" t="s">
        <v>206</v>
      </c>
    </row>
    <row r="463" spans="1:10" ht="13.5" customHeight="1" x14ac:dyDescent="0.35">
      <c r="A463" s="838">
        <v>45847</v>
      </c>
      <c r="B463" s="839" t="s">
        <v>838</v>
      </c>
      <c r="C463" s="840" t="s">
        <v>31</v>
      </c>
      <c r="D463" s="839" t="s">
        <v>162</v>
      </c>
      <c r="E463" s="841">
        <v>50</v>
      </c>
      <c r="F463" s="839" t="s">
        <v>729</v>
      </c>
      <c r="G463" s="839" t="s">
        <v>126</v>
      </c>
      <c r="I463" t="s">
        <v>317</v>
      </c>
      <c r="J463" t="s">
        <v>226</v>
      </c>
    </row>
    <row r="464" spans="1:10" ht="13.5" customHeight="1" x14ac:dyDescent="0.35">
      <c r="A464" s="838">
        <v>45847</v>
      </c>
      <c r="B464" s="839" t="s">
        <v>839</v>
      </c>
      <c r="C464" s="840" t="s">
        <v>31</v>
      </c>
      <c r="D464" s="839" t="s">
        <v>162</v>
      </c>
      <c r="E464" s="841">
        <v>50</v>
      </c>
      <c r="F464" s="839" t="s">
        <v>729</v>
      </c>
      <c r="G464" s="839" t="s">
        <v>126</v>
      </c>
      <c r="I464" t="s">
        <v>317</v>
      </c>
      <c r="J464" t="s">
        <v>226</v>
      </c>
    </row>
    <row r="465" spans="1:10" ht="13.5" customHeight="1" x14ac:dyDescent="0.35">
      <c r="A465" s="838">
        <v>45847</v>
      </c>
      <c r="B465" s="839" t="s">
        <v>840</v>
      </c>
      <c r="C465" s="840" t="s">
        <v>31</v>
      </c>
      <c r="D465" s="839" t="s">
        <v>162</v>
      </c>
      <c r="E465" s="841">
        <v>50</v>
      </c>
      <c r="F465" s="839" t="s">
        <v>729</v>
      </c>
      <c r="G465" s="839" t="s">
        <v>126</v>
      </c>
      <c r="I465" t="s">
        <v>317</v>
      </c>
      <c r="J465" t="s">
        <v>226</v>
      </c>
    </row>
    <row r="466" spans="1:10" ht="13.5" customHeight="1" x14ac:dyDescent="0.35">
      <c r="A466" s="838">
        <v>45847</v>
      </c>
      <c r="B466" s="839" t="s">
        <v>841</v>
      </c>
      <c r="C466" s="840" t="s">
        <v>31</v>
      </c>
      <c r="D466" s="839" t="s">
        <v>162</v>
      </c>
      <c r="E466" s="841">
        <v>50</v>
      </c>
      <c r="F466" s="839" t="s">
        <v>729</v>
      </c>
      <c r="G466" s="839" t="s">
        <v>126</v>
      </c>
      <c r="I466" t="s">
        <v>317</v>
      </c>
      <c r="J466" t="s">
        <v>226</v>
      </c>
    </row>
    <row r="467" spans="1:10" ht="13.5" customHeight="1" x14ac:dyDescent="0.35">
      <c r="A467" s="838">
        <v>45847</v>
      </c>
      <c r="B467" s="839" t="s">
        <v>842</v>
      </c>
      <c r="C467" s="840" t="s">
        <v>31</v>
      </c>
      <c r="D467" s="839" t="s">
        <v>162</v>
      </c>
      <c r="E467" s="841">
        <v>50</v>
      </c>
      <c r="F467" s="839" t="s">
        <v>729</v>
      </c>
      <c r="G467" s="839" t="s">
        <v>126</v>
      </c>
      <c r="I467" t="s">
        <v>317</v>
      </c>
      <c r="J467" t="s">
        <v>226</v>
      </c>
    </row>
    <row r="468" spans="1:10" ht="13.5" customHeight="1" x14ac:dyDescent="0.35">
      <c r="A468" s="838">
        <v>45847</v>
      </c>
      <c r="B468" s="839" t="s">
        <v>843</v>
      </c>
      <c r="C468" s="840" t="s">
        <v>31</v>
      </c>
      <c r="D468" s="839" t="s">
        <v>162</v>
      </c>
      <c r="E468" s="841">
        <v>50</v>
      </c>
      <c r="F468" s="839" t="s">
        <v>729</v>
      </c>
      <c r="G468" s="839" t="s">
        <v>126</v>
      </c>
      <c r="I468" t="s">
        <v>317</v>
      </c>
      <c r="J468" t="s">
        <v>226</v>
      </c>
    </row>
    <row r="469" spans="1:10" ht="13.5" customHeight="1" x14ac:dyDescent="0.35">
      <c r="A469" s="838">
        <v>45847</v>
      </c>
      <c r="B469" s="839" t="s">
        <v>684</v>
      </c>
      <c r="C469" s="840" t="s">
        <v>31</v>
      </c>
      <c r="D469" s="839" t="s">
        <v>162</v>
      </c>
      <c r="E469" s="841">
        <v>50</v>
      </c>
      <c r="F469" s="839" t="s">
        <v>729</v>
      </c>
      <c r="G469" s="839" t="s">
        <v>126</v>
      </c>
      <c r="I469" t="s">
        <v>317</v>
      </c>
      <c r="J469" t="s">
        <v>226</v>
      </c>
    </row>
    <row r="470" spans="1:10" ht="13.5" customHeight="1" x14ac:dyDescent="0.35">
      <c r="A470" s="838">
        <v>45847</v>
      </c>
      <c r="B470" s="839" t="s">
        <v>844</v>
      </c>
      <c r="C470" s="840" t="s">
        <v>28</v>
      </c>
      <c r="D470" s="839" t="s">
        <v>162</v>
      </c>
      <c r="E470" s="841">
        <v>150</v>
      </c>
      <c r="F470" s="839" t="s">
        <v>666</v>
      </c>
      <c r="G470" s="839" t="s">
        <v>126</v>
      </c>
      <c r="I470" t="s">
        <v>215</v>
      </c>
      <c r="J470" t="s">
        <v>216</v>
      </c>
    </row>
    <row r="471" spans="1:10" ht="13.5" customHeight="1" x14ac:dyDescent="0.35">
      <c r="A471" s="838">
        <v>45847</v>
      </c>
      <c r="B471" s="839" t="s">
        <v>845</v>
      </c>
      <c r="C471" s="840" t="s">
        <v>28</v>
      </c>
      <c r="D471" s="839" t="s">
        <v>162</v>
      </c>
      <c r="E471" s="841">
        <v>150</v>
      </c>
      <c r="F471" s="839" t="s">
        <v>666</v>
      </c>
      <c r="G471" s="839" t="s">
        <v>126</v>
      </c>
      <c r="I471" t="s">
        <v>215</v>
      </c>
      <c r="J471" t="s">
        <v>216</v>
      </c>
    </row>
    <row r="472" spans="1:10" ht="13.5" customHeight="1" x14ac:dyDescent="0.35">
      <c r="A472" s="838">
        <v>45847</v>
      </c>
      <c r="B472" s="839" t="s">
        <v>846</v>
      </c>
      <c r="C472" s="840" t="s">
        <v>47</v>
      </c>
      <c r="D472" s="839" t="s">
        <v>162</v>
      </c>
      <c r="E472" s="841">
        <v>65</v>
      </c>
      <c r="F472" s="839" t="s">
        <v>820</v>
      </c>
      <c r="G472" s="839" t="s">
        <v>126</v>
      </c>
      <c r="I472" t="s">
        <v>205</v>
      </c>
      <c r="J472" t="s">
        <v>206</v>
      </c>
    </row>
    <row r="473" spans="1:10" ht="13.5" customHeight="1" x14ac:dyDescent="0.35">
      <c r="A473" s="838">
        <v>45847</v>
      </c>
      <c r="B473" s="839" t="s">
        <v>847</v>
      </c>
      <c r="C473" s="840" t="s">
        <v>47</v>
      </c>
      <c r="D473" s="839" t="s">
        <v>162</v>
      </c>
      <c r="E473" s="841">
        <v>120</v>
      </c>
      <c r="F473" s="839" t="s">
        <v>817</v>
      </c>
      <c r="G473" s="839" t="s">
        <v>126</v>
      </c>
      <c r="I473" t="s">
        <v>265</v>
      </c>
      <c r="J473" t="s">
        <v>206</v>
      </c>
    </row>
    <row r="474" spans="1:10" ht="13.5" customHeight="1" x14ac:dyDescent="0.35">
      <c r="A474" s="838">
        <v>45847</v>
      </c>
      <c r="B474" s="839" t="s">
        <v>350</v>
      </c>
      <c r="C474" s="840" t="s">
        <v>31</v>
      </c>
      <c r="D474" s="839" t="s">
        <v>162</v>
      </c>
      <c r="E474" s="841">
        <v>150</v>
      </c>
      <c r="F474" s="839" t="s">
        <v>613</v>
      </c>
      <c r="G474" s="839" t="s">
        <v>126</v>
      </c>
      <c r="I474" t="s">
        <v>236</v>
      </c>
      <c r="J474" t="s">
        <v>232</v>
      </c>
    </row>
    <row r="475" spans="1:10" ht="13.5" customHeight="1" x14ac:dyDescent="0.35">
      <c r="A475" s="838">
        <v>45847</v>
      </c>
      <c r="B475" s="839" t="s">
        <v>848</v>
      </c>
      <c r="C475" s="840" t="s">
        <v>31</v>
      </c>
      <c r="D475" s="839" t="s">
        <v>162</v>
      </c>
      <c r="E475" s="841">
        <v>150</v>
      </c>
      <c r="F475" s="839" t="s">
        <v>613</v>
      </c>
      <c r="G475" s="839" t="s">
        <v>126</v>
      </c>
      <c r="I475" t="s">
        <v>236</v>
      </c>
      <c r="J475" t="s">
        <v>232</v>
      </c>
    </row>
    <row r="476" spans="1:10" ht="13.5" customHeight="1" x14ac:dyDescent="0.35">
      <c r="A476" s="838">
        <v>45847</v>
      </c>
      <c r="B476" s="839" t="s">
        <v>849</v>
      </c>
      <c r="C476" s="840" t="s">
        <v>31</v>
      </c>
      <c r="D476" s="839" t="s">
        <v>162</v>
      </c>
      <c r="E476" s="841">
        <v>150</v>
      </c>
      <c r="F476" s="839" t="s">
        <v>613</v>
      </c>
      <c r="G476" s="839" t="s">
        <v>126</v>
      </c>
      <c r="I476" t="s">
        <v>236</v>
      </c>
      <c r="J476" t="s">
        <v>232</v>
      </c>
    </row>
    <row r="477" spans="1:10" ht="13.5" customHeight="1" x14ac:dyDescent="0.35">
      <c r="A477" s="838">
        <v>45847</v>
      </c>
      <c r="B477" s="839" t="s">
        <v>850</v>
      </c>
      <c r="C477" s="840" t="s">
        <v>31</v>
      </c>
      <c r="D477" s="839" t="s">
        <v>162</v>
      </c>
      <c r="E477" s="841">
        <v>150</v>
      </c>
      <c r="F477" s="839" t="s">
        <v>613</v>
      </c>
      <c r="G477" s="839" t="s">
        <v>126</v>
      </c>
      <c r="I477" t="s">
        <v>236</v>
      </c>
      <c r="J477" t="s">
        <v>232</v>
      </c>
    </row>
    <row r="478" spans="1:10" ht="13.5" customHeight="1" x14ac:dyDescent="0.35">
      <c r="A478" s="838">
        <v>45847</v>
      </c>
      <c r="B478" s="839" t="s">
        <v>851</v>
      </c>
      <c r="C478" s="840" t="s">
        <v>31</v>
      </c>
      <c r="D478" s="839" t="s">
        <v>162</v>
      </c>
      <c r="E478" s="841">
        <v>150</v>
      </c>
      <c r="F478" s="839" t="s">
        <v>613</v>
      </c>
      <c r="G478" s="839" t="s">
        <v>126</v>
      </c>
      <c r="I478" t="s">
        <v>236</v>
      </c>
      <c r="J478" t="s">
        <v>232</v>
      </c>
    </row>
    <row r="479" spans="1:10" ht="13.5" customHeight="1" x14ac:dyDescent="0.35">
      <c r="A479" s="838">
        <v>45847</v>
      </c>
      <c r="B479" s="839" t="s">
        <v>852</v>
      </c>
      <c r="C479" s="840" t="s">
        <v>31</v>
      </c>
      <c r="D479" s="839" t="s">
        <v>162</v>
      </c>
      <c r="E479" s="841">
        <v>150</v>
      </c>
      <c r="F479" s="839" t="s">
        <v>613</v>
      </c>
      <c r="G479" s="839" t="s">
        <v>126</v>
      </c>
      <c r="I479" t="s">
        <v>236</v>
      </c>
      <c r="J479" t="s">
        <v>232</v>
      </c>
    </row>
    <row r="480" spans="1:10" ht="13.5" customHeight="1" x14ac:dyDescent="0.35">
      <c r="A480" s="838">
        <v>45845</v>
      </c>
      <c r="B480" s="839" t="s">
        <v>853</v>
      </c>
      <c r="C480" s="840" t="s">
        <v>62</v>
      </c>
      <c r="D480" s="839" t="s">
        <v>160</v>
      </c>
      <c r="E480" s="841">
        <v>25</v>
      </c>
      <c r="F480" s="839" t="s">
        <v>795</v>
      </c>
      <c r="G480" s="839" t="s">
        <v>174</v>
      </c>
      <c r="I480" t="s">
        <v>201</v>
      </c>
      <c r="J480" t="s">
        <v>202</v>
      </c>
    </row>
    <row r="481" spans="1:10" ht="13.5" customHeight="1" x14ac:dyDescent="0.35">
      <c r="A481" s="838">
        <v>45843</v>
      </c>
      <c r="B481" s="839" t="s">
        <v>854</v>
      </c>
      <c r="C481" s="840" t="s">
        <v>28</v>
      </c>
      <c r="D481" s="839" t="s">
        <v>159</v>
      </c>
      <c r="E481" s="841">
        <v>150</v>
      </c>
      <c r="F481" s="839" t="s">
        <v>855</v>
      </c>
      <c r="G481" s="839" t="s">
        <v>174</v>
      </c>
      <c r="I481" t="s">
        <v>657</v>
      </c>
      <c r="J481" t="s">
        <v>197</v>
      </c>
    </row>
    <row r="482" spans="1:10" ht="13.5" customHeight="1" x14ac:dyDescent="0.35">
      <c r="A482" s="838">
        <v>45842</v>
      </c>
      <c r="B482" s="839" t="s">
        <v>856</v>
      </c>
      <c r="C482" s="840" t="s">
        <v>53</v>
      </c>
      <c r="D482" s="839" t="s">
        <v>165</v>
      </c>
      <c r="E482" s="841">
        <v>-300</v>
      </c>
      <c r="F482" s="848" t="s">
        <v>857</v>
      </c>
      <c r="G482" s="839" t="s">
        <v>175</v>
      </c>
      <c r="I482" t="s">
        <v>220</v>
      </c>
      <c r="J482"/>
    </row>
    <row r="483" spans="1:10" ht="13.5" customHeight="1" x14ac:dyDescent="0.35">
      <c r="A483" s="838">
        <v>45842</v>
      </c>
      <c r="B483" s="839" t="s">
        <v>856</v>
      </c>
      <c r="C483" s="840" t="s">
        <v>47</v>
      </c>
      <c r="D483" s="839" t="s">
        <v>165</v>
      </c>
      <c r="E483" s="841">
        <v>300</v>
      </c>
      <c r="F483" s="848" t="s">
        <v>857</v>
      </c>
      <c r="G483" s="839" t="s">
        <v>175</v>
      </c>
      <c r="I483" t="s">
        <v>342</v>
      </c>
      <c r="J483" t="s">
        <v>269</v>
      </c>
    </row>
    <row r="484" spans="1:10" ht="13.5" customHeight="1" x14ac:dyDescent="0.35">
      <c r="A484" s="838">
        <v>45842</v>
      </c>
      <c r="B484" s="839" t="s">
        <v>858</v>
      </c>
      <c r="C484" s="840" t="s">
        <v>47</v>
      </c>
      <c r="D484" s="839" t="s">
        <v>159</v>
      </c>
      <c r="E484" s="841">
        <v>50</v>
      </c>
      <c r="F484" s="839" t="s">
        <v>859</v>
      </c>
      <c r="G484" s="839" t="s">
        <v>175</v>
      </c>
      <c r="I484" t="s">
        <v>268</v>
      </c>
      <c r="J484" t="s">
        <v>269</v>
      </c>
    </row>
    <row r="485" spans="1:10" ht="13.5" customHeight="1" x14ac:dyDescent="0.35">
      <c r="A485" s="838">
        <v>45839</v>
      </c>
      <c r="B485" s="839" t="s">
        <v>292</v>
      </c>
      <c r="C485" s="840" t="s">
        <v>44</v>
      </c>
      <c r="D485" s="839" t="s">
        <v>159</v>
      </c>
      <c r="E485" s="841">
        <v>35</v>
      </c>
      <c r="F485" s="839" t="s">
        <v>292</v>
      </c>
      <c r="G485" s="839" t="s">
        <v>175</v>
      </c>
      <c r="I485" t="s">
        <v>294</v>
      </c>
      <c r="J485" t="s">
        <v>295</v>
      </c>
    </row>
    <row r="486" spans="1:10" ht="13.5" customHeight="1" x14ac:dyDescent="0.35">
      <c r="A486" s="838"/>
      <c r="B486" s="839"/>
      <c r="C486" s="840"/>
      <c r="D486" s="839"/>
      <c r="E486" s="841"/>
      <c r="F486" s="839"/>
      <c r="G486" s="839"/>
    </row>
    <row r="487" spans="1:10" ht="13.5" customHeight="1" x14ac:dyDescent="0.35">
      <c r="A487" s="838">
        <v>45838</v>
      </c>
      <c r="B487" s="839" t="s">
        <v>860</v>
      </c>
      <c r="C487" s="840" t="s">
        <v>35</v>
      </c>
      <c r="D487" s="839" t="s">
        <v>159</v>
      </c>
      <c r="E487" s="841">
        <v>750</v>
      </c>
      <c r="F487" s="839" t="s">
        <v>219</v>
      </c>
      <c r="G487" s="839" t="s">
        <v>174</v>
      </c>
      <c r="I487" t="s">
        <v>221</v>
      </c>
      <c r="J487" t="s">
        <v>222</v>
      </c>
    </row>
    <row r="488" spans="1:10" ht="13.5" customHeight="1" x14ac:dyDescent="0.35">
      <c r="A488" s="838">
        <v>45838</v>
      </c>
      <c r="B488" s="839" t="s">
        <v>861</v>
      </c>
      <c r="C488" s="840" t="s">
        <v>62</v>
      </c>
      <c r="D488" s="839" t="s">
        <v>160</v>
      </c>
      <c r="E488" s="841">
        <v>5</v>
      </c>
      <c r="F488" s="839" t="s">
        <v>862</v>
      </c>
      <c r="G488" s="839" t="s">
        <v>174</v>
      </c>
      <c r="I488" t="s">
        <v>201</v>
      </c>
      <c r="J488" t="s">
        <v>202</v>
      </c>
    </row>
    <row r="489" spans="1:10" ht="13.5" customHeight="1" x14ac:dyDescent="0.35">
      <c r="A489" s="838">
        <v>45838</v>
      </c>
      <c r="B489" s="839" t="s">
        <v>863</v>
      </c>
      <c r="C489" s="840" t="s">
        <v>47</v>
      </c>
      <c r="D489" s="839" t="s">
        <v>162</v>
      </c>
      <c r="E489" s="841">
        <v>65</v>
      </c>
      <c r="F489" s="839" t="s">
        <v>864</v>
      </c>
      <c r="G489" s="839" t="s">
        <v>126</v>
      </c>
      <c r="I489" t="s">
        <v>205</v>
      </c>
      <c r="J489" t="s">
        <v>206</v>
      </c>
    </row>
    <row r="490" spans="1:10" ht="13.5" customHeight="1" x14ac:dyDescent="0.35">
      <c r="A490" s="838">
        <v>45837</v>
      </c>
      <c r="B490" s="839" t="s">
        <v>865</v>
      </c>
      <c r="C490" s="840" t="s">
        <v>62</v>
      </c>
      <c r="D490" s="839" t="s">
        <v>159</v>
      </c>
      <c r="E490" s="841">
        <v>25</v>
      </c>
      <c r="F490" s="839" t="s">
        <v>866</v>
      </c>
      <c r="G490" s="839" t="s">
        <v>174</v>
      </c>
      <c r="I490" t="s">
        <v>201</v>
      </c>
      <c r="J490" t="s">
        <v>202</v>
      </c>
    </row>
    <row r="491" spans="1:10" ht="13.5" customHeight="1" x14ac:dyDescent="0.35">
      <c r="A491" s="838">
        <v>45833</v>
      </c>
      <c r="B491" s="839" t="s">
        <v>867</v>
      </c>
      <c r="C491" s="840" t="s">
        <v>62</v>
      </c>
      <c r="D491" s="839" t="s">
        <v>159</v>
      </c>
      <c r="E491" s="841">
        <v>25</v>
      </c>
      <c r="F491" s="839" t="s">
        <v>866</v>
      </c>
      <c r="G491" s="839" t="s">
        <v>174</v>
      </c>
      <c r="I491" t="s">
        <v>201</v>
      </c>
      <c r="J491" t="s">
        <v>202</v>
      </c>
    </row>
    <row r="492" spans="1:10" ht="13.5" customHeight="1" x14ac:dyDescent="0.35">
      <c r="A492" s="838">
        <v>45828</v>
      </c>
      <c r="B492" s="839" t="s">
        <v>868</v>
      </c>
      <c r="C492" s="840" t="s">
        <v>47</v>
      </c>
      <c r="D492" s="839" t="s">
        <v>162</v>
      </c>
      <c r="E492" s="841">
        <v>65</v>
      </c>
      <c r="F492" s="839" t="s">
        <v>820</v>
      </c>
      <c r="G492" s="839" t="s">
        <v>126</v>
      </c>
      <c r="I492" t="s">
        <v>205</v>
      </c>
      <c r="J492" t="s">
        <v>206</v>
      </c>
    </row>
    <row r="493" spans="1:10" ht="13.5" customHeight="1" x14ac:dyDescent="0.35">
      <c r="A493" s="838">
        <v>45828</v>
      </c>
      <c r="B493" s="839" t="s">
        <v>869</v>
      </c>
      <c r="C493" s="840" t="s">
        <v>31</v>
      </c>
      <c r="D493" s="839" t="s">
        <v>162</v>
      </c>
      <c r="E493" s="841">
        <v>50</v>
      </c>
      <c r="F493" s="839" t="s">
        <v>729</v>
      </c>
      <c r="G493" s="839" t="s">
        <v>126</v>
      </c>
      <c r="I493" t="s">
        <v>317</v>
      </c>
      <c r="J493" t="s">
        <v>226</v>
      </c>
    </row>
    <row r="494" spans="1:10" ht="13.5" customHeight="1" x14ac:dyDescent="0.35">
      <c r="A494" s="838">
        <v>45828</v>
      </c>
      <c r="B494" s="839" t="s">
        <v>870</v>
      </c>
      <c r="C494" s="840" t="s">
        <v>31</v>
      </c>
      <c r="D494" s="839" t="s">
        <v>162</v>
      </c>
      <c r="E494" s="841">
        <v>50</v>
      </c>
      <c r="F494" s="839" t="s">
        <v>729</v>
      </c>
      <c r="G494" s="839" t="s">
        <v>126</v>
      </c>
      <c r="I494" t="s">
        <v>317</v>
      </c>
      <c r="J494" t="s">
        <v>226</v>
      </c>
    </row>
    <row r="495" spans="1:10" ht="13.5" customHeight="1" x14ac:dyDescent="0.35">
      <c r="A495" s="838">
        <v>45828</v>
      </c>
      <c r="B495" s="839" t="s">
        <v>871</v>
      </c>
      <c r="C495" s="840" t="s">
        <v>31</v>
      </c>
      <c r="D495" s="839" t="s">
        <v>162</v>
      </c>
      <c r="E495" s="841">
        <v>50</v>
      </c>
      <c r="F495" s="839" t="s">
        <v>729</v>
      </c>
      <c r="G495" s="839" t="s">
        <v>126</v>
      </c>
      <c r="I495" t="s">
        <v>317</v>
      </c>
      <c r="J495" t="s">
        <v>226</v>
      </c>
    </row>
    <row r="496" spans="1:10" ht="13.5" customHeight="1" x14ac:dyDescent="0.35">
      <c r="A496" s="838">
        <v>45828</v>
      </c>
      <c r="B496" s="839" t="s">
        <v>872</v>
      </c>
      <c r="C496" s="840" t="s">
        <v>31</v>
      </c>
      <c r="D496" s="839" t="s">
        <v>162</v>
      </c>
      <c r="E496" s="841">
        <v>50</v>
      </c>
      <c r="F496" s="839" t="s">
        <v>729</v>
      </c>
      <c r="G496" s="839" t="s">
        <v>126</v>
      </c>
      <c r="I496" t="s">
        <v>317</v>
      </c>
      <c r="J496" t="s">
        <v>226</v>
      </c>
    </row>
    <row r="497" spans="1:10" ht="13.5" customHeight="1" x14ac:dyDescent="0.35">
      <c r="A497" s="838">
        <v>45828</v>
      </c>
      <c r="B497" s="839" t="s">
        <v>803</v>
      </c>
      <c r="C497" s="840" t="s">
        <v>31</v>
      </c>
      <c r="D497" s="839" t="s">
        <v>162</v>
      </c>
      <c r="E497" s="841">
        <v>50</v>
      </c>
      <c r="F497" s="839" t="s">
        <v>729</v>
      </c>
      <c r="G497" s="839" t="s">
        <v>126</v>
      </c>
      <c r="I497" t="s">
        <v>317</v>
      </c>
      <c r="J497" t="s">
        <v>226</v>
      </c>
    </row>
    <row r="498" spans="1:10" ht="13.5" customHeight="1" x14ac:dyDescent="0.35">
      <c r="A498" s="838">
        <v>45828</v>
      </c>
      <c r="B498" s="839" t="s">
        <v>673</v>
      </c>
      <c r="C498" s="840" t="s">
        <v>31</v>
      </c>
      <c r="D498" s="839" t="s">
        <v>162</v>
      </c>
      <c r="E498" s="841">
        <v>50</v>
      </c>
      <c r="F498" s="839" t="s">
        <v>729</v>
      </c>
      <c r="G498" s="839" t="s">
        <v>126</v>
      </c>
      <c r="I498" t="s">
        <v>317</v>
      </c>
      <c r="J498" t="s">
        <v>226</v>
      </c>
    </row>
    <row r="499" spans="1:10" ht="13.5" customHeight="1" x14ac:dyDescent="0.35">
      <c r="A499" s="838">
        <v>45827</v>
      </c>
      <c r="B499" s="839" t="s">
        <v>89</v>
      </c>
      <c r="C499" s="840" t="s">
        <v>56</v>
      </c>
      <c r="D499" s="839" t="s">
        <v>160</v>
      </c>
      <c r="E499" s="841">
        <v>87.1</v>
      </c>
      <c r="F499" s="839" t="s">
        <v>873</v>
      </c>
      <c r="G499" s="839" t="s">
        <v>89</v>
      </c>
      <c r="I499" t="s">
        <v>333</v>
      </c>
      <c r="J499" t="s">
        <v>286</v>
      </c>
    </row>
    <row r="500" spans="1:10" ht="13.5" customHeight="1" x14ac:dyDescent="0.35">
      <c r="A500" s="838">
        <v>45827</v>
      </c>
      <c r="B500" s="839" t="s">
        <v>874</v>
      </c>
      <c r="C500" s="840" t="s">
        <v>59</v>
      </c>
      <c r="D500" s="839" t="s">
        <v>164</v>
      </c>
      <c r="E500" s="841">
        <v>150</v>
      </c>
      <c r="F500" s="839" t="s">
        <v>875</v>
      </c>
      <c r="G500" s="839" t="s">
        <v>175</v>
      </c>
      <c r="I500" t="s">
        <v>320</v>
      </c>
      <c r="J500" t="s">
        <v>304</v>
      </c>
    </row>
    <row r="501" spans="1:10" ht="13.5" customHeight="1" x14ac:dyDescent="0.35">
      <c r="A501" s="838">
        <v>45827</v>
      </c>
      <c r="B501" s="839" t="s">
        <v>874</v>
      </c>
      <c r="C501" s="840" t="s">
        <v>59</v>
      </c>
      <c r="D501" s="839" t="s">
        <v>159</v>
      </c>
      <c r="E501" s="841">
        <v>150</v>
      </c>
      <c r="F501" s="839" t="s">
        <v>875</v>
      </c>
      <c r="G501" s="839" t="s">
        <v>175</v>
      </c>
      <c r="I501" t="s">
        <v>320</v>
      </c>
      <c r="J501" t="s">
        <v>304</v>
      </c>
    </row>
    <row r="502" spans="1:10" ht="13.5" customHeight="1" x14ac:dyDescent="0.35">
      <c r="A502" s="838">
        <v>45822</v>
      </c>
      <c r="B502" s="839" t="s">
        <v>876</v>
      </c>
      <c r="C502" s="840" t="s">
        <v>31</v>
      </c>
      <c r="D502" s="839" t="s">
        <v>159</v>
      </c>
      <c r="E502" s="841">
        <v>99</v>
      </c>
      <c r="F502" s="839" t="s">
        <v>177</v>
      </c>
      <c r="G502" s="839" t="s">
        <v>174</v>
      </c>
      <c r="I502" t="s">
        <v>210</v>
      </c>
      <c r="J502" t="s">
        <v>211</v>
      </c>
    </row>
    <row r="503" spans="1:10" ht="13.5" customHeight="1" x14ac:dyDescent="0.35">
      <c r="A503" s="838">
        <v>45824</v>
      </c>
      <c r="B503" s="839" t="s">
        <v>877</v>
      </c>
      <c r="C503" s="840" t="s">
        <v>59</v>
      </c>
      <c r="D503" s="839" t="s">
        <v>162</v>
      </c>
      <c r="E503" s="841">
        <v>500</v>
      </c>
      <c r="F503" s="839" t="s">
        <v>878</v>
      </c>
      <c r="G503" s="839" t="s">
        <v>174</v>
      </c>
      <c r="I503" t="s">
        <v>320</v>
      </c>
      <c r="J503" t="s">
        <v>304</v>
      </c>
    </row>
    <row r="504" spans="1:10" ht="13.5" customHeight="1" x14ac:dyDescent="0.35">
      <c r="A504" s="838">
        <v>45815</v>
      </c>
      <c r="B504" s="839" t="s">
        <v>351</v>
      </c>
      <c r="C504" s="840" t="s">
        <v>41</v>
      </c>
      <c r="D504" s="839" t="s">
        <v>166</v>
      </c>
      <c r="E504" s="841">
        <v>-1120</v>
      </c>
      <c r="F504" s="839" t="s">
        <v>463</v>
      </c>
      <c r="G504" s="839" t="s">
        <v>175</v>
      </c>
      <c r="I504" t="s">
        <v>220</v>
      </c>
      <c r="J504"/>
    </row>
    <row r="505" spans="1:10" ht="13.5" customHeight="1" x14ac:dyDescent="0.35">
      <c r="A505" s="838">
        <v>45815</v>
      </c>
      <c r="B505" s="839" t="s">
        <v>351</v>
      </c>
      <c r="C505" s="840" t="s">
        <v>35</v>
      </c>
      <c r="D505" s="839" t="s">
        <v>166</v>
      </c>
      <c r="E505" s="841">
        <v>1120</v>
      </c>
      <c r="F505" s="839" t="s">
        <v>463</v>
      </c>
      <c r="G505" s="839" t="s">
        <v>175</v>
      </c>
      <c r="I505" t="s">
        <v>879</v>
      </c>
      <c r="J505" t="s">
        <v>222</v>
      </c>
    </row>
    <row r="506" spans="1:10" ht="13.5" customHeight="1" x14ac:dyDescent="0.35">
      <c r="A506" s="838">
        <v>45821</v>
      </c>
      <c r="B506" s="839" t="s">
        <v>270</v>
      </c>
      <c r="C506" s="840" t="s">
        <v>47</v>
      </c>
      <c r="D506" s="839" t="s">
        <v>159</v>
      </c>
      <c r="E506" s="841">
        <v>170</v>
      </c>
      <c r="F506" s="839" t="s">
        <v>880</v>
      </c>
      <c r="G506" s="839" t="s">
        <v>175</v>
      </c>
      <c r="I506" t="s">
        <v>314</v>
      </c>
      <c r="J506" t="s">
        <v>269</v>
      </c>
    </row>
    <row r="507" spans="1:10" ht="13.5" customHeight="1" x14ac:dyDescent="0.35">
      <c r="A507" s="838">
        <v>45820</v>
      </c>
      <c r="B507" s="839" t="s">
        <v>881</v>
      </c>
      <c r="C507" s="840" t="s">
        <v>28</v>
      </c>
      <c r="D507" s="839" t="s">
        <v>162</v>
      </c>
      <c r="E507" s="841">
        <v>150</v>
      </c>
      <c r="F507" s="839" t="s">
        <v>666</v>
      </c>
      <c r="G507" s="839" t="s">
        <v>126</v>
      </c>
      <c r="I507" t="s">
        <v>215</v>
      </c>
      <c r="J507" t="s">
        <v>216</v>
      </c>
    </row>
    <row r="508" spans="1:10" ht="13.5" customHeight="1" x14ac:dyDescent="0.35">
      <c r="A508" s="838">
        <v>45820</v>
      </c>
      <c r="B508" s="839" t="s">
        <v>882</v>
      </c>
      <c r="C508" s="840" t="s">
        <v>28</v>
      </c>
      <c r="D508" s="839" t="s">
        <v>162</v>
      </c>
      <c r="E508" s="841">
        <v>150</v>
      </c>
      <c r="F508" s="839" t="s">
        <v>666</v>
      </c>
      <c r="G508" s="839" t="s">
        <v>126</v>
      </c>
      <c r="I508" t="s">
        <v>215</v>
      </c>
      <c r="J508" t="s">
        <v>216</v>
      </c>
    </row>
    <row r="509" spans="1:10" ht="13.5" customHeight="1" x14ac:dyDescent="0.35">
      <c r="A509" s="838">
        <v>45820</v>
      </c>
      <c r="B509" s="839" t="s">
        <v>883</v>
      </c>
      <c r="C509" s="840" t="s">
        <v>28</v>
      </c>
      <c r="D509" s="839" t="s">
        <v>162</v>
      </c>
      <c r="E509" s="841">
        <v>150</v>
      </c>
      <c r="F509" s="839" t="s">
        <v>666</v>
      </c>
      <c r="G509" s="839" t="s">
        <v>126</v>
      </c>
      <c r="I509" t="s">
        <v>215</v>
      </c>
      <c r="J509" t="s">
        <v>216</v>
      </c>
    </row>
    <row r="510" spans="1:10" ht="13.5" customHeight="1" x14ac:dyDescent="0.35">
      <c r="A510" s="838">
        <v>45820</v>
      </c>
      <c r="B510" s="839" t="s">
        <v>884</v>
      </c>
      <c r="C510" s="840" t="s">
        <v>47</v>
      </c>
      <c r="D510" s="839" t="s">
        <v>162</v>
      </c>
      <c r="E510" s="841">
        <v>65</v>
      </c>
      <c r="F510" s="839" t="s">
        <v>820</v>
      </c>
      <c r="G510" s="839" t="s">
        <v>126</v>
      </c>
      <c r="I510" t="s">
        <v>205</v>
      </c>
      <c r="J510" t="s">
        <v>206</v>
      </c>
    </row>
    <row r="511" spans="1:10" ht="13.5" customHeight="1" x14ac:dyDescent="0.35">
      <c r="A511" s="838">
        <v>45820</v>
      </c>
      <c r="B511" s="839" t="s">
        <v>885</v>
      </c>
      <c r="C511" s="840" t="s">
        <v>31</v>
      </c>
      <c r="D511" s="839" t="s">
        <v>162</v>
      </c>
      <c r="E511" s="841">
        <v>95</v>
      </c>
      <c r="F511" s="839" t="s">
        <v>886</v>
      </c>
      <c r="G511" s="839" t="s">
        <v>126</v>
      </c>
      <c r="I511" t="s">
        <v>225</v>
      </c>
      <c r="J511" t="s">
        <v>226</v>
      </c>
    </row>
    <row r="512" spans="1:10" ht="13.5" customHeight="1" x14ac:dyDescent="0.35">
      <c r="A512" s="838">
        <v>45820</v>
      </c>
      <c r="B512" s="839" t="s">
        <v>887</v>
      </c>
      <c r="C512" s="840" t="s">
        <v>31</v>
      </c>
      <c r="D512" s="839" t="s">
        <v>162</v>
      </c>
      <c r="E512" s="841">
        <v>95</v>
      </c>
      <c r="F512" s="839" t="s">
        <v>886</v>
      </c>
      <c r="G512" s="839" t="s">
        <v>126</v>
      </c>
      <c r="I512" t="s">
        <v>225</v>
      </c>
      <c r="J512" t="s">
        <v>226</v>
      </c>
    </row>
    <row r="513" spans="1:10" ht="13.5" customHeight="1" x14ac:dyDescent="0.35">
      <c r="A513" s="838">
        <v>45820</v>
      </c>
      <c r="B513" s="839" t="s">
        <v>888</v>
      </c>
      <c r="C513" s="840" t="s">
        <v>31</v>
      </c>
      <c r="D513" s="839" t="s">
        <v>162</v>
      </c>
      <c r="E513" s="841">
        <v>95</v>
      </c>
      <c r="F513" s="839" t="s">
        <v>886</v>
      </c>
      <c r="G513" s="839" t="s">
        <v>126</v>
      </c>
      <c r="I513" t="s">
        <v>225</v>
      </c>
      <c r="J513" t="s">
        <v>226</v>
      </c>
    </row>
    <row r="514" spans="1:10" ht="13.5" customHeight="1" x14ac:dyDescent="0.35">
      <c r="A514" s="838">
        <v>45820</v>
      </c>
      <c r="B514" s="839" t="s">
        <v>889</v>
      </c>
      <c r="C514" s="840" t="s">
        <v>31</v>
      </c>
      <c r="D514" s="839" t="s">
        <v>162</v>
      </c>
      <c r="E514" s="841">
        <v>95</v>
      </c>
      <c r="F514" s="839" t="s">
        <v>886</v>
      </c>
      <c r="G514" s="839" t="s">
        <v>126</v>
      </c>
      <c r="I514" t="s">
        <v>225</v>
      </c>
      <c r="J514" t="s">
        <v>226</v>
      </c>
    </row>
    <row r="515" spans="1:10" ht="13.5" customHeight="1" x14ac:dyDescent="0.35">
      <c r="A515" s="838">
        <v>45820</v>
      </c>
      <c r="B515" s="839" t="s">
        <v>890</v>
      </c>
      <c r="C515" s="840" t="s">
        <v>31</v>
      </c>
      <c r="D515" s="839" t="s">
        <v>162</v>
      </c>
      <c r="E515" s="841">
        <v>12</v>
      </c>
      <c r="F515" s="839" t="s">
        <v>362</v>
      </c>
      <c r="G515" s="839" t="s">
        <v>126</v>
      </c>
      <c r="I515" t="s">
        <v>325</v>
      </c>
      <c r="J515" t="s">
        <v>226</v>
      </c>
    </row>
    <row r="516" spans="1:10" ht="13.5" customHeight="1" x14ac:dyDescent="0.35">
      <c r="A516" s="838">
        <v>45820</v>
      </c>
      <c r="B516" s="839" t="s">
        <v>891</v>
      </c>
      <c r="C516" s="840" t="s">
        <v>31</v>
      </c>
      <c r="D516" s="839" t="s">
        <v>162</v>
      </c>
      <c r="E516" s="841">
        <v>12</v>
      </c>
      <c r="F516" s="839" t="s">
        <v>362</v>
      </c>
      <c r="G516" s="839" t="s">
        <v>126</v>
      </c>
      <c r="I516" t="s">
        <v>325</v>
      </c>
      <c r="J516" t="s">
        <v>226</v>
      </c>
    </row>
    <row r="517" spans="1:10" ht="13.5" customHeight="1" x14ac:dyDescent="0.35">
      <c r="A517" s="838">
        <v>45820</v>
      </c>
      <c r="B517" s="839" t="s">
        <v>892</v>
      </c>
      <c r="C517" s="840" t="s">
        <v>31</v>
      </c>
      <c r="D517" s="839" t="s">
        <v>162</v>
      </c>
      <c r="E517" s="841">
        <v>12</v>
      </c>
      <c r="F517" s="839" t="s">
        <v>362</v>
      </c>
      <c r="G517" s="839" t="s">
        <v>126</v>
      </c>
      <c r="I517" t="s">
        <v>325</v>
      </c>
      <c r="J517" t="s">
        <v>226</v>
      </c>
    </row>
    <row r="518" spans="1:10" ht="13.5" customHeight="1" x14ac:dyDescent="0.35">
      <c r="A518" s="838">
        <v>45820</v>
      </c>
      <c r="B518" s="839" t="s">
        <v>893</v>
      </c>
      <c r="C518" s="840" t="s">
        <v>31</v>
      </c>
      <c r="D518" s="839" t="s">
        <v>162</v>
      </c>
      <c r="E518" s="841">
        <v>12</v>
      </c>
      <c r="F518" s="839" t="s">
        <v>362</v>
      </c>
      <c r="G518" s="839" t="s">
        <v>126</v>
      </c>
      <c r="I518" t="s">
        <v>325</v>
      </c>
      <c r="J518" t="s">
        <v>226</v>
      </c>
    </row>
    <row r="519" spans="1:10" ht="13.5" customHeight="1" x14ac:dyDescent="0.35">
      <c r="A519" s="838">
        <v>45820</v>
      </c>
      <c r="B519" s="839" t="s">
        <v>894</v>
      </c>
      <c r="C519" s="840" t="s">
        <v>31</v>
      </c>
      <c r="D519" s="839" t="s">
        <v>162</v>
      </c>
      <c r="E519" s="841">
        <v>12</v>
      </c>
      <c r="F519" s="839" t="s">
        <v>362</v>
      </c>
      <c r="G519" s="839" t="s">
        <v>126</v>
      </c>
      <c r="I519" t="s">
        <v>325</v>
      </c>
      <c r="J519" t="s">
        <v>226</v>
      </c>
    </row>
    <row r="520" spans="1:10" ht="13.5" customHeight="1" x14ac:dyDescent="0.35">
      <c r="A520" s="838">
        <v>45820</v>
      </c>
      <c r="B520" s="839" t="s">
        <v>393</v>
      </c>
      <c r="C520" s="840" t="s">
        <v>31</v>
      </c>
      <c r="D520" s="839" t="s">
        <v>162</v>
      </c>
      <c r="E520" s="841">
        <v>15</v>
      </c>
      <c r="F520" s="839" t="s">
        <v>362</v>
      </c>
      <c r="G520" s="839" t="s">
        <v>126</v>
      </c>
      <c r="I520" t="s">
        <v>325</v>
      </c>
      <c r="J520" t="s">
        <v>226</v>
      </c>
    </row>
    <row r="521" spans="1:10" ht="13.5" customHeight="1" x14ac:dyDescent="0.35">
      <c r="A521" s="838">
        <v>45820</v>
      </c>
      <c r="B521" s="839" t="s">
        <v>895</v>
      </c>
      <c r="C521" s="840" t="s">
        <v>31</v>
      </c>
      <c r="D521" s="839" t="s">
        <v>162</v>
      </c>
      <c r="E521" s="841">
        <v>15</v>
      </c>
      <c r="F521" s="839" t="s">
        <v>362</v>
      </c>
      <c r="G521" s="839" t="s">
        <v>126</v>
      </c>
      <c r="I521" t="s">
        <v>325</v>
      </c>
      <c r="J521" t="s">
        <v>226</v>
      </c>
    </row>
    <row r="522" spans="1:10" ht="13.5" customHeight="1" x14ac:dyDescent="0.35">
      <c r="A522" s="838">
        <v>45820</v>
      </c>
      <c r="B522" s="839" t="s">
        <v>896</v>
      </c>
      <c r="C522" s="840" t="s">
        <v>31</v>
      </c>
      <c r="D522" s="839" t="s">
        <v>162</v>
      </c>
      <c r="E522" s="841">
        <v>15</v>
      </c>
      <c r="F522" s="839" t="s">
        <v>362</v>
      </c>
      <c r="G522" s="839" t="s">
        <v>126</v>
      </c>
      <c r="I522" t="s">
        <v>325</v>
      </c>
      <c r="J522" t="s">
        <v>226</v>
      </c>
    </row>
    <row r="523" spans="1:10" ht="13.5" customHeight="1" x14ac:dyDescent="0.35">
      <c r="A523" s="838">
        <v>45820</v>
      </c>
      <c r="B523" s="839" t="s">
        <v>897</v>
      </c>
      <c r="C523" s="840" t="s">
        <v>31</v>
      </c>
      <c r="D523" s="839" t="s">
        <v>162</v>
      </c>
      <c r="E523" s="841">
        <v>35</v>
      </c>
      <c r="F523" s="839" t="s">
        <v>801</v>
      </c>
      <c r="G523" s="839" t="s">
        <v>126</v>
      </c>
      <c r="I523" t="s">
        <v>280</v>
      </c>
      <c r="J523" t="s">
        <v>226</v>
      </c>
    </row>
    <row r="524" spans="1:10" ht="13.5" customHeight="1" x14ac:dyDescent="0.35">
      <c r="A524" s="838">
        <v>45820</v>
      </c>
      <c r="B524" s="839" t="s">
        <v>898</v>
      </c>
      <c r="C524" s="840" t="s">
        <v>31</v>
      </c>
      <c r="D524" s="839" t="s">
        <v>162</v>
      </c>
      <c r="E524" s="841">
        <v>35</v>
      </c>
      <c r="F524" s="839" t="s">
        <v>801</v>
      </c>
      <c r="G524" s="839" t="s">
        <v>126</v>
      </c>
      <c r="I524" t="s">
        <v>280</v>
      </c>
      <c r="J524" t="s">
        <v>226</v>
      </c>
    </row>
    <row r="525" spans="1:10" ht="13.5" customHeight="1" x14ac:dyDescent="0.35">
      <c r="A525" s="838">
        <v>45820</v>
      </c>
      <c r="B525" s="839" t="s">
        <v>606</v>
      </c>
      <c r="C525" s="840" t="s">
        <v>31</v>
      </c>
      <c r="D525" s="839" t="s">
        <v>162</v>
      </c>
      <c r="E525" s="841">
        <v>35</v>
      </c>
      <c r="F525" s="839" t="s">
        <v>801</v>
      </c>
      <c r="G525" s="839" t="s">
        <v>126</v>
      </c>
      <c r="I525" t="s">
        <v>280</v>
      </c>
      <c r="J525" t="s">
        <v>226</v>
      </c>
    </row>
    <row r="526" spans="1:10" ht="13.5" customHeight="1" x14ac:dyDescent="0.35">
      <c r="A526" s="838">
        <v>45820</v>
      </c>
      <c r="B526" s="839" t="s">
        <v>899</v>
      </c>
      <c r="C526" s="840" t="s">
        <v>31</v>
      </c>
      <c r="D526" s="839" t="s">
        <v>162</v>
      </c>
      <c r="E526" s="841">
        <v>35</v>
      </c>
      <c r="F526" s="839" t="s">
        <v>801</v>
      </c>
      <c r="G526" s="839" t="s">
        <v>126</v>
      </c>
      <c r="I526" t="s">
        <v>280</v>
      </c>
      <c r="J526" t="s">
        <v>226</v>
      </c>
    </row>
    <row r="527" spans="1:10" ht="13.5" customHeight="1" x14ac:dyDescent="0.35">
      <c r="A527" s="838">
        <v>45820</v>
      </c>
      <c r="B527" s="839" t="s">
        <v>618</v>
      </c>
      <c r="C527" s="840" t="s">
        <v>31</v>
      </c>
      <c r="D527" s="839" t="s">
        <v>162</v>
      </c>
      <c r="E527" s="841">
        <v>50</v>
      </c>
      <c r="F527" s="839" t="s">
        <v>674</v>
      </c>
      <c r="G527" s="839" t="s">
        <v>126</v>
      </c>
      <c r="I527" t="s">
        <v>380</v>
      </c>
      <c r="J527" t="s">
        <v>226</v>
      </c>
    </row>
    <row r="528" spans="1:10" ht="13.5" customHeight="1" x14ac:dyDescent="0.35">
      <c r="A528" s="838">
        <v>45820</v>
      </c>
      <c r="B528" s="839" t="s">
        <v>615</v>
      </c>
      <c r="C528" s="840" t="s">
        <v>31</v>
      </c>
      <c r="D528" s="839" t="s">
        <v>162</v>
      </c>
      <c r="E528" s="841">
        <v>50</v>
      </c>
      <c r="F528" s="839" t="s">
        <v>674</v>
      </c>
      <c r="G528" s="839" t="s">
        <v>126</v>
      </c>
      <c r="I528" t="s">
        <v>380</v>
      </c>
      <c r="J528" t="s">
        <v>226</v>
      </c>
    </row>
    <row r="529" spans="1:10" ht="13.5" customHeight="1" x14ac:dyDescent="0.35">
      <c r="A529" s="838">
        <v>45820</v>
      </c>
      <c r="B529" s="839" t="s">
        <v>803</v>
      </c>
      <c r="C529" s="840" t="s">
        <v>31</v>
      </c>
      <c r="D529" s="839" t="s">
        <v>162</v>
      </c>
      <c r="E529" s="841">
        <v>50</v>
      </c>
      <c r="F529" s="839" t="s">
        <v>674</v>
      </c>
      <c r="G529" s="839" t="s">
        <v>126</v>
      </c>
      <c r="I529" t="s">
        <v>380</v>
      </c>
      <c r="J529" t="s">
        <v>226</v>
      </c>
    </row>
    <row r="530" spans="1:10" ht="13.5" customHeight="1" x14ac:dyDescent="0.35">
      <c r="A530" s="838">
        <v>45819</v>
      </c>
      <c r="B530" s="839" t="s">
        <v>900</v>
      </c>
      <c r="C530" s="840" t="s">
        <v>35</v>
      </c>
      <c r="D530" s="839" t="s">
        <v>159</v>
      </c>
      <c r="E530" s="841">
        <v>750</v>
      </c>
      <c r="F530" s="839" t="s">
        <v>219</v>
      </c>
      <c r="G530" s="839" t="s">
        <v>174</v>
      </c>
      <c r="I530" t="s">
        <v>221</v>
      </c>
      <c r="J530" t="s">
        <v>222</v>
      </c>
    </row>
    <row r="531" spans="1:10" ht="13.5" customHeight="1" x14ac:dyDescent="0.35">
      <c r="A531" s="838">
        <v>45818</v>
      </c>
      <c r="B531" s="839" t="s">
        <v>901</v>
      </c>
      <c r="C531" s="840" t="s">
        <v>31</v>
      </c>
      <c r="D531" s="839" t="s">
        <v>159</v>
      </c>
      <c r="E531" s="841">
        <v>79.2</v>
      </c>
      <c r="F531" s="839" t="s">
        <v>177</v>
      </c>
      <c r="G531" s="839" t="s">
        <v>176</v>
      </c>
      <c r="I531" t="s">
        <v>210</v>
      </c>
      <c r="J531" t="s">
        <v>211</v>
      </c>
    </row>
    <row r="532" spans="1:10" ht="13.5" customHeight="1" x14ac:dyDescent="0.35">
      <c r="A532" s="838">
        <v>45818</v>
      </c>
      <c r="B532" s="839" t="s">
        <v>902</v>
      </c>
      <c r="C532" s="840" t="s">
        <v>31</v>
      </c>
      <c r="D532" s="839" t="s">
        <v>162</v>
      </c>
      <c r="E532" s="841">
        <v>99</v>
      </c>
      <c r="F532" s="839" t="s">
        <v>230</v>
      </c>
      <c r="G532" s="839" t="s">
        <v>126</v>
      </c>
      <c r="I532" t="s">
        <v>231</v>
      </c>
      <c r="J532" t="s">
        <v>232</v>
      </c>
    </row>
    <row r="533" spans="1:10" ht="13.5" customHeight="1" x14ac:dyDescent="0.35">
      <c r="A533" s="838">
        <v>45818</v>
      </c>
      <c r="B533" s="839" t="s">
        <v>730</v>
      </c>
      <c r="C533" s="840" t="s">
        <v>31</v>
      </c>
      <c r="D533" s="839" t="s">
        <v>162</v>
      </c>
      <c r="E533" s="841">
        <v>99</v>
      </c>
      <c r="F533" s="839" t="s">
        <v>230</v>
      </c>
      <c r="G533" s="839" t="s">
        <v>126</v>
      </c>
      <c r="I533" t="s">
        <v>231</v>
      </c>
      <c r="J533" t="s">
        <v>232</v>
      </c>
    </row>
    <row r="534" spans="1:10" ht="13.5" customHeight="1" x14ac:dyDescent="0.35">
      <c r="A534" s="838">
        <v>45818</v>
      </c>
      <c r="B534" s="839" t="s">
        <v>903</v>
      </c>
      <c r="C534" s="840" t="s">
        <v>31</v>
      </c>
      <c r="D534" s="839" t="s">
        <v>162</v>
      </c>
      <c r="E534" s="841">
        <v>150</v>
      </c>
      <c r="F534" s="839" t="s">
        <v>230</v>
      </c>
      <c r="G534" s="839" t="s">
        <v>126</v>
      </c>
      <c r="I534" t="s">
        <v>231</v>
      </c>
      <c r="J534" t="s">
        <v>232</v>
      </c>
    </row>
    <row r="535" spans="1:10" ht="13.5" customHeight="1" x14ac:dyDescent="0.35">
      <c r="A535" s="838">
        <v>45818</v>
      </c>
      <c r="B535" s="839" t="s">
        <v>904</v>
      </c>
      <c r="C535" s="840" t="s">
        <v>31</v>
      </c>
      <c r="D535" s="839" t="s">
        <v>162</v>
      </c>
      <c r="E535" s="841">
        <v>150</v>
      </c>
      <c r="F535" s="839" t="s">
        <v>230</v>
      </c>
      <c r="G535" s="839" t="s">
        <v>126</v>
      </c>
      <c r="I535" t="s">
        <v>231</v>
      </c>
      <c r="J535" t="s">
        <v>232</v>
      </c>
    </row>
    <row r="536" spans="1:10" ht="13.5" customHeight="1" x14ac:dyDescent="0.35">
      <c r="A536" s="838">
        <v>45818</v>
      </c>
      <c r="B536" s="839" t="s">
        <v>905</v>
      </c>
      <c r="C536" s="840" t="s">
        <v>31</v>
      </c>
      <c r="D536" s="839" t="s">
        <v>162</v>
      </c>
      <c r="E536" s="841">
        <v>150</v>
      </c>
      <c r="F536" s="839" t="s">
        <v>230</v>
      </c>
      <c r="G536" s="839" t="s">
        <v>126</v>
      </c>
      <c r="I536" t="s">
        <v>231</v>
      </c>
      <c r="J536" t="s">
        <v>232</v>
      </c>
    </row>
    <row r="537" spans="1:10" ht="13.5" customHeight="1" x14ac:dyDescent="0.35">
      <c r="A537" s="838">
        <v>45818</v>
      </c>
      <c r="B537" s="839" t="s">
        <v>906</v>
      </c>
      <c r="C537" s="840" t="s">
        <v>31</v>
      </c>
      <c r="D537" s="839" t="s">
        <v>162</v>
      </c>
      <c r="E537" s="841">
        <v>99</v>
      </c>
      <c r="F537" s="839" t="s">
        <v>230</v>
      </c>
      <c r="G537" s="839" t="s">
        <v>126</v>
      </c>
      <c r="I537" t="s">
        <v>231</v>
      </c>
      <c r="J537" t="s">
        <v>232</v>
      </c>
    </row>
    <row r="538" spans="1:10" ht="13.5" customHeight="1" x14ac:dyDescent="0.35">
      <c r="A538" s="838">
        <v>45818</v>
      </c>
      <c r="B538" s="839" t="s">
        <v>907</v>
      </c>
      <c r="C538" s="840" t="s">
        <v>31</v>
      </c>
      <c r="D538" s="839" t="s">
        <v>162</v>
      </c>
      <c r="E538" s="841">
        <v>99</v>
      </c>
      <c r="F538" s="839" t="s">
        <v>230</v>
      </c>
      <c r="G538" s="839" t="s">
        <v>126</v>
      </c>
      <c r="I538" t="s">
        <v>231</v>
      </c>
      <c r="J538" t="s">
        <v>232</v>
      </c>
    </row>
    <row r="539" spans="1:10" ht="13.5" customHeight="1" x14ac:dyDescent="0.35">
      <c r="A539" s="838">
        <v>45818</v>
      </c>
      <c r="B539" s="839" t="s">
        <v>908</v>
      </c>
      <c r="C539" s="840" t="s">
        <v>31</v>
      </c>
      <c r="D539" s="839" t="s">
        <v>162</v>
      </c>
      <c r="E539" s="841">
        <v>99</v>
      </c>
      <c r="F539" s="839" t="s">
        <v>230</v>
      </c>
      <c r="G539" s="839" t="s">
        <v>126</v>
      </c>
      <c r="I539" t="s">
        <v>231</v>
      </c>
      <c r="J539" t="s">
        <v>232</v>
      </c>
    </row>
    <row r="540" spans="1:10" ht="13.5" customHeight="1" x14ac:dyDescent="0.35">
      <c r="A540" s="838">
        <v>45818</v>
      </c>
      <c r="B540" s="839" t="s">
        <v>909</v>
      </c>
      <c r="C540" s="840" t="s">
        <v>31</v>
      </c>
      <c r="D540" s="839" t="s">
        <v>162</v>
      </c>
      <c r="E540" s="841">
        <v>99</v>
      </c>
      <c r="F540" s="839" t="s">
        <v>230</v>
      </c>
      <c r="G540" s="839" t="s">
        <v>126</v>
      </c>
      <c r="I540" t="s">
        <v>231</v>
      </c>
      <c r="J540" t="s">
        <v>232</v>
      </c>
    </row>
    <row r="541" spans="1:10" ht="13.5" customHeight="1" x14ac:dyDescent="0.35">
      <c r="A541" s="838">
        <v>45818</v>
      </c>
      <c r="B541" s="839" t="s">
        <v>910</v>
      </c>
      <c r="C541" s="840" t="s">
        <v>31</v>
      </c>
      <c r="D541" s="839" t="s">
        <v>162</v>
      </c>
      <c r="E541" s="841">
        <v>99</v>
      </c>
      <c r="F541" s="839" t="s">
        <v>230</v>
      </c>
      <c r="G541" s="839" t="s">
        <v>126</v>
      </c>
      <c r="I541" t="s">
        <v>231</v>
      </c>
      <c r="J541" t="s">
        <v>232</v>
      </c>
    </row>
    <row r="542" spans="1:10" ht="13.5" customHeight="1" x14ac:dyDescent="0.35">
      <c r="A542" s="838">
        <v>45818</v>
      </c>
      <c r="B542" s="839" t="s">
        <v>650</v>
      </c>
      <c r="C542" s="840" t="s">
        <v>31</v>
      </c>
      <c r="D542" s="839" t="s">
        <v>162</v>
      </c>
      <c r="E542" s="841">
        <v>99</v>
      </c>
      <c r="F542" s="839" t="s">
        <v>230</v>
      </c>
      <c r="G542" s="839" t="s">
        <v>126</v>
      </c>
      <c r="I542" t="s">
        <v>231</v>
      </c>
      <c r="J542" t="s">
        <v>232</v>
      </c>
    </row>
    <row r="543" spans="1:10" ht="13.5" customHeight="1" x14ac:dyDescent="0.35">
      <c r="A543" s="838">
        <v>45818</v>
      </c>
      <c r="B543" s="839" t="s">
        <v>911</v>
      </c>
      <c r="C543" s="840" t="s">
        <v>31</v>
      </c>
      <c r="D543" s="839" t="s">
        <v>162</v>
      </c>
      <c r="E543" s="841">
        <v>150</v>
      </c>
      <c r="F543" s="839" t="s">
        <v>230</v>
      </c>
      <c r="G543" s="839" t="s">
        <v>126</v>
      </c>
      <c r="I543" t="s">
        <v>231</v>
      </c>
      <c r="J543" t="s">
        <v>232</v>
      </c>
    </row>
    <row r="544" spans="1:10" ht="13.5" customHeight="1" x14ac:dyDescent="0.35">
      <c r="A544" s="838">
        <v>45818</v>
      </c>
      <c r="B544" s="839" t="s">
        <v>912</v>
      </c>
      <c r="C544" s="840" t="s">
        <v>31</v>
      </c>
      <c r="D544" s="839" t="s">
        <v>162</v>
      </c>
      <c r="E544" s="841">
        <v>99</v>
      </c>
      <c r="F544" s="839" t="s">
        <v>230</v>
      </c>
      <c r="G544" s="839" t="s">
        <v>126</v>
      </c>
      <c r="I544" t="s">
        <v>231</v>
      </c>
      <c r="J544" t="s">
        <v>232</v>
      </c>
    </row>
    <row r="545" spans="1:10" ht="13.5" customHeight="1" x14ac:dyDescent="0.35">
      <c r="A545" s="838">
        <v>45818</v>
      </c>
      <c r="B545" s="839" t="s">
        <v>913</v>
      </c>
      <c r="C545" s="840" t="s">
        <v>31</v>
      </c>
      <c r="D545" s="839" t="s">
        <v>162</v>
      </c>
      <c r="E545" s="841">
        <v>99</v>
      </c>
      <c r="F545" s="839" t="s">
        <v>230</v>
      </c>
      <c r="G545" s="839" t="s">
        <v>126</v>
      </c>
      <c r="I545" t="s">
        <v>231</v>
      </c>
      <c r="J545" t="s">
        <v>232</v>
      </c>
    </row>
    <row r="546" spans="1:10" ht="13.5" customHeight="1" x14ac:dyDescent="0.35">
      <c r="A546" s="838">
        <v>45818</v>
      </c>
      <c r="B546" s="839" t="s">
        <v>800</v>
      </c>
      <c r="C546" s="840" t="s">
        <v>31</v>
      </c>
      <c r="D546" s="839" t="s">
        <v>162</v>
      </c>
      <c r="E546" s="841">
        <v>99</v>
      </c>
      <c r="F546" s="839" t="s">
        <v>230</v>
      </c>
      <c r="G546" s="839" t="s">
        <v>126</v>
      </c>
      <c r="I546" t="s">
        <v>231</v>
      </c>
      <c r="J546" t="s">
        <v>232</v>
      </c>
    </row>
    <row r="547" spans="1:10" ht="13.5" customHeight="1" x14ac:dyDescent="0.35">
      <c r="A547" s="838">
        <v>45818</v>
      </c>
      <c r="B547" s="839" t="s">
        <v>841</v>
      </c>
      <c r="C547" s="840" t="s">
        <v>31</v>
      </c>
      <c r="D547" s="839" t="s">
        <v>162</v>
      </c>
      <c r="E547" s="841">
        <v>99</v>
      </c>
      <c r="F547" s="839" t="s">
        <v>230</v>
      </c>
      <c r="G547" s="839" t="s">
        <v>126</v>
      </c>
      <c r="I547" t="s">
        <v>231</v>
      </c>
      <c r="J547" t="s">
        <v>232</v>
      </c>
    </row>
    <row r="548" spans="1:10" ht="13.5" customHeight="1" x14ac:dyDescent="0.35">
      <c r="A548" s="838">
        <v>45818</v>
      </c>
      <c r="B548" s="839" t="s">
        <v>914</v>
      </c>
      <c r="C548" s="840" t="s">
        <v>31</v>
      </c>
      <c r="D548" s="839" t="s">
        <v>162</v>
      </c>
      <c r="E548" s="841">
        <v>99</v>
      </c>
      <c r="F548" s="839" t="s">
        <v>230</v>
      </c>
      <c r="G548" s="839" t="s">
        <v>126</v>
      </c>
      <c r="I548" t="s">
        <v>231</v>
      </c>
      <c r="J548" t="s">
        <v>232</v>
      </c>
    </row>
    <row r="549" spans="1:10" ht="13.5" customHeight="1" x14ac:dyDescent="0.35">
      <c r="A549" s="838">
        <v>45817</v>
      </c>
      <c r="B549" s="839" t="s">
        <v>915</v>
      </c>
      <c r="C549" s="840" t="s">
        <v>50</v>
      </c>
      <c r="D549" s="839" t="s">
        <v>159</v>
      </c>
      <c r="E549" s="841">
        <v>350</v>
      </c>
      <c r="F549" s="839" t="s">
        <v>734</v>
      </c>
      <c r="G549" s="839" t="s">
        <v>174</v>
      </c>
      <c r="I549" t="s">
        <v>210</v>
      </c>
      <c r="J549" t="s">
        <v>211</v>
      </c>
    </row>
    <row r="550" spans="1:10" ht="13.5" customHeight="1" x14ac:dyDescent="0.35">
      <c r="A550" s="838">
        <v>45816</v>
      </c>
      <c r="B550" s="839" t="s">
        <v>916</v>
      </c>
      <c r="C550" s="840" t="s">
        <v>50</v>
      </c>
      <c r="D550" s="839" t="s">
        <v>159</v>
      </c>
      <c r="E550" s="841">
        <v>50</v>
      </c>
      <c r="F550" s="839" t="s">
        <v>734</v>
      </c>
      <c r="G550" s="839" t="s">
        <v>174</v>
      </c>
      <c r="I550" t="s">
        <v>210</v>
      </c>
      <c r="J550" t="s">
        <v>211</v>
      </c>
    </row>
    <row r="551" spans="1:10" ht="13.5" customHeight="1" x14ac:dyDescent="0.35">
      <c r="A551" s="838">
        <v>45815</v>
      </c>
      <c r="B551" s="839" t="s">
        <v>917</v>
      </c>
      <c r="C551" s="840" t="s">
        <v>31</v>
      </c>
      <c r="D551" s="839" t="s">
        <v>159</v>
      </c>
      <c r="E551" s="841">
        <v>297</v>
      </c>
      <c r="F551" s="839" t="s">
        <v>177</v>
      </c>
      <c r="G551" s="839" t="s">
        <v>174</v>
      </c>
      <c r="I551" t="s">
        <v>210</v>
      </c>
      <c r="J551" t="s">
        <v>211</v>
      </c>
    </row>
    <row r="552" spans="1:10" ht="13.5" customHeight="1" x14ac:dyDescent="0.35">
      <c r="A552" s="838">
        <v>45809</v>
      </c>
      <c r="B552" s="839" t="s">
        <v>292</v>
      </c>
      <c r="C552" s="840" t="s">
        <v>44</v>
      </c>
      <c r="D552" s="839" t="s">
        <v>159</v>
      </c>
      <c r="E552" s="841">
        <v>50</v>
      </c>
      <c r="F552" s="839" t="s">
        <v>292</v>
      </c>
      <c r="G552" s="839" t="s">
        <v>175</v>
      </c>
      <c r="I552" t="s">
        <v>294</v>
      </c>
      <c r="J552" t="s">
        <v>295</v>
      </c>
    </row>
    <row r="553" spans="1:10" ht="13.5" customHeight="1" x14ac:dyDescent="0.35">
      <c r="A553" s="838"/>
      <c r="B553" s="839"/>
      <c r="C553" s="840"/>
      <c r="D553" s="839"/>
      <c r="E553" s="841"/>
      <c r="F553" s="839"/>
      <c r="G553" s="839"/>
    </row>
    <row r="554" spans="1:10" ht="13.5" customHeight="1" x14ac:dyDescent="0.35">
      <c r="A554" s="838">
        <v>45802</v>
      </c>
      <c r="B554" s="839" t="s">
        <v>918</v>
      </c>
      <c r="C554" s="840" t="s">
        <v>28</v>
      </c>
      <c r="D554" s="839" t="s">
        <v>159</v>
      </c>
      <c r="E554" s="841">
        <v>150</v>
      </c>
      <c r="F554" s="839" t="s">
        <v>195</v>
      </c>
      <c r="G554" s="839" t="s">
        <v>174</v>
      </c>
      <c r="I554" t="s">
        <v>196</v>
      </c>
      <c r="J554" t="s">
        <v>197</v>
      </c>
    </row>
    <row r="555" spans="1:10" ht="13.5" customHeight="1" x14ac:dyDescent="0.35">
      <c r="A555" s="838">
        <v>45800</v>
      </c>
      <c r="B555" s="839" t="s">
        <v>919</v>
      </c>
      <c r="C555" s="840" t="s">
        <v>47</v>
      </c>
      <c r="D555" s="839" t="s">
        <v>162</v>
      </c>
      <c r="E555" s="841">
        <v>65</v>
      </c>
      <c r="F555" s="839" t="s">
        <v>621</v>
      </c>
      <c r="G555" s="839" t="s">
        <v>126</v>
      </c>
      <c r="I555" t="s">
        <v>205</v>
      </c>
      <c r="J555" t="s">
        <v>206</v>
      </c>
    </row>
    <row r="556" spans="1:10" ht="13.5" customHeight="1" x14ac:dyDescent="0.35">
      <c r="A556" s="838">
        <v>45800</v>
      </c>
      <c r="B556" s="839" t="s">
        <v>920</v>
      </c>
      <c r="C556" s="840" t="s">
        <v>47</v>
      </c>
      <c r="D556" s="839" t="s">
        <v>162</v>
      </c>
      <c r="E556" s="841">
        <v>50</v>
      </c>
      <c r="F556" s="839" t="s">
        <v>621</v>
      </c>
      <c r="G556" s="839" t="s">
        <v>126</v>
      </c>
      <c r="I556" t="s">
        <v>205</v>
      </c>
      <c r="J556" t="s">
        <v>206</v>
      </c>
    </row>
    <row r="557" spans="1:10" ht="13.5" customHeight="1" x14ac:dyDescent="0.35">
      <c r="A557" s="838">
        <v>45800</v>
      </c>
      <c r="B557" s="839" t="s">
        <v>921</v>
      </c>
      <c r="C557" s="840" t="s">
        <v>47</v>
      </c>
      <c r="D557" s="839" t="s">
        <v>162</v>
      </c>
      <c r="E557" s="841">
        <v>65</v>
      </c>
      <c r="F557" s="839" t="s">
        <v>621</v>
      </c>
      <c r="G557" s="839" t="s">
        <v>126</v>
      </c>
      <c r="I557" t="s">
        <v>205</v>
      </c>
      <c r="J557" t="s">
        <v>206</v>
      </c>
    </row>
    <row r="558" spans="1:10" ht="13.5" customHeight="1" x14ac:dyDescent="0.35">
      <c r="A558" s="838">
        <v>45800</v>
      </c>
      <c r="B558" s="839" t="s">
        <v>922</v>
      </c>
      <c r="C558" s="840" t="s">
        <v>47</v>
      </c>
      <c r="D558" s="839" t="s">
        <v>162</v>
      </c>
      <c r="E558" s="841">
        <v>150</v>
      </c>
      <c r="F558" s="839" t="s">
        <v>923</v>
      </c>
      <c r="G558" s="839" t="s">
        <v>126</v>
      </c>
      <c r="I558" t="s">
        <v>294</v>
      </c>
      <c r="J558" t="s">
        <v>295</v>
      </c>
    </row>
    <row r="559" spans="1:10" ht="13.5" customHeight="1" x14ac:dyDescent="0.35">
      <c r="A559" s="838">
        <v>45800</v>
      </c>
      <c r="B559" s="839" t="s">
        <v>924</v>
      </c>
      <c r="C559" s="840" t="s">
        <v>47</v>
      </c>
      <c r="D559" s="839" t="s">
        <v>162</v>
      </c>
      <c r="E559" s="841">
        <v>50</v>
      </c>
      <c r="F559" s="839" t="s">
        <v>621</v>
      </c>
      <c r="G559" s="839" t="s">
        <v>126</v>
      </c>
      <c r="I559" t="s">
        <v>205</v>
      </c>
      <c r="J559" t="s">
        <v>206</v>
      </c>
    </row>
    <row r="560" spans="1:10" ht="13.5" customHeight="1" x14ac:dyDescent="0.35">
      <c r="A560" s="838">
        <v>45797</v>
      </c>
      <c r="B560" s="839" t="s">
        <v>925</v>
      </c>
      <c r="C560" s="840" t="s">
        <v>31</v>
      </c>
      <c r="D560" s="839" t="s">
        <v>162</v>
      </c>
      <c r="E560" s="841">
        <v>125</v>
      </c>
      <c r="F560" s="839" t="s">
        <v>664</v>
      </c>
      <c r="G560" s="839" t="s">
        <v>126</v>
      </c>
      <c r="I560" t="s">
        <v>274</v>
      </c>
      <c r="J560" t="s">
        <v>232</v>
      </c>
    </row>
    <row r="561" spans="1:10" ht="13.5" customHeight="1" x14ac:dyDescent="0.35">
      <c r="A561" s="838">
        <v>45797</v>
      </c>
      <c r="B561" s="839" t="s">
        <v>926</v>
      </c>
      <c r="C561" s="840" t="s">
        <v>31</v>
      </c>
      <c r="D561" s="839" t="s">
        <v>162</v>
      </c>
      <c r="E561" s="841">
        <v>125</v>
      </c>
      <c r="F561" s="839" t="s">
        <v>664</v>
      </c>
      <c r="G561" s="839" t="s">
        <v>126</v>
      </c>
      <c r="I561" t="s">
        <v>274</v>
      </c>
      <c r="J561" t="s">
        <v>232</v>
      </c>
    </row>
    <row r="562" spans="1:10" ht="13.5" customHeight="1" x14ac:dyDescent="0.35">
      <c r="A562" s="838">
        <v>45797</v>
      </c>
      <c r="B562" s="839" t="s">
        <v>591</v>
      </c>
      <c r="C562" s="840" t="s">
        <v>47</v>
      </c>
      <c r="D562" s="839" t="s">
        <v>162</v>
      </c>
      <c r="E562" s="841">
        <v>65</v>
      </c>
      <c r="F562" s="839" t="s">
        <v>820</v>
      </c>
      <c r="G562" s="839" t="s">
        <v>126</v>
      </c>
      <c r="I562" t="s">
        <v>205</v>
      </c>
      <c r="J562" t="s">
        <v>206</v>
      </c>
    </row>
    <row r="563" spans="1:10" ht="13.5" customHeight="1" x14ac:dyDescent="0.35">
      <c r="A563" s="838">
        <v>45797</v>
      </c>
      <c r="B563" s="839" t="s">
        <v>927</v>
      </c>
      <c r="C563" s="840" t="s">
        <v>47</v>
      </c>
      <c r="D563" s="839" t="s">
        <v>162</v>
      </c>
      <c r="E563" s="841">
        <v>50</v>
      </c>
      <c r="F563" s="839" t="s">
        <v>820</v>
      </c>
      <c r="G563" s="839" t="s">
        <v>126</v>
      </c>
      <c r="I563" t="s">
        <v>205</v>
      </c>
      <c r="J563" t="s">
        <v>206</v>
      </c>
    </row>
    <row r="564" spans="1:10" ht="13.5" customHeight="1" x14ac:dyDescent="0.35">
      <c r="A564" s="838">
        <v>45797</v>
      </c>
      <c r="B564" s="839" t="s">
        <v>907</v>
      </c>
      <c r="C564" s="840" t="s">
        <v>31</v>
      </c>
      <c r="D564" s="839" t="s">
        <v>162</v>
      </c>
      <c r="E564" s="841">
        <v>50</v>
      </c>
      <c r="F564" s="839" t="s">
        <v>681</v>
      </c>
      <c r="G564" s="839" t="s">
        <v>126</v>
      </c>
      <c r="I564" t="s">
        <v>244</v>
      </c>
      <c r="J564" t="s">
        <v>226</v>
      </c>
    </row>
    <row r="565" spans="1:10" ht="13.5" customHeight="1" x14ac:dyDescent="0.35">
      <c r="A565" s="838">
        <v>45797</v>
      </c>
      <c r="B565" s="839" t="s">
        <v>591</v>
      </c>
      <c r="C565" s="840" t="s">
        <v>31</v>
      </c>
      <c r="D565" s="839" t="s">
        <v>162</v>
      </c>
      <c r="E565" s="841">
        <v>50</v>
      </c>
      <c r="F565" s="839" t="s">
        <v>681</v>
      </c>
      <c r="G565" s="839" t="s">
        <v>126</v>
      </c>
      <c r="I565" t="s">
        <v>244</v>
      </c>
      <c r="J565" t="s">
        <v>226</v>
      </c>
    </row>
    <row r="566" spans="1:10" ht="13.5" customHeight="1" x14ac:dyDescent="0.35">
      <c r="A566" s="838">
        <v>45797</v>
      </c>
      <c r="B566" s="839" t="s">
        <v>928</v>
      </c>
      <c r="C566" s="840" t="s">
        <v>31</v>
      </c>
      <c r="D566" s="839" t="s">
        <v>162</v>
      </c>
      <c r="E566" s="841">
        <v>50</v>
      </c>
      <c r="F566" s="839" t="s">
        <v>681</v>
      </c>
      <c r="G566" s="839" t="s">
        <v>126</v>
      </c>
      <c r="I566" t="s">
        <v>244</v>
      </c>
      <c r="J566" t="s">
        <v>226</v>
      </c>
    </row>
    <row r="567" spans="1:10" ht="13.5" customHeight="1" x14ac:dyDescent="0.35">
      <c r="A567" s="838">
        <v>45797</v>
      </c>
      <c r="B567" s="839" t="s">
        <v>390</v>
      </c>
      <c r="C567" s="840" t="s">
        <v>31</v>
      </c>
      <c r="D567" s="839" t="s">
        <v>162</v>
      </c>
      <c r="E567" s="841">
        <v>50</v>
      </c>
      <c r="F567" s="839" t="s">
        <v>681</v>
      </c>
      <c r="G567" s="839" t="s">
        <v>126</v>
      </c>
      <c r="I567" t="s">
        <v>244</v>
      </c>
      <c r="J567" t="s">
        <v>226</v>
      </c>
    </row>
    <row r="568" spans="1:10" ht="13.5" customHeight="1" x14ac:dyDescent="0.35">
      <c r="A568" s="838">
        <v>45797</v>
      </c>
      <c r="B568" s="839" t="s">
        <v>929</v>
      </c>
      <c r="C568" s="840" t="s">
        <v>31</v>
      </c>
      <c r="D568" s="839" t="s">
        <v>162</v>
      </c>
      <c r="E568" s="841">
        <v>50</v>
      </c>
      <c r="F568" s="839" t="s">
        <v>681</v>
      </c>
      <c r="G568" s="839" t="s">
        <v>126</v>
      </c>
      <c r="I568" t="s">
        <v>244</v>
      </c>
      <c r="J568" t="s">
        <v>226</v>
      </c>
    </row>
    <row r="569" spans="1:10" ht="13.5" customHeight="1" x14ac:dyDescent="0.35">
      <c r="A569" s="838">
        <v>45797</v>
      </c>
      <c r="B569" s="839" t="s">
        <v>895</v>
      </c>
      <c r="C569" s="840" t="s">
        <v>31</v>
      </c>
      <c r="D569" s="839" t="s">
        <v>162</v>
      </c>
      <c r="E569" s="841">
        <v>50</v>
      </c>
      <c r="F569" s="839" t="s">
        <v>681</v>
      </c>
      <c r="G569" s="839" t="s">
        <v>126</v>
      </c>
      <c r="I569" t="s">
        <v>244</v>
      </c>
      <c r="J569" t="s">
        <v>226</v>
      </c>
    </row>
    <row r="570" spans="1:10" ht="13.5" customHeight="1" x14ac:dyDescent="0.35">
      <c r="A570" s="838">
        <v>45797</v>
      </c>
      <c r="B570" s="839" t="s">
        <v>930</v>
      </c>
      <c r="C570" s="840" t="s">
        <v>31</v>
      </c>
      <c r="D570" s="839" t="s">
        <v>162</v>
      </c>
      <c r="E570" s="841">
        <v>50</v>
      </c>
      <c r="F570" s="839" t="s">
        <v>681</v>
      </c>
      <c r="G570" s="839" t="s">
        <v>126</v>
      </c>
      <c r="I570" t="s">
        <v>244</v>
      </c>
      <c r="J570" t="s">
        <v>226</v>
      </c>
    </row>
    <row r="571" spans="1:10" ht="13.5" customHeight="1" x14ac:dyDescent="0.35">
      <c r="A571" s="838">
        <v>45797</v>
      </c>
      <c r="B571" s="839" t="s">
        <v>387</v>
      </c>
      <c r="C571" s="840" t="s">
        <v>47</v>
      </c>
      <c r="D571" s="839" t="s">
        <v>162</v>
      </c>
      <c r="E571" s="841">
        <v>120</v>
      </c>
      <c r="F571" s="839" t="s">
        <v>817</v>
      </c>
      <c r="G571" s="839" t="s">
        <v>126</v>
      </c>
      <c r="I571" t="s">
        <v>265</v>
      </c>
      <c r="J571" t="s">
        <v>206</v>
      </c>
    </row>
    <row r="572" spans="1:10" ht="13.5" customHeight="1" x14ac:dyDescent="0.35">
      <c r="A572" s="838">
        <v>45797</v>
      </c>
      <c r="B572" s="839" t="s">
        <v>393</v>
      </c>
      <c r="C572" s="840" t="s">
        <v>47</v>
      </c>
      <c r="D572" s="839" t="s">
        <v>162</v>
      </c>
      <c r="E572" s="841">
        <v>120</v>
      </c>
      <c r="F572" s="839" t="s">
        <v>817</v>
      </c>
      <c r="G572" s="839" t="s">
        <v>126</v>
      </c>
      <c r="I572" t="s">
        <v>265</v>
      </c>
      <c r="J572" t="s">
        <v>206</v>
      </c>
    </row>
    <row r="573" spans="1:10" ht="13.5" customHeight="1" x14ac:dyDescent="0.35">
      <c r="A573" s="838">
        <v>45797</v>
      </c>
      <c r="B573" s="839" t="s">
        <v>919</v>
      </c>
      <c r="C573" s="840" t="s">
        <v>47</v>
      </c>
      <c r="D573" s="839" t="s">
        <v>162</v>
      </c>
      <c r="E573" s="841">
        <v>65</v>
      </c>
      <c r="F573" s="839" t="s">
        <v>820</v>
      </c>
      <c r="G573" s="839" t="s">
        <v>126</v>
      </c>
      <c r="I573" t="s">
        <v>205</v>
      </c>
      <c r="J573" t="s">
        <v>206</v>
      </c>
    </row>
    <row r="574" spans="1:10" ht="13.5" customHeight="1" x14ac:dyDescent="0.35">
      <c r="A574" s="838">
        <v>45797</v>
      </c>
      <c r="B574" s="839" t="s">
        <v>931</v>
      </c>
      <c r="C574" s="840" t="s">
        <v>28</v>
      </c>
      <c r="D574" s="839" t="s">
        <v>162</v>
      </c>
      <c r="E574" s="841">
        <v>150</v>
      </c>
      <c r="F574" s="839" t="s">
        <v>580</v>
      </c>
      <c r="G574" s="839" t="s">
        <v>126</v>
      </c>
      <c r="I574" t="s">
        <v>196</v>
      </c>
      <c r="J574" t="s">
        <v>197</v>
      </c>
    </row>
    <row r="575" spans="1:10" ht="13.5" customHeight="1" x14ac:dyDescent="0.35">
      <c r="A575" s="838">
        <v>45797</v>
      </c>
      <c r="B575" s="839" t="s">
        <v>932</v>
      </c>
      <c r="C575" s="840" t="s">
        <v>28</v>
      </c>
      <c r="D575" s="839" t="s">
        <v>162</v>
      </c>
      <c r="E575" s="841">
        <v>150</v>
      </c>
      <c r="F575" s="839" t="s">
        <v>580</v>
      </c>
      <c r="G575" s="839" t="s">
        <v>126</v>
      </c>
      <c r="I575" t="s">
        <v>196</v>
      </c>
      <c r="J575" t="s">
        <v>197</v>
      </c>
    </row>
    <row r="576" spans="1:10" ht="13.5" customHeight="1" x14ac:dyDescent="0.35">
      <c r="A576" s="838">
        <v>45797</v>
      </c>
      <c r="B576" s="839" t="s">
        <v>933</v>
      </c>
      <c r="C576" s="840" t="s">
        <v>28</v>
      </c>
      <c r="D576" s="839" t="s">
        <v>162</v>
      </c>
      <c r="E576" s="841">
        <v>150</v>
      </c>
      <c r="F576" s="839" t="s">
        <v>580</v>
      </c>
      <c r="G576" s="839" t="s">
        <v>126</v>
      </c>
      <c r="I576" t="s">
        <v>196</v>
      </c>
      <c r="J576" t="s">
        <v>197</v>
      </c>
    </row>
    <row r="577" spans="1:10" ht="13.5" customHeight="1" x14ac:dyDescent="0.35">
      <c r="A577" s="838">
        <v>45799</v>
      </c>
      <c r="B577" s="839" t="s">
        <v>934</v>
      </c>
      <c r="C577" s="840" t="s">
        <v>31</v>
      </c>
      <c r="D577" s="839" t="s">
        <v>159</v>
      </c>
      <c r="E577" s="841">
        <v>100</v>
      </c>
      <c r="F577" s="839" t="s">
        <v>935</v>
      </c>
      <c r="G577" s="839" t="s">
        <v>175</v>
      </c>
      <c r="I577" t="s">
        <v>380</v>
      </c>
      <c r="J577" t="s">
        <v>226</v>
      </c>
    </row>
    <row r="578" spans="1:10" ht="13.5" customHeight="1" x14ac:dyDescent="0.35">
      <c r="A578" s="838">
        <v>45798</v>
      </c>
      <c r="B578" s="839" t="s">
        <v>936</v>
      </c>
      <c r="C578" s="840" t="s">
        <v>59</v>
      </c>
      <c r="D578" s="839" t="s">
        <v>159</v>
      </c>
      <c r="E578" s="841">
        <v>75</v>
      </c>
      <c r="F578" s="839" t="s">
        <v>937</v>
      </c>
      <c r="G578" s="839" t="s">
        <v>174</v>
      </c>
      <c r="I578" t="s">
        <v>320</v>
      </c>
      <c r="J578" t="s">
        <v>304</v>
      </c>
    </row>
    <row r="579" spans="1:10" ht="13.5" customHeight="1" x14ac:dyDescent="0.35">
      <c r="A579" s="838">
        <v>45798</v>
      </c>
      <c r="B579" s="839" t="s">
        <v>938</v>
      </c>
      <c r="C579" s="840" t="s">
        <v>59</v>
      </c>
      <c r="D579" s="839" t="s">
        <v>159</v>
      </c>
      <c r="E579" s="841">
        <v>150</v>
      </c>
      <c r="F579" s="839" t="s">
        <v>939</v>
      </c>
      <c r="G579" s="839" t="s">
        <v>174</v>
      </c>
      <c r="I579" t="s">
        <v>320</v>
      </c>
      <c r="J579" t="s">
        <v>304</v>
      </c>
    </row>
    <row r="580" spans="1:10" ht="13.5" customHeight="1" x14ac:dyDescent="0.35">
      <c r="A580" s="838">
        <v>45799</v>
      </c>
      <c r="B580" s="839" t="s">
        <v>940</v>
      </c>
      <c r="C580" s="840" t="s">
        <v>47</v>
      </c>
      <c r="D580" s="839" t="s">
        <v>162</v>
      </c>
      <c r="E580" s="841">
        <v>50</v>
      </c>
      <c r="F580" s="848" t="s">
        <v>941</v>
      </c>
      <c r="G580" s="839" t="s">
        <v>126</v>
      </c>
      <c r="I580" t="s">
        <v>205</v>
      </c>
      <c r="J580" t="s">
        <v>206</v>
      </c>
    </row>
    <row r="581" spans="1:10" ht="13.5" customHeight="1" x14ac:dyDescent="0.35">
      <c r="A581" s="838">
        <v>45799</v>
      </c>
      <c r="B581" s="839" t="s">
        <v>942</v>
      </c>
      <c r="C581" s="840" t="s">
        <v>31</v>
      </c>
      <c r="D581" s="839" t="s">
        <v>162</v>
      </c>
      <c r="E581" s="841">
        <v>50</v>
      </c>
      <c r="F581" s="839" t="s">
        <v>316</v>
      </c>
      <c r="G581" s="839" t="s">
        <v>126</v>
      </c>
      <c r="I581" t="s">
        <v>317</v>
      </c>
      <c r="J581" t="s">
        <v>226</v>
      </c>
    </row>
    <row r="582" spans="1:10" ht="13.5" customHeight="1" x14ac:dyDescent="0.35">
      <c r="A582" s="838">
        <v>45799</v>
      </c>
      <c r="B582" s="839" t="s">
        <v>930</v>
      </c>
      <c r="C582" s="840" t="s">
        <v>31</v>
      </c>
      <c r="D582" s="839" t="s">
        <v>162</v>
      </c>
      <c r="E582" s="841">
        <v>50</v>
      </c>
      <c r="F582" s="839" t="s">
        <v>316</v>
      </c>
      <c r="G582" s="839" t="s">
        <v>126</v>
      </c>
      <c r="I582" t="s">
        <v>317</v>
      </c>
      <c r="J582" t="s">
        <v>226</v>
      </c>
    </row>
    <row r="583" spans="1:10" ht="13.5" customHeight="1" x14ac:dyDescent="0.35">
      <c r="A583" s="838">
        <v>45799</v>
      </c>
      <c r="B583" s="839" t="s">
        <v>943</v>
      </c>
      <c r="C583" s="840" t="s">
        <v>31</v>
      </c>
      <c r="D583" s="839" t="s">
        <v>162</v>
      </c>
      <c r="E583" s="841">
        <v>50</v>
      </c>
      <c r="F583" s="839" t="s">
        <v>316</v>
      </c>
      <c r="G583" s="839" t="s">
        <v>126</v>
      </c>
      <c r="I583" t="s">
        <v>317</v>
      </c>
      <c r="J583" t="s">
        <v>226</v>
      </c>
    </row>
    <row r="584" spans="1:10" ht="13.5" customHeight="1" x14ac:dyDescent="0.35">
      <c r="A584" s="838">
        <v>45797</v>
      </c>
      <c r="B584" s="839" t="s">
        <v>944</v>
      </c>
      <c r="C584" s="840" t="s">
        <v>53</v>
      </c>
      <c r="D584" s="839" t="s">
        <v>165</v>
      </c>
      <c r="E584" s="841">
        <v>-150</v>
      </c>
      <c r="F584" s="839" t="s">
        <v>855</v>
      </c>
      <c r="G584" s="839" t="s">
        <v>174</v>
      </c>
      <c r="I584" t="s">
        <v>220</v>
      </c>
      <c r="J584"/>
    </row>
    <row r="585" spans="1:10" ht="13.5" customHeight="1" x14ac:dyDescent="0.35">
      <c r="A585" s="838">
        <v>45797</v>
      </c>
      <c r="B585" s="839" t="s">
        <v>944</v>
      </c>
      <c r="C585" s="840" t="s">
        <v>28</v>
      </c>
      <c r="D585" s="839" t="s">
        <v>165</v>
      </c>
      <c r="E585" s="841">
        <v>150</v>
      </c>
      <c r="F585" s="839" t="s">
        <v>855</v>
      </c>
      <c r="G585" s="839" t="s">
        <v>174</v>
      </c>
      <c r="I585" t="s">
        <v>657</v>
      </c>
      <c r="J585" t="s">
        <v>197</v>
      </c>
    </row>
    <row r="586" spans="1:10" ht="13.5" customHeight="1" x14ac:dyDescent="0.35">
      <c r="A586" s="838">
        <v>45796</v>
      </c>
      <c r="B586" s="839" t="s">
        <v>945</v>
      </c>
      <c r="C586" s="840" t="s">
        <v>62</v>
      </c>
      <c r="D586" s="839" t="s">
        <v>159</v>
      </c>
      <c r="E586" s="841">
        <v>30</v>
      </c>
      <c r="F586" s="839" t="s">
        <v>753</v>
      </c>
      <c r="G586" s="839" t="s">
        <v>174</v>
      </c>
      <c r="I586" t="s">
        <v>725</v>
      </c>
      <c r="J586" t="s">
        <v>726</v>
      </c>
    </row>
    <row r="587" spans="1:10" ht="13.5" customHeight="1" x14ac:dyDescent="0.35">
      <c r="A587" s="838">
        <v>45795</v>
      </c>
      <c r="B587" s="839" t="s">
        <v>946</v>
      </c>
      <c r="C587" s="840" t="s">
        <v>62</v>
      </c>
      <c r="D587" s="839" t="s">
        <v>160</v>
      </c>
      <c r="E587" s="841">
        <v>30</v>
      </c>
      <c r="F587" s="839" t="s">
        <v>753</v>
      </c>
      <c r="G587" s="839" t="s">
        <v>174</v>
      </c>
      <c r="I587" t="s">
        <v>725</v>
      </c>
      <c r="J587" t="s">
        <v>726</v>
      </c>
    </row>
    <row r="588" spans="1:10" ht="13.5" customHeight="1" x14ac:dyDescent="0.35">
      <c r="A588" s="838">
        <v>45792</v>
      </c>
      <c r="B588" s="839" t="s">
        <v>947</v>
      </c>
      <c r="C588" s="840" t="s">
        <v>31</v>
      </c>
      <c r="D588" s="839" t="s">
        <v>159</v>
      </c>
      <c r="E588" s="841">
        <v>99</v>
      </c>
      <c r="F588" s="839" t="s">
        <v>177</v>
      </c>
      <c r="G588" s="839" t="s">
        <v>174</v>
      </c>
      <c r="I588" t="s">
        <v>210</v>
      </c>
      <c r="J588" t="s">
        <v>211</v>
      </c>
    </row>
    <row r="589" spans="1:10" ht="13.5" customHeight="1" x14ac:dyDescent="0.35">
      <c r="A589" s="838">
        <v>45789</v>
      </c>
      <c r="B589" s="839" t="s">
        <v>948</v>
      </c>
      <c r="C589" s="840" t="s">
        <v>28</v>
      </c>
      <c r="D589" s="839" t="s">
        <v>162</v>
      </c>
      <c r="E589" s="841">
        <v>150</v>
      </c>
      <c r="F589" s="839" t="s">
        <v>580</v>
      </c>
      <c r="G589" s="839" t="s">
        <v>126</v>
      </c>
      <c r="I589" t="s">
        <v>196</v>
      </c>
      <c r="J589" t="s">
        <v>197</v>
      </c>
    </row>
    <row r="590" spans="1:10" ht="13.5" customHeight="1" x14ac:dyDescent="0.35">
      <c r="A590" s="838">
        <v>45789</v>
      </c>
      <c r="B590" s="839" t="s">
        <v>949</v>
      </c>
      <c r="C590" s="840" t="s">
        <v>28</v>
      </c>
      <c r="D590" s="839" t="s">
        <v>162</v>
      </c>
      <c r="E590" s="841">
        <v>150</v>
      </c>
      <c r="F590" s="839" t="s">
        <v>580</v>
      </c>
      <c r="G590" s="839" t="s">
        <v>126</v>
      </c>
      <c r="I590" t="s">
        <v>196</v>
      </c>
      <c r="J590" t="s">
        <v>197</v>
      </c>
    </row>
    <row r="591" spans="1:10" ht="13.5" customHeight="1" x14ac:dyDescent="0.35">
      <c r="A591" s="838">
        <v>45789</v>
      </c>
      <c r="B591" s="839" t="s">
        <v>950</v>
      </c>
      <c r="C591" s="840" t="s">
        <v>28</v>
      </c>
      <c r="D591" s="839" t="s">
        <v>162</v>
      </c>
      <c r="E591" s="841">
        <v>150</v>
      </c>
      <c r="F591" s="839" t="s">
        <v>580</v>
      </c>
      <c r="G591" s="839" t="s">
        <v>126</v>
      </c>
      <c r="I591" t="s">
        <v>196</v>
      </c>
      <c r="J591" t="s">
        <v>197</v>
      </c>
    </row>
    <row r="592" spans="1:10" ht="13.5" customHeight="1" x14ac:dyDescent="0.35">
      <c r="A592" s="838">
        <v>45789</v>
      </c>
      <c r="B592" s="839" t="s">
        <v>951</v>
      </c>
      <c r="C592" s="840" t="s">
        <v>47</v>
      </c>
      <c r="D592" s="839" t="s">
        <v>162</v>
      </c>
      <c r="E592" s="841">
        <v>60</v>
      </c>
      <c r="F592" s="839" t="s">
        <v>820</v>
      </c>
      <c r="G592" s="839" t="s">
        <v>126</v>
      </c>
      <c r="I592" t="s">
        <v>205</v>
      </c>
      <c r="J592" t="s">
        <v>206</v>
      </c>
    </row>
    <row r="593" spans="1:10" ht="13.5" customHeight="1" x14ac:dyDescent="0.35">
      <c r="A593" s="838">
        <v>45789</v>
      </c>
      <c r="B593" s="839" t="s">
        <v>952</v>
      </c>
      <c r="C593" s="840" t="s">
        <v>31</v>
      </c>
      <c r="D593" s="839" t="s">
        <v>162</v>
      </c>
      <c r="E593" s="841">
        <v>50</v>
      </c>
      <c r="F593" s="839" t="s">
        <v>604</v>
      </c>
      <c r="G593" s="839" t="s">
        <v>126</v>
      </c>
      <c r="I593" t="s">
        <v>605</v>
      </c>
      <c r="J593" t="s">
        <v>226</v>
      </c>
    </row>
    <row r="594" spans="1:10" ht="13.5" customHeight="1" x14ac:dyDescent="0.35">
      <c r="A594" s="838">
        <v>45781</v>
      </c>
      <c r="B594" s="839" t="s">
        <v>953</v>
      </c>
      <c r="C594" s="840" t="s">
        <v>50</v>
      </c>
      <c r="D594" s="839" t="s">
        <v>159</v>
      </c>
      <c r="E594" s="841">
        <v>75</v>
      </c>
      <c r="F594" s="839" t="s">
        <v>734</v>
      </c>
      <c r="G594" s="839" t="s">
        <v>174</v>
      </c>
      <c r="I594" t="s">
        <v>210</v>
      </c>
      <c r="J594" t="s">
        <v>211</v>
      </c>
    </row>
    <row r="595" spans="1:10" ht="13.5" customHeight="1" x14ac:dyDescent="0.35">
      <c r="A595" s="838">
        <v>45783</v>
      </c>
      <c r="B595" s="839" t="s">
        <v>954</v>
      </c>
      <c r="C595" s="840" t="s">
        <v>31</v>
      </c>
      <c r="D595" s="839" t="s">
        <v>159</v>
      </c>
      <c r="E595" s="841">
        <v>149</v>
      </c>
      <c r="F595" s="839" t="s">
        <v>955</v>
      </c>
      <c r="G595" s="839" t="s">
        <v>175</v>
      </c>
      <c r="I595" t="s">
        <v>617</v>
      </c>
      <c r="J595" t="s">
        <v>232</v>
      </c>
    </row>
    <row r="596" spans="1:10" ht="13.5" customHeight="1" x14ac:dyDescent="0.35">
      <c r="A596" s="838">
        <v>45783</v>
      </c>
      <c r="B596" s="839" t="s">
        <v>956</v>
      </c>
      <c r="C596" s="840" t="s">
        <v>44</v>
      </c>
      <c r="D596" s="839" t="s">
        <v>162</v>
      </c>
      <c r="E596" s="841">
        <v>150</v>
      </c>
      <c r="F596" s="839" t="s">
        <v>957</v>
      </c>
      <c r="G596" s="839" t="s">
        <v>126</v>
      </c>
      <c r="I596" t="s">
        <v>678</v>
      </c>
      <c r="J596" t="s">
        <v>679</v>
      </c>
    </row>
    <row r="597" spans="1:10" ht="13.5" customHeight="1" x14ac:dyDescent="0.35">
      <c r="A597" s="838">
        <v>45783</v>
      </c>
      <c r="B597" s="839" t="s">
        <v>842</v>
      </c>
      <c r="C597" s="840" t="s">
        <v>47</v>
      </c>
      <c r="D597" s="839" t="s">
        <v>162</v>
      </c>
      <c r="E597" s="841">
        <v>50</v>
      </c>
      <c r="F597" s="848" t="s">
        <v>941</v>
      </c>
      <c r="G597" s="839" t="s">
        <v>126</v>
      </c>
      <c r="I597" t="s">
        <v>205</v>
      </c>
      <c r="J597" t="s">
        <v>206</v>
      </c>
    </row>
    <row r="598" spans="1:10" ht="13.5" customHeight="1" x14ac:dyDescent="0.35">
      <c r="A598" s="838">
        <v>45783</v>
      </c>
      <c r="B598" s="839" t="s">
        <v>897</v>
      </c>
      <c r="C598" s="840" t="s">
        <v>31</v>
      </c>
      <c r="D598" s="839" t="s">
        <v>162</v>
      </c>
      <c r="E598" s="841">
        <v>12</v>
      </c>
      <c r="F598" s="839" t="s">
        <v>324</v>
      </c>
      <c r="G598" s="839" t="s">
        <v>126</v>
      </c>
      <c r="I598" t="s">
        <v>325</v>
      </c>
      <c r="J598" t="s">
        <v>226</v>
      </c>
    </row>
    <row r="599" spans="1:10" ht="13.5" customHeight="1" x14ac:dyDescent="0.35">
      <c r="A599" s="838">
        <v>45783</v>
      </c>
      <c r="B599" s="839" t="s">
        <v>958</v>
      </c>
      <c r="C599" s="840" t="s">
        <v>31</v>
      </c>
      <c r="D599" s="839" t="s">
        <v>162</v>
      </c>
      <c r="E599" s="841">
        <v>12</v>
      </c>
      <c r="F599" s="839" t="s">
        <v>324</v>
      </c>
      <c r="G599" s="839" t="s">
        <v>126</v>
      </c>
      <c r="I599" t="s">
        <v>325</v>
      </c>
      <c r="J599" t="s">
        <v>226</v>
      </c>
    </row>
    <row r="600" spans="1:10" ht="13.5" customHeight="1" x14ac:dyDescent="0.35">
      <c r="A600" s="838">
        <v>45778</v>
      </c>
      <c r="B600" s="839" t="s">
        <v>309</v>
      </c>
      <c r="C600" s="840" t="s">
        <v>47</v>
      </c>
      <c r="D600" s="839" t="s">
        <v>159</v>
      </c>
      <c r="E600" s="841">
        <v>300</v>
      </c>
      <c r="F600" s="839" t="s">
        <v>403</v>
      </c>
      <c r="G600" s="839" t="s">
        <v>175</v>
      </c>
      <c r="I600" t="s">
        <v>342</v>
      </c>
      <c r="J600" t="s">
        <v>269</v>
      </c>
    </row>
    <row r="601" spans="1:10" ht="13.5" customHeight="1" x14ac:dyDescent="0.35">
      <c r="A601" s="838">
        <v>45778</v>
      </c>
      <c r="B601" s="839" t="s">
        <v>959</v>
      </c>
      <c r="C601" s="840" t="s">
        <v>50</v>
      </c>
      <c r="D601" s="839" t="s">
        <v>159</v>
      </c>
      <c r="E601" s="841">
        <v>50</v>
      </c>
      <c r="F601" s="839" t="s">
        <v>734</v>
      </c>
      <c r="G601" s="839" t="s">
        <v>174</v>
      </c>
      <c r="I601" t="s">
        <v>210</v>
      </c>
      <c r="J601" t="s">
        <v>211</v>
      </c>
    </row>
    <row r="602" spans="1:10" ht="13.5" customHeight="1" x14ac:dyDescent="0.35">
      <c r="A602" s="838">
        <v>45778</v>
      </c>
      <c r="B602" s="839" t="s">
        <v>292</v>
      </c>
      <c r="C602" s="840" t="s">
        <v>44</v>
      </c>
      <c r="D602" s="839" t="s">
        <v>159</v>
      </c>
      <c r="E602" s="841">
        <v>50</v>
      </c>
      <c r="F602" s="839" t="s">
        <v>292</v>
      </c>
      <c r="G602" s="839" t="s">
        <v>175</v>
      </c>
      <c r="I602" t="s">
        <v>294</v>
      </c>
      <c r="J602" t="s">
        <v>295</v>
      </c>
    </row>
    <row r="603" spans="1:10" ht="13.5" customHeight="1" x14ac:dyDescent="0.35">
      <c r="A603" s="838">
        <v>45771</v>
      </c>
      <c r="B603" s="839" t="s">
        <v>858</v>
      </c>
      <c r="C603" s="840" t="s">
        <v>47</v>
      </c>
      <c r="D603" s="839" t="s">
        <v>159</v>
      </c>
      <c r="E603" s="841">
        <v>50</v>
      </c>
      <c r="F603" s="839" t="s">
        <v>859</v>
      </c>
      <c r="G603" s="839" t="s">
        <v>175</v>
      </c>
      <c r="I603" t="s">
        <v>268</v>
      </c>
      <c r="J603" t="s">
        <v>269</v>
      </c>
    </row>
    <row r="604" spans="1:10" ht="13.5" customHeight="1" x14ac:dyDescent="0.35">
      <c r="A604" s="838">
        <v>45771</v>
      </c>
      <c r="B604" s="839" t="s">
        <v>960</v>
      </c>
      <c r="C604" s="840" t="s">
        <v>31</v>
      </c>
      <c r="D604" s="839" t="s">
        <v>162</v>
      </c>
      <c r="E604" s="841">
        <v>95</v>
      </c>
      <c r="F604" s="839" t="s">
        <v>224</v>
      </c>
      <c r="G604" s="839" t="s">
        <v>126</v>
      </c>
      <c r="I604" t="s">
        <v>225</v>
      </c>
      <c r="J604" t="s">
        <v>226</v>
      </c>
    </row>
    <row r="605" spans="1:10" ht="13.5" customHeight="1" x14ac:dyDescent="0.35">
      <c r="A605" s="838">
        <v>45771</v>
      </c>
      <c r="B605" s="839" t="s">
        <v>961</v>
      </c>
      <c r="C605" s="840" t="s">
        <v>31</v>
      </c>
      <c r="D605" s="839" t="s">
        <v>162</v>
      </c>
      <c r="E605" s="841">
        <v>95</v>
      </c>
      <c r="F605" s="839" t="s">
        <v>224</v>
      </c>
      <c r="G605" s="839" t="s">
        <v>126</v>
      </c>
      <c r="I605" t="s">
        <v>225</v>
      </c>
      <c r="J605" t="s">
        <v>226</v>
      </c>
    </row>
    <row r="606" spans="1:10" ht="13.5" customHeight="1" x14ac:dyDescent="0.35">
      <c r="A606" s="838">
        <v>45771</v>
      </c>
      <c r="B606" s="839" t="s">
        <v>962</v>
      </c>
      <c r="C606" s="840" t="s">
        <v>31</v>
      </c>
      <c r="D606" s="839" t="s">
        <v>162</v>
      </c>
      <c r="E606" s="841">
        <v>95</v>
      </c>
      <c r="F606" s="839" t="s">
        <v>224</v>
      </c>
      <c r="G606" s="839" t="s">
        <v>126</v>
      </c>
      <c r="I606" t="s">
        <v>225</v>
      </c>
      <c r="J606" t="s">
        <v>226</v>
      </c>
    </row>
    <row r="607" spans="1:10" ht="13.5" customHeight="1" x14ac:dyDescent="0.35">
      <c r="A607" s="838">
        <v>45764</v>
      </c>
      <c r="B607" s="839" t="s">
        <v>787</v>
      </c>
      <c r="C607" s="840" t="s">
        <v>31</v>
      </c>
      <c r="D607" s="839" t="s">
        <v>162</v>
      </c>
      <c r="E607" s="841">
        <v>50</v>
      </c>
      <c r="F607" s="839" t="s">
        <v>963</v>
      </c>
      <c r="G607" s="839" t="s">
        <v>126</v>
      </c>
      <c r="I607" t="s">
        <v>244</v>
      </c>
      <c r="J607" t="s">
        <v>226</v>
      </c>
    </row>
    <row r="608" spans="1:10" ht="13.5" customHeight="1" x14ac:dyDescent="0.35">
      <c r="A608" s="838">
        <v>45764</v>
      </c>
      <c r="B608" s="839" t="s">
        <v>597</v>
      </c>
      <c r="C608" s="840" t="s">
        <v>31</v>
      </c>
      <c r="D608" s="839" t="s">
        <v>162</v>
      </c>
      <c r="E608" s="841">
        <v>50</v>
      </c>
      <c r="F608" s="839" t="s">
        <v>963</v>
      </c>
      <c r="G608" s="839" t="s">
        <v>126</v>
      </c>
      <c r="I608" t="s">
        <v>244</v>
      </c>
      <c r="J608" t="s">
        <v>226</v>
      </c>
    </row>
    <row r="609" spans="1:10" ht="13.5" customHeight="1" x14ac:dyDescent="0.35">
      <c r="A609" s="838">
        <v>45764</v>
      </c>
      <c r="B609" s="839" t="s">
        <v>870</v>
      </c>
      <c r="C609" s="840" t="s">
        <v>31</v>
      </c>
      <c r="D609" s="839" t="s">
        <v>162</v>
      </c>
      <c r="E609" s="841">
        <v>50</v>
      </c>
      <c r="F609" s="839" t="s">
        <v>963</v>
      </c>
      <c r="G609" s="839" t="s">
        <v>126</v>
      </c>
      <c r="I609" t="s">
        <v>244</v>
      </c>
      <c r="J609" t="s">
        <v>226</v>
      </c>
    </row>
    <row r="610" spans="1:10" ht="13.5" customHeight="1" x14ac:dyDescent="0.35">
      <c r="A610" s="838">
        <v>45764</v>
      </c>
      <c r="B610" s="839" t="s">
        <v>960</v>
      </c>
      <c r="C610" s="840" t="s">
        <v>31</v>
      </c>
      <c r="D610" s="839" t="s">
        <v>162</v>
      </c>
      <c r="E610" s="841">
        <v>50</v>
      </c>
      <c r="F610" s="839" t="s">
        <v>963</v>
      </c>
      <c r="G610" s="839" t="s">
        <v>126</v>
      </c>
      <c r="I610" t="s">
        <v>244</v>
      </c>
      <c r="J610" t="s">
        <v>226</v>
      </c>
    </row>
    <row r="611" spans="1:10" ht="13.5" customHeight="1" x14ac:dyDescent="0.35">
      <c r="A611" s="838">
        <v>45764</v>
      </c>
      <c r="B611" s="839" t="s">
        <v>964</v>
      </c>
      <c r="C611" s="840" t="s">
        <v>31</v>
      </c>
      <c r="D611" s="839" t="s">
        <v>162</v>
      </c>
      <c r="E611" s="841">
        <v>50</v>
      </c>
      <c r="F611" s="839" t="s">
        <v>963</v>
      </c>
      <c r="G611" s="839" t="s">
        <v>126</v>
      </c>
      <c r="I611" t="s">
        <v>244</v>
      </c>
      <c r="J611" t="s">
        <v>226</v>
      </c>
    </row>
    <row r="612" spans="1:10" ht="13.5" customHeight="1" x14ac:dyDescent="0.35">
      <c r="A612" s="838">
        <v>45763</v>
      </c>
      <c r="B612" s="839" t="s">
        <v>965</v>
      </c>
      <c r="C612" s="840" t="s">
        <v>31</v>
      </c>
      <c r="D612" s="839" t="s">
        <v>159</v>
      </c>
      <c r="E612" s="841">
        <v>99</v>
      </c>
      <c r="F612" s="839" t="s">
        <v>230</v>
      </c>
      <c r="G612" s="839" t="s">
        <v>174</v>
      </c>
      <c r="I612" t="s">
        <v>231</v>
      </c>
      <c r="J612" t="s">
        <v>232</v>
      </c>
    </row>
    <row r="613" spans="1:10" ht="13.5" customHeight="1" x14ac:dyDescent="0.35">
      <c r="A613" s="838">
        <v>45762</v>
      </c>
      <c r="B613" s="839" t="s">
        <v>966</v>
      </c>
      <c r="C613" s="840" t="s">
        <v>31</v>
      </c>
      <c r="D613" s="839" t="s">
        <v>159</v>
      </c>
      <c r="E613" s="841">
        <v>99</v>
      </c>
      <c r="F613" s="839" t="s">
        <v>230</v>
      </c>
      <c r="G613" s="839" t="s">
        <v>174</v>
      </c>
      <c r="I613" t="s">
        <v>231</v>
      </c>
      <c r="J613" t="s">
        <v>232</v>
      </c>
    </row>
    <row r="614" spans="1:10" ht="13.5" customHeight="1" x14ac:dyDescent="0.35">
      <c r="A614" s="838">
        <v>45761</v>
      </c>
      <c r="B614" s="839" t="s">
        <v>967</v>
      </c>
      <c r="C614" s="840" t="s">
        <v>47</v>
      </c>
      <c r="D614" s="839" t="s">
        <v>159</v>
      </c>
      <c r="E614" s="841">
        <v>50</v>
      </c>
      <c r="F614" s="839" t="s">
        <v>360</v>
      </c>
      <c r="G614" s="839" t="s">
        <v>175</v>
      </c>
      <c r="I614" t="s">
        <v>268</v>
      </c>
      <c r="J614" t="s">
        <v>269</v>
      </c>
    </row>
    <row r="615" spans="1:10" ht="13.5" customHeight="1" x14ac:dyDescent="0.35">
      <c r="A615" s="838">
        <v>45759</v>
      </c>
      <c r="B615" s="839" t="s">
        <v>968</v>
      </c>
      <c r="C615" s="840" t="s">
        <v>62</v>
      </c>
      <c r="D615" s="839" t="s">
        <v>159</v>
      </c>
      <c r="E615" s="841">
        <v>25</v>
      </c>
      <c r="F615" s="839" t="s">
        <v>969</v>
      </c>
      <c r="G615" s="839" t="s">
        <v>175</v>
      </c>
      <c r="I615" t="s">
        <v>201</v>
      </c>
      <c r="J615" t="s">
        <v>202</v>
      </c>
    </row>
    <row r="616" spans="1:10" ht="13.5" customHeight="1" x14ac:dyDescent="0.35">
      <c r="A616" s="838">
        <v>45758</v>
      </c>
      <c r="B616" s="839" t="s">
        <v>970</v>
      </c>
      <c r="C616" s="840" t="s">
        <v>31</v>
      </c>
      <c r="D616" s="839" t="s">
        <v>159</v>
      </c>
      <c r="E616" s="841">
        <v>50</v>
      </c>
      <c r="F616" s="839" t="s">
        <v>316</v>
      </c>
      <c r="G616" s="839" t="s">
        <v>174</v>
      </c>
      <c r="I616" t="s">
        <v>317</v>
      </c>
      <c r="J616" t="s">
        <v>226</v>
      </c>
    </row>
    <row r="617" spans="1:10" ht="13.5" customHeight="1" x14ac:dyDescent="0.35">
      <c r="A617" s="838">
        <v>45758</v>
      </c>
      <c r="B617" s="839" t="s">
        <v>971</v>
      </c>
      <c r="C617" s="840" t="s">
        <v>31</v>
      </c>
      <c r="D617" s="839" t="s">
        <v>162</v>
      </c>
      <c r="E617" s="841">
        <v>100</v>
      </c>
      <c r="F617" s="839" t="s">
        <v>177</v>
      </c>
      <c r="G617" s="839" t="s">
        <v>180</v>
      </c>
      <c r="I617" t="s">
        <v>210</v>
      </c>
      <c r="J617" t="s">
        <v>211</v>
      </c>
    </row>
    <row r="618" spans="1:10" ht="13.5" customHeight="1" x14ac:dyDescent="0.35">
      <c r="A618" s="838">
        <v>45757</v>
      </c>
      <c r="B618" s="839" t="s">
        <v>972</v>
      </c>
      <c r="C618" s="840" t="s">
        <v>31</v>
      </c>
      <c r="D618" s="839" t="s">
        <v>159</v>
      </c>
      <c r="E618" s="841">
        <v>150</v>
      </c>
      <c r="F618" s="839" t="s">
        <v>230</v>
      </c>
      <c r="G618" s="839" t="s">
        <v>174</v>
      </c>
      <c r="I618" t="s">
        <v>231</v>
      </c>
      <c r="J618" t="s">
        <v>232</v>
      </c>
    </row>
    <row r="619" spans="1:10" ht="13.5" customHeight="1" x14ac:dyDescent="0.35">
      <c r="A619" s="838">
        <v>45757</v>
      </c>
      <c r="B619" s="839" t="s">
        <v>973</v>
      </c>
      <c r="C619" s="840" t="s">
        <v>28</v>
      </c>
      <c r="D619" s="839" t="s">
        <v>162</v>
      </c>
      <c r="E619" s="841">
        <v>150</v>
      </c>
      <c r="F619" s="839" t="s">
        <v>195</v>
      </c>
      <c r="G619" s="839" t="s">
        <v>126</v>
      </c>
      <c r="I619" t="s">
        <v>196</v>
      </c>
      <c r="J619" t="s">
        <v>197</v>
      </c>
    </row>
    <row r="620" spans="1:10" ht="13.5" customHeight="1" x14ac:dyDescent="0.35">
      <c r="A620" s="838">
        <v>45757</v>
      </c>
      <c r="B620" s="839" t="s">
        <v>974</v>
      </c>
      <c r="C620" s="840" t="s">
        <v>28</v>
      </c>
      <c r="D620" s="839" t="s">
        <v>162</v>
      </c>
      <c r="E620" s="841">
        <v>150</v>
      </c>
      <c r="F620" s="839" t="s">
        <v>195</v>
      </c>
      <c r="G620" s="839" t="s">
        <v>126</v>
      </c>
      <c r="I620" t="s">
        <v>196</v>
      </c>
      <c r="J620" t="s">
        <v>197</v>
      </c>
    </row>
    <row r="621" spans="1:10" ht="13.5" customHeight="1" x14ac:dyDescent="0.35">
      <c r="A621" s="838">
        <v>45757</v>
      </c>
      <c r="B621" s="839" t="s">
        <v>845</v>
      </c>
      <c r="C621" s="840" t="s">
        <v>28</v>
      </c>
      <c r="D621" s="839" t="s">
        <v>162</v>
      </c>
      <c r="E621" s="841">
        <v>150</v>
      </c>
      <c r="F621" s="839" t="s">
        <v>195</v>
      </c>
      <c r="G621" s="839" t="s">
        <v>126</v>
      </c>
      <c r="I621" t="s">
        <v>196</v>
      </c>
      <c r="J621" t="s">
        <v>197</v>
      </c>
    </row>
    <row r="622" spans="1:10" ht="13.5" customHeight="1" x14ac:dyDescent="0.35">
      <c r="A622" s="838">
        <v>45757</v>
      </c>
      <c r="B622" s="839" t="s">
        <v>975</v>
      </c>
      <c r="C622" s="840" t="s">
        <v>28</v>
      </c>
      <c r="D622" s="839" t="s">
        <v>162</v>
      </c>
      <c r="E622" s="841">
        <v>150</v>
      </c>
      <c r="F622" s="839" t="s">
        <v>195</v>
      </c>
      <c r="G622" s="839" t="s">
        <v>126</v>
      </c>
      <c r="I622" t="s">
        <v>196</v>
      </c>
      <c r="J622" t="s">
        <v>197</v>
      </c>
    </row>
    <row r="623" spans="1:10" ht="13.5" customHeight="1" x14ac:dyDescent="0.35">
      <c r="A623" s="838">
        <v>45757</v>
      </c>
      <c r="B623" s="839" t="s">
        <v>912</v>
      </c>
      <c r="C623" s="840" t="s">
        <v>47</v>
      </c>
      <c r="D623" s="839" t="s">
        <v>162</v>
      </c>
      <c r="E623" s="841">
        <v>50</v>
      </c>
      <c r="F623" s="839" t="s">
        <v>976</v>
      </c>
      <c r="G623" s="839" t="s">
        <v>126</v>
      </c>
      <c r="I623" t="s">
        <v>205</v>
      </c>
      <c r="J623" t="s">
        <v>206</v>
      </c>
    </row>
    <row r="624" spans="1:10" ht="13.5" customHeight="1" x14ac:dyDescent="0.35">
      <c r="A624" s="838">
        <v>45757</v>
      </c>
      <c r="B624" s="839" t="s">
        <v>930</v>
      </c>
      <c r="C624" s="840" t="s">
        <v>31</v>
      </c>
      <c r="D624" s="839" t="s">
        <v>162</v>
      </c>
      <c r="E624" s="841">
        <v>60</v>
      </c>
      <c r="F624" s="839" t="s">
        <v>693</v>
      </c>
      <c r="G624" s="839" t="s">
        <v>126</v>
      </c>
      <c r="I624" t="s">
        <v>605</v>
      </c>
      <c r="J624" t="s">
        <v>226</v>
      </c>
    </row>
    <row r="625" spans="1:10" ht="13.5" customHeight="1" x14ac:dyDescent="0.35">
      <c r="A625" s="838">
        <v>45755</v>
      </c>
      <c r="B625" s="839" t="s">
        <v>977</v>
      </c>
      <c r="C625" s="840" t="s">
        <v>31</v>
      </c>
      <c r="D625" s="839" t="s">
        <v>165</v>
      </c>
      <c r="E625" s="841">
        <v>50</v>
      </c>
      <c r="F625" s="839" t="s">
        <v>235</v>
      </c>
      <c r="G625" s="839" t="s">
        <v>176</v>
      </c>
      <c r="I625" t="s">
        <v>236</v>
      </c>
      <c r="J625" t="s">
        <v>232</v>
      </c>
    </row>
    <row r="626" spans="1:10" ht="13.5" customHeight="1" x14ac:dyDescent="0.35">
      <c r="A626" s="838">
        <v>45755</v>
      </c>
      <c r="B626" s="839" t="s">
        <v>977</v>
      </c>
      <c r="C626" s="840" t="s">
        <v>53</v>
      </c>
      <c r="D626" s="839" t="s">
        <v>165</v>
      </c>
      <c r="E626" s="841">
        <v>-50</v>
      </c>
      <c r="F626" s="839" t="s">
        <v>235</v>
      </c>
      <c r="G626" s="839" t="s">
        <v>176</v>
      </c>
      <c r="I626" t="s">
        <v>220</v>
      </c>
      <c r="J626"/>
    </row>
    <row r="627" spans="1:10" ht="13.5" customHeight="1" x14ac:dyDescent="0.35">
      <c r="A627" s="838">
        <v>45755</v>
      </c>
      <c r="B627" s="839" t="s">
        <v>977</v>
      </c>
      <c r="C627" s="840" t="s">
        <v>31</v>
      </c>
      <c r="D627" s="839" t="s">
        <v>160</v>
      </c>
      <c r="E627" s="841">
        <v>50</v>
      </c>
      <c r="F627" s="839" t="s">
        <v>235</v>
      </c>
      <c r="G627" s="839" t="s">
        <v>176</v>
      </c>
      <c r="I627" t="s">
        <v>236</v>
      </c>
      <c r="J627" t="s">
        <v>232</v>
      </c>
    </row>
    <row r="628" spans="1:10" ht="13.5" customHeight="1" x14ac:dyDescent="0.35">
      <c r="A628" s="838">
        <v>45748</v>
      </c>
      <c r="B628" s="839" t="s">
        <v>292</v>
      </c>
      <c r="C628" s="840" t="s">
        <v>44</v>
      </c>
      <c r="D628" s="839" t="s">
        <v>159</v>
      </c>
      <c r="E628" s="841">
        <v>50</v>
      </c>
      <c r="F628" s="839" t="s">
        <v>292</v>
      </c>
      <c r="G628" s="839" t="s">
        <v>175</v>
      </c>
      <c r="I628" t="s">
        <v>294</v>
      </c>
      <c r="J628" t="s">
        <v>295</v>
      </c>
    </row>
    <row r="629" spans="1:10" ht="13.5" customHeight="1" x14ac:dyDescent="0.35">
      <c r="A629" s="838"/>
      <c r="B629" s="839"/>
      <c r="C629" s="840"/>
      <c r="D629" s="839"/>
      <c r="E629" s="841"/>
      <c r="F629" s="839"/>
      <c r="G629" s="839"/>
    </row>
    <row r="630" spans="1:10" ht="13.5" customHeight="1" x14ac:dyDescent="0.35">
      <c r="A630" s="838">
        <v>45746</v>
      </c>
      <c r="B630" s="839" t="s">
        <v>978</v>
      </c>
      <c r="C630" s="840" t="s">
        <v>47</v>
      </c>
      <c r="D630" s="839" t="s">
        <v>160</v>
      </c>
      <c r="E630" s="841">
        <v>250</v>
      </c>
      <c r="F630" s="839" t="s">
        <v>979</v>
      </c>
      <c r="G630" s="839" t="s">
        <v>174</v>
      </c>
      <c r="I630" t="s">
        <v>265</v>
      </c>
      <c r="J630" t="s">
        <v>206</v>
      </c>
    </row>
    <row r="631" spans="1:10" ht="13.5" customHeight="1" x14ac:dyDescent="0.35">
      <c r="A631" s="838">
        <v>45745</v>
      </c>
      <c r="B631" s="839" t="s">
        <v>980</v>
      </c>
      <c r="C631" s="840" t="s">
        <v>31</v>
      </c>
      <c r="D631" s="839" t="s">
        <v>159</v>
      </c>
      <c r="E631" s="841">
        <v>50</v>
      </c>
      <c r="F631" s="839" t="s">
        <v>981</v>
      </c>
      <c r="G631" s="839" t="s">
        <v>176</v>
      </c>
      <c r="I631" t="s">
        <v>236</v>
      </c>
      <c r="J631" t="s">
        <v>232</v>
      </c>
    </row>
    <row r="632" spans="1:10" ht="13.5" customHeight="1" x14ac:dyDescent="0.35">
      <c r="A632" s="838">
        <v>45745</v>
      </c>
      <c r="B632" s="839" t="s">
        <v>980</v>
      </c>
      <c r="C632" s="840" t="s">
        <v>53</v>
      </c>
      <c r="D632" s="839" t="s">
        <v>165</v>
      </c>
      <c r="E632" s="841">
        <v>-100</v>
      </c>
      <c r="F632" s="839" t="s">
        <v>981</v>
      </c>
      <c r="G632" s="839" t="s">
        <v>176</v>
      </c>
      <c r="I632" t="s">
        <v>220</v>
      </c>
      <c r="J632"/>
    </row>
    <row r="633" spans="1:10" ht="13.5" customHeight="1" x14ac:dyDescent="0.35">
      <c r="A633" s="838">
        <v>45745</v>
      </c>
      <c r="B633" s="839" t="s">
        <v>980</v>
      </c>
      <c r="C633" s="840" t="s">
        <v>31</v>
      </c>
      <c r="D633" s="839" t="s">
        <v>165</v>
      </c>
      <c r="E633" s="841">
        <v>100</v>
      </c>
      <c r="F633" s="839" t="s">
        <v>981</v>
      </c>
      <c r="G633" s="839" t="s">
        <v>176</v>
      </c>
      <c r="I633" t="s">
        <v>236</v>
      </c>
      <c r="J633" t="s">
        <v>232</v>
      </c>
    </row>
    <row r="634" spans="1:10" ht="13.5" customHeight="1" x14ac:dyDescent="0.35">
      <c r="A634" s="838">
        <v>45744</v>
      </c>
      <c r="B634" s="839" t="s">
        <v>982</v>
      </c>
      <c r="C634" s="840" t="s">
        <v>31</v>
      </c>
      <c r="D634" s="839" t="s">
        <v>162</v>
      </c>
      <c r="E634" s="841">
        <v>100</v>
      </c>
      <c r="F634" s="839" t="s">
        <v>230</v>
      </c>
      <c r="G634" s="839" t="s">
        <v>180</v>
      </c>
      <c r="I634" t="s">
        <v>231</v>
      </c>
      <c r="J634" t="s">
        <v>232</v>
      </c>
    </row>
    <row r="635" spans="1:10" ht="13.5" customHeight="1" x14ac:dyDescent="0.35">
      <c r="A635" s="838">
        <v>45744</v>
      </c>
      <c r="B635" s="839" t="s">
        <v>278</v>
      </c>
      <c r="C635" s="840" t="s">
        <v>31</v>
      </c>
      <c r="D635" s="839" t="s">
        <v>162</v>
      </c>
      <c r="E635" s="841">
        <v>140</v>
      </c>
      <c r="F635" s="839" t="s">
        <v>230</v>
      </c>
      <c r="G635" s="839" t="s">
        <v>180</v>
      </c>
      <c r="I635" t="s">
        <v>231</v>
      </c>
      <c r="J635" t="s">
        <v>232</v>
      </c>
    </row>
    <row r="636" spans="1:10" ht="13.5" customHeight="1" x14ac:dyDescent="0.35">
      <c r="A636" s="838">
        <v>45739</v>
      </c>
      <c r="B636" s="839" t="s">
        <v>983</v>
      </c>
      <c r="C636" s="840" t="s">
        <v>31</v>
      </c>
      <c r="D636" s="839" t="s">
        <v>159</v>
      </c>
      <c r="E636" s="841">
        <v>99</v>
      </c>
      <c r="F636" s="839" t="s">
        <v>230</v>
      </c>
      <c r="G636" s="839" t="s">
        <v>174</v>
      </c>
      <c r="I636" t="s">
        <v>231</v>
      </c>
      <c r="J636" t="s">
        <v>232</v>
      </c>
    </row>
    <row r="637" spans="1:10" ht="13.5" customHeight="1" x14ac:dyDescent="0.35">
      <c r="A637" s="838">
        <v>45736</v>
      </c>
      <c r="B637" s="839" t="s">
        <v>984</v>
      </c>
      <c r="C637" s="840" t="s">
        <v>31</v>
      </c>
      <c r="D637" s="839" t="s">
        <v>160</v>
      </c>
      <c r="E637" s="841">
        <v>99</v>
      </c>
      <c r="F637" s="839" t="s">
        <v>230</v>
      </c>
      <c r="G637" s="839" t="s">
        <v>174</v>
      </c>
      <c r="I637" t="s">
        <v>231</v>
      </c>
      <c r="J637" t="s">
        <v>232</v>
      </c>
    </row>
    <row r="638" spans="1:10" ht="13.5" customHeight="1" x14ac:dyDescent="0.35">
      <c r="A638" s="838">
        <v>45735</v>
      </c>
      <c r="B638" s="839" t="s">
        <v>845</v>
      </c>
      <c r="C638" s="840" t="s">
        <v>31</v>
      </c>
      <c r="D638" s="839" t="s">
        <v>159</v>
      </c>
      <c r="E638" s="841">
        <v>125</v>
      </c>
      <c r="F638" s="839" t="s">
        <v>273</v>
      </c>
      <c r="G638" s="839" t="s">
        <v>175</v>
      </c>
      <c r="I638" t="s">
        <v>274</v>
      </c>
      <c r="J638" t="s">
        <v>232</v>
      </c>
    </row>
    <row r="639" spans="1:10" ht="13.5" customHeight="1" x14ac:dyDescent="0.35">
      <c r="A639" s="838">
        <v>45722</v>
      </c>
      <c r="B639" s="839" t="s">
        <v>92</v>
      </c>
      <c r="C639" s="840" t="s">
        <v>56</v>
      </c>
      <c r="D639" s="839" t="s">
        <v>162</v>
      </c>
      <c r="E639" s="841">
        <v>80.83</v>
      </c>
      <c r="F639" s="839" t="s">
        <v>284</v>
      </c>
      <c r="G639" s="839" t="s">
        <v>175</v>
      </c>
      <c r="I639" t="s">
        <v>285</v>
      </c>
      <c r="J639" t="s">
        <v>286</v>
      </c>
    </row>
    <row r="640" spans="1:10" ht="13.5" customHeight="1" x14ac:dyDescent="0.35">
      <c r="A640" s="838">
        <v>45730</v>
      </c>
      <c r="B640" s="839" t="s">
        <v>985</v>
      </c>
      <c r="C640" s="840" t="s">
        <v>31</v>
      </c>
      <c r="D640" s="839" t="s">
        <v>159</v>
      </c>
      <c r="E640" s="841">
        <v>99</v>
      </c>
      <c r="F640" s="839" t="s">
        <v>230</v>
      </c>
      <c r="G640" s="839" t="s">
        <v>175</v>
      </c>
      <c r="I640" t="s">
        <v>231</v>
      </c>
      <c r="J640" t="s">
        <v>232</v>
      </c>
    </row>
    <row r="641" spans="1:10" ht="13.5" customHeight="1" x14ac:dyDescent="0.35">
      <c r="A641" s="838">
        <v>45729</v>
      </c>
      <c r="B641" s="839" t="s">
        <v>986</v>
      </c>
      <c r="C641" s="840" t="s">
        <v>31</v>
      </c>
      <c r="D641" s="839" t="s">
        <v>159</v>
      </c>
      <c r="E641" s="841">
        <v>150</v>
      </c>
      <c r="F641" s="839" t="s">
        <v>281</v>
      </c>
      <c r="G641" s="839" t="s">
        <v>175</v>
      </c>
      <c r="I641" t="s">
        <v>282</v>
      </c>
      <c r="J641" t="s">
        <v>226</v>
      </c>
    </row>
    <row r="642" spans="1:10" ht="13.5" customHeight="1" x14ac:dyDescent="0.35">
      <c r="A642" s="838">
        <v>45726</v>
      </c>
      <c r="B642" s="839" t="s">
        <v>987</v>
      </c>
      <c r="C642" s="840" t="s">
        <v>44</v>
      </c>
      <c r="D642" s="839" t="s">
        <v>159</v>
      </c>
      <c r="E642" s="841">
        <v>15</v>
      </c>
      <c r="F642" s="839" t="s">
        <v>293</v>
      </c>
      <c r="G642" s="839" t="s">
        <v>175</v>
      </c>
      <c r="I642" t="s">
        <v>294</v>
      </c>
      <c r="J642" t="s">
        <v>295</v>
      </c>
    </row>
    <row r="643" spans="1:10" ht="13.5" customHeight="1" x14ac:dyDescent="0.35">
      <c r="A643" s="838">
        <v>45720</v>
      </c>
      <c r="B643" s="839" t="s">
        <v>988</v>
      </c>
      <c r="C643" s="840" t="s">
        <v>31</v>
      </c>
      <c r="D643" s="839" t="s">
        <v>159</v>
      </c>
      <c r="E643" s="841">
        <v>200</v>
      </c>
      <c r="F643" s="839" t="s">
        <v>809</v>
      </c>
      <c r="G643" s="839" t="s">
        <v>175</v>
      </c>
      <c r="I643" t="s">
        <v>739</v>
      </c>
      <c r="J643" t="s">
        <v>226</v>
      </c>
    </row>
    <row r="644" spans="1:10" ht="13.5" customHeight="1" x14ac:dyDescent="0.35">
      <c r="A644" s="838">
        <v>45719</v>
      </c>
      <c r="B644" s="839" t="s">
        <v>732</v>
      </c>
      <c r="C644" s="840" t="s">
        <v>47</v>
      </c>
      <c r="D644" s="839" t="s">
        <v>159</v>
      </c>
      <c r="E644" s="841">
        <v>65</v>
      </c>
      <c r="F644" s="848" t="s">
        <v>941</v>
      </c>
      <c r="G644" s="839" t="s">
        <v>175</v>
      </c>
      <c r="I644" t="s">
        <v>205</v>
      </c>
      <c r="J644" t="s">
        <v>206</v>
      </c>
    </row>
    <row r="645" spans="1:10" ht="13.5" customHeight="1" x14ac:dyDescent="0.35">
      <c r="A645" s="838">
        <v>45719</v>
      </c>
      <c r="B645" s="839" t="s">
        <v>988</v>
      </c>
      <c r="C645" s="840" t="s">
        <v>31</v>
      </c>
      <c r="D645" s="839" t="s">
        <v>159</v>
      </c>
      <c r="E645" s="841">
        <v>150</v>
      </c>
      <c r="F645" s="839" t="s">
        <v>230</v>
      </c>
      <c r="G645" s="839" t="s">
        <v>174</v>
      </c>
      <c r="I645" t="s">
        <v>231</v>
      </c>
      <c r="J645" t="s">
        <v>232</v>
      </c>
    </row>
    <row r="646" spans="1:10" ht="13.5" customHeight="1" x14ac:dyDescent="0.35">
      <c r="A646" s="838">
        <v>45719</v>
      </c>
      <c r="B646" s="839" t="s">
        <v>989</v>
      </c>
      <c r="C646" s="840" t="s">
        <v>62</v>
      </c>
      <c r="D646" s="839" t="s">
        <v>159</v>
      </c>
      <c r="E646" s="841">
        <v>30</v>
      </c>
      <c r="F646" s="839" t="s">
        <v>753</v>
      </c>
      <c r="G646" s="839" t="s">
        <v>175</v>
      </c>
      <c r="I646" t="s">
        <v>725</v>
      </c>
      <c r="J646" t="s">
        <v>726</v>
      </c>
    </row>
    <row r="647" spans="1:10" ht="13.5" customHeight="1" x14ac:dyDescent="0.35">
      <c r="A647" s="838">
        <v>45717</v>
      </c>
      <c r="B647" s="839" t="s">
        <v>292</v>
      </c>
      <c r="C647" s="840" t="s">
        <v>44</v>
      </c>
      <c r="D647" s="839" t="s">
        <v>159</v>
      </c>
      <c r="E647" s="841">
        <v>55</v>
      </c>
      <c r="F647" s="839" t="s">
        <v>292</v>
      </c>
      <c r="G647" s="839" t="s">
        <v>175</v>
      </c>
      <c r="I647" t="s">
        <v>294</v>
      </c>
      <c r="J647" t="s">
        <v>295</v>
      </c>
    </row>
    <row r="648" spans="1:10" ht="13.5" customHeight="1" x14ac:dyDescent="0.35">
      <c r="A648" s="838"/>
      <c r="B648" s="839"/>
      <c r="C648" s="840"/>
      <c r="D648" s="839"/>
      <c r="E648" s="841"/>
      <c r="F648" s="839"/>
      <c r="G648" s="839"/>
    </row>
    <row r="649" spans="1:10" ht="13.5" customHeight="1" x14ac:dyDescent="0.35">
      <c r="A649" s="838">
        <v>45714</v>
      </c>
      <c r="B649" s="839" t="s">
        <v>990</v>
      </c>
      <c r="C649" s="840" t="s">
        <v>31</v>
      </c>
      <c r="D649" s="839" t="s">
        <v>159</v>
      </c>
      <c r="E649" s="841">
        <v>99</v>
      </c>
      <c r="F649" s="839" t="s">
        <v>230</v>
      </c>
      <c r="G649" s="839" t="s">
        <v>174</v>
      </c>
      <c r="I649" t="s">
        <v>231</v>
      </c>
      <c r="J649" t="s">
        <v>232</v>
      </c>
    </row>
    <row r="650" spans="1:10" ht="13.5" customHeight="1" x14ac:dyDescent="0.35">
      <c r="A650" s="838">
        <v>45714</v>
      </c>
      <c r="B650" s="839" t="s">
        <v>991</v>
      </c>
      <c r="C650" s="840" t="s">
        <v>31</v>
      </c>
      <c r="D650" s="839" t="s">
        <v>159</v>
      </c>
      <c r="E650" s="841">
        <v>99</v>
      </c>
      <c r="F650" s="839" t="s">
        <v>230</v>
      </c>
      <c r="G650" s="839" t="s">
        <v>174</v>
      </c>
      <c r="I650" t="s">
        <v>231</v>
      </c>
      <c r="J650" t="s">
        <v>232</v>
      </c>
    </row>
    <row r="651" spans="1:10" ht="13.5" customHeight="1" x14ac:dyDescent="0.35">
      <c r="A651" s="838">
        <v>45707</v>
      </c>
      <c r="B651" s="839" t="s">
        <v>992</v>
      </c>
      <c r="C651" s="840" t="s">
        <v>59</v>
      </c>
      <c r="D651" s="839" t="s">
        <v>159</v>
      </c>
      <c r="E651" s="841">
        <v>150</v>
      </c>
      <c r="F651" s="839" t="s">
        <v>993</v>
      </c>
      <c r="G651" s="839" t="s">
        <v>174</v>
      </c>
      <c r="I651" t="s">
        <v>299</v>
      </c>
      <c r="J651" t="s">
        <v>255</v>
      </c>
    </row>
    <row r="652" spans="1:10" ht="13.5" customHeight="1" x14ac:dyDescent="0.35">
      <c r="A652" s="838">
        <v>45706</v>
      </c>
      <c r="B652" s="839" t="s">
        <v>994</v>
      </c>
      <c r="C652" s="840" t="s">
        <v>47</v>
      </c>
      <c r="D652" s="839" t="s">
        <v>159</v>
      </c>
      <c r="E652" s="841">
        <v>360</v>
      </c>
      <c r="F652" s="839" t="s">
        <v>995</v>
      </c>
      <c r="G652" s="839" t="s">
        <v>174</v>
      </c>
      <c r="I652" t="s">
        <v>774</v>
      </c>
      <c r="J652" t="s">
        <v>206</v>
      </c>
    </row>
    <row r="653" spans="1:10" ht="13.5" customHeight="1" x14ac:dyDescent="0.35">
      <c r="A653" s="838">
        <v>45706</v>
      </c>
      <c r="B653" s="839" t="s">
        <v>996</v>
      </c>
      <c r="C653" s="840" t="s">
        <v>31</v>
      </c>
      <c r="D653" s="839" t="s">
        <v>159</v>
      </c>
      <c r="E653" s="841">
        <v>50</v>
      </c>
      <c r="F653" s="839" t="s">
        <v>997</v>
      </c>
      <c r="G653" s="839" t="s">
        <v>176</v>
      </c>
      <c r="I653" t="s">
        <v>244</v>
      </c>
      <c r="J653" t="s">
        <v>226</v>
      </c>
    </row>
    <row r="654" spans="1:10" ht="13.5" customHeight="1" x14ac:dyDescent="0.35">
      <c r="A654" s="838">
        <v>45705</v>
      </c>
      <c r="B654" s="839" t="s">
        <v>97</v>
      </c>
      <c r="C654" s="840" t="s">
        <v>59</v>
      </c>
      <c r="D654" s="839" t="s">
        <v>162</v>
      </c>
      <c r="E654" s="841">
        <v>185</v>
      </c>
      <c r="F654" s="839" t="s">
        <v>998</v>
      </c>
      <c r="G654" s="839" t="s">
        <v>175</v>
      </c>
      <c r="I654" t="s">
        <v>254</v>
      </c>
      <c r="J654" t="s">
        <v>255</v>
      </c>
    </row>
    <row r="655" spans="1:10" ht="13.5" customHeight="1" x14ac:dyDescent="0.35">
      <c r="A655" s="838">
        <v>45705</v>
      </c>
      <c r="B655" s="839" t="s">
        <v>999</v>
      </c>
      <c r="C655" s="840" t="s">
        <v>35</v>
      </c>
      <c r="D655" s="839" t="s">
        <v>159</v>
      </c>
      <c r="E655" s="841">
        <v>995</v>
      </c>
      <c r="F655" s="839" t="s">
        <v>1000</v>
      </c>
      <c r="G655" s="839" t="s">
        <v>175</v>
      </c>
      <c r="I655" t="s">
        <v>1001</v>
      </c>
      <c r="J655" t="s">
        <v>222</v>
      </c>
    </row>
    <row r="656" spans="1:10" ht="13.5" customHeight="1" x14ac:dyDescent="0.35">
      <c r="A656" s="838">
        <v>45704</v>
      </c>
      <c r="B656" s="839" t="s">
        <v>89</v>
      </c>
      <c r="C656" s="840" t="s">
        <v>56</v>
      </c>
      <c r="D656" s="839" t="s">
        <v>160</v>
      </c>
      <c r="E656" s="841">
        <v>70.84</v>
      </c>
      <c r="F656" s="839" t="s">
        <v>284</v>
      </c>
      <c r="G656" s="839" t="s">
        <v>89</v>
      </c>
      <c r="I656" t="s">
        <v>285</v>
      </c>
      <c r="J656" t="s">
        <v>286</v>
      </c>
    </row>
    <row r="657" spans="1:10" ht="13.5" customHeight="1" x14ac:dyDescent="0.35">
      <c r="A657" s="838">
        <v>45697</v>
      </c>
      <c r="B657" s="839" t="s">
        <v>351</v>
      </c>
      <c r="C657" s="840" t="s">
        <v>41</v>
      </c>
      <c r="D657" s="839" t="s">
        <v>166</v>
      </c>
      <c r="E657" s="841">
        <v>-65</v>
      </c>
      <c r="F657" s="839" t="s">
        <v>693</v>
      </c>
      <c r="G657" s="839" t="s">
        <v>175</v>
      </c>
      <c r="I657" t="s">
        <v>220</v>
      </c>
      <c r="J657"/>
    </row>
    <row r="658" spans="1:10" ht="13.5" customHeight="1" x14ac:dyDescent="0.35">
      <c r="A658" s="838">
        <v>45697</v>
      </c>
      <c r="B658" s="839" t="s">
        <v>351</v>
      </c>
      <c r="C658" s="840" t="s">
        <v>31</v>
      </c>
      <c r="D658" s="839" t="s">
        <v>166</v>
      </c>
      <c r="E658" s="841">
        <v>65</v>
      </c>
      <c r="F658" s="839" t="s">
        <v>693</v>
      </c>
      <c r="G658" s="839" t="s">
        <v>175</v>
      </c>
      <c r="I658" t="s">
        <v>605</v>
      </c>
      <c r="J658" t="s">
        <v>226</v>
      </c>
    </row>
    <row r="659" spans="1:10" ht="13.5" customHeight="1" x14ac:dyDescent="0.35">
      <c r="A659" s="838">
        <v>45693</v>
      </c>
      <c r="B659" s="839" t="s">
        <v>309</v>
      </c>
      <c r="C659" s="840" t="s">
        <v>47</v>
      </c>
      <c r="D659" s="839" t="s">
        <v>159</v>
      </c>
      <c r="E659" s="841">
        <v>240</v>
      </c>
      <c r="F659" s="839" t="s">
        <v>1002</v>
      </c>
      <c r="G659" s="839" t="s">
        <v>175</v>
      </c>
      <c r="I659" t="s">
        <v>342</v>
      </c>
      <c r="J659" t="s">
        <v>269</v>
      </c>
    </row>
    <row r="660" spans="1:10" ht="13.5" customHeight="1" x14ac:dyDescent="0.35">
      <c r="A660" s="838">
        <v>45692</v>
      </c>
      <c r="B660" s="839" t="s">
        <v>1003</v>
      </c>
      <c r="C660" s="840" t="s">
        <v>62</v>
      </c>
      <c r="D660" s="839" t="s">
        <v>159</v>
      </c>
      <c r="E660" s="841">
        <v>25</v>
      </c>
      <c r="F660" s="839" t="s">
        <v>1004</v>
      </c>
      <c r="G660" s="839" t="s">
        <v>175</v>
      </c>
      <c r="I660" t="s">
        <v>201</v>
      </c>
      <c r="J660" t="s">
        <v>202</v>
      </c>
    </row>
    <row r="661" spans="1:10" ht="13.5" customHeight="1" x14ac:dyDescent="0.35">
      <c r="A661" s="838">
        <v>45692</v>
      </c>
      <c r="B661" s="839" t="s">
        <v>1005</v>
      </c>
      <c r="C661" s="840" t="s">
        <v>31</v>
      </c>
      <c r="D661" s="839" t="s">
        <v>159</v>
      </c>
      <c r="E661" s="841">
        <v>15</v>
      </c>
      <c r="F661" s="839" t="s">
        <v>324</v>
      </c>
      <c r="G661" s="839" t="s">
        <v>174</v>
      </c>
      <c r="I661" t="s">
        <v>325</v>
      </c>
      <c r="J661" t="s">
        <v>226</v>
      </c>
    </row>
    <row r="662" spans="1:10" ht="13.5" customHeight="1" x14ac:dyDescent="0.35">
      <c r="A662" s="838">
        <v>45689</v>
      </c>
      <c r="B662" s="839" t="s">
        <v>292</v>
      </c>
      <c r="C662" s="840" t="s">
        <v>44</v>
      </c>
      <c r="D662" s="839" t="s">
        <v>159</v>
      </c>
      <c r="E662" s="841">
        <v>55</v>
      </c>
      <c r="F662" s="839" t="s">
        <v>292</v>
      </c>
      <c r="G662" s="839" t="s">
        <v>175</v>
      </c>
      <c r="I662" t="s">
        <v>294</v>
      </c>
      <c r="J662" t="s">
        <v>295</v>
      </c>
    </row>
    <row r="663" spans="1:10" ht="13.5" customHeight="1" x14ac:dyDescent="0.35">
      <c r="A663" s="838"/>
      <c r="B663" s="839"/>
      <c r="C663" s="840"/>
      <c r="D663" s="839"/>
      <c r="E663" s="841"/>
      <c r="F663" s="839"/>
      <c r="G663" s="839"/>
    </row>
    <row r="664" spans="1:10" ht="13.5" customHeight="1" x14ac:dyDescent="0.35">
      <c r="A664" s="838">
        <v>45687</v>
      </c>
      <c r="B664" s="839" t="s">
        <v>1006</v>
      </c>
      <c r="C664" s="840" t="s">
        <v>31</v>
      </c>
      <c r="D664" s="839" t="s">
        <v>159</v>
      </c>
      <c r="E664" s="841">
        <v>99</v>
      </c>
      <c r="F664" s="839" t="s">
        <v>230</v>
      </c>
      <c r="G664" s="839" t="s">
        <v>175</v>
      </c>
      <c r="I664" t="s">
        <v>231</v>
      </c>
      <c r="J664" t="s">
        <v>232</v>
      </c>
    </row>
    <row r="665" spans="1:10" ht="13.5" customHeight="1" x14ac:dyDescent="0.35">
      <c r="A665" s="838">
        <v>45687</v>
      </c>
      <c r="B665" s="839" t="s">
        <v>1007</v>
      </c>
      <c r="C665" s="840" t="s">
        <v>31</v>
      </c>
      <c r="D665" s="839" t="s">
        <v>160</v>
      </c>
      <c r="E665" s="841">
        <v>55</v>
      </c>
      <c r="F665" s="839" t="s">
        <v>1008</v>
      </c>
      <c r="G665" s="839" t="s">
        <v>174</v>
      </c>
      <c r="I665" t="s">
        <v>834</v>
      </c>
      <c r="J665" t="s">
        <v>226</v>
      </c>
    </row>
    <row r="666" spans="1:10" ht="13.5" customHeight="1" x14ac:dyDescent="0.35">
      <c r="A666" s="838">
        <v>45686</v>
      </c>
      <c r="B666" s="839" t="s">
        <v>1009</v>
      </c>
      <c r="C666" s="840" t="s">
        <v>35</v>
      </c>
      <c r="D666" s="839" t="s">
        <v>162</v>
      </c>
      <c r="E666" s="841">
        <v>453.25</v>
      </c>
      <c r="F666" s="839" t="s">
        <v>1010</v>
      </c>
      <c r="G666" s="839" t="s">
        <v>175</v>
      </c>
      <c r="I666" t="s">
        <v>1001</v>
      </c>
      <c r="J666" t="s">
        <v>222</v>
      </c>
    </row>
    <row r="667" spans="1:10" ht="13.5" customHeight="1" x14ac:dyDescent="0.35">
      <c r="A667" s="838">
        <v>45686</v>
      </c>
      <c r="B667" s="839" t="s">
        <v>1009</v>
      </c>
      <c r="C667" s="840" t="s">
        <v>41</v>
      </c>
      <c r="D667" s="839" t="s">
        <v>166</v>
      </c>
      <c r="E667" s="841">
        <v>-845.75</v>
      </c>
      <c r="F667" s="839" t="s">
        <v>1010</v>
      </c>
      <c r="G667" s="839" t="s">
        <v>175</v>
      </c>
      <c r="I667" t="s">
        <v>220</v>
      </c>
      <c r="J667"/>
    </row>
    <row r="668" spans="1:10" ht="13.5" customHeight="1" x14ac:dyDescent="0.35">
      <c r="A668" s="838">
        <v>45686</v>
      </c>
      <c r="B668" s="839" t="s">
        <v>1009</v>
      </c>
      <c r="C668" s="840" t="s">
        <v>35</v>
      </c>
      <c r="D668" s="839" t="s">
        <v>166</v>
      </c>
      <c r="E668" s="841">
        <v>845.75</v>
      </c>
      <c r="F668" s="839" t="s">
        <v>1010</v>
      </c>
      <c r="G668" s="839" t="s">
        <v>175</v>
      </c>
      <c r="I668" t="s">
        <v>1001</v>
      </c>
      <c r="J668" t="s">
        <v>222</v>
      </c>
    </row>
    <row r="669" spans="1:10" ht="13.5" customHeight="1" x14ac:dyDescent="0.35">
      <c r="A669" s="838">
        <v>45686</v>
      </c>
      <c r="B669" s="839" t="s">
        <v>1011</v>
      </c>
      <c r="C669" s="840" t="s">
        <v>28</v>
      </c>
      <c r="D669" s="839" t="s">
        <v>160</v>
      </c>
      <c r="E669" s="841">
        <v>175</v>
      </c>
      <c r="F669" s="839" t="s">
        <v>1012</v>
      </c>
      <c r="G669" s="839" t="s">
        <v>175</v>
      </c>
      <c r="I669" t="s">
        <v>678</v>
      </c>
      <c r="J669" t="s">
        <v>679</v>
      </c>
    </row>
    <row r="670" spans="1:10" ht="13.5" customHeight="1" x14ac:dyDescent="0.35">
      <c r="A670" s="838">
        <v>45686</v>
      </c>
      <c r="B670" s="839" t="s">
        <v>1013</v>
      </c>
      <c r="C670" s="840" t="s">
        <v>62</v>
      </c>
      <c r="D670" s="839" t="s">
        <v>160</v>
      </c>
      <c r="E670" s="841">
        <v>25</v>
      </c>
      <c r="F670" s="839" t="s">
        <v>1004</v>
      </c>
      <c r="G670" s="839" t="s">
        <v>174</v>
      </c>
      <c r="I670" t="s">
        <v>201</v>
      </c>
      <c r="J670" t="s">
        <v>202</v>
      </c>
    </row>
    <row r="671" spans="1:10" ht="13.5" customHeight="1" x14ac:dyDescent="0.35">
      <c r="A671" s="838">
        <v>45683</v>
      </c>
      <c r="B671" s="839" t="s">
        <v>858</v>
      </c>
      <c r="C671" s="840" t="s">
        <v>35</v>
      </c>
      <c r="D671" s="839" t="s">
        <v>159</v>
      </c>
      <c r="E671" s="841">
        <v>995</v>
      </c>
      <c r="F671" s="839" t="s">
        <v>1010</v>
      </c>
      <c r="G671" s="839" t="s">
        <v>174</v>
      </c>
      <c r="I671" t="s">
        <v>1001</v>
      </c>
      <c r="J671" t="s">
        <v>222</v>
      </c>
    </row>
    <row r="672" spans="1:10" ht="13.5" customHeight="1" x14ac:dyDescent="0.35">
      <c r="A672" s="838">
        <v>45679</v>
      </c>
      <c r="B672" s="839" t="s">
        <v>1014</v>
      </c>
      <c r="C672" s="840" t="s">
        <v>31</v>
      </c>
      <c r="D672" s="839" t="s">
        <v>159</v>
      </c>
      <c r="E672" s="841">
        <v>49</v>
      </c>
      <c r="F672" s="839" t="s">
        <v>230</v>
      </c>
      <c r="G672" s="839" t="s">
        <v>176</v>
      </c>
      <c r="I672" t="s">
        <v>231</v>
      </c>
      <c r="J672" t="s">
        <v>232</v>
      </c>
    </row>
    <row r="673" spans="1:10" ht="13.5" customHeight="1" x14ac:dyDescent="0.35">
      <c r="A673" s="838">
        <v>45679</v>
      </c>
      <c r="B673" s="839" t="s">
        <v>1014</v>
      </c>
      <c r="C673" s="840" t="s">
        <v>53</v>
      </c>
      <c r="D673" s="839" t="s">
        <v>165</v>
      </c>
      <c r="E673" s="841">
        <v>-50</v>
      </c>
      <c r="F673" s="839" t="s">
        <v>230</v>
      </c>
      <c r="G673" s="839" t="s">
        <v>176</v>
      </c>
      <c r="I673" t="s">
        <v>220</v>
      </c>
      <c r="J673"/>
    </row>
    <row r="674" spans="1:10" ht="13.5" customHeight="1" x14ac:dyDescent="0.35">
      <c r="A674" s="838">
        <v>45679</v>
      </c>
      <c r="B674" s="839" t="s">
        <v>1014</v>
      </c>
      <c r="C674" s="840" t="s">
        <v>31</v>
      </c>
      <c r="D674" s="839" t="s">
        <v>165</v>
      </c>
      <c r="E674" s="841">
        <v>50</v>
      </c>
      <c r="F674" s="839" t="s">
        <v>230</v>
      </c>
      <c r="G674" s="839" t="s">
        <v>176</v>
      </c>
      <c r="I674" t="s">
        <v>231</v>
      </c>
      <c r="J674" t="s">
        <v>232</v>
      </c>
    </row>
    <row r="675" spans="1:10" ht="13.5" customHeight="1" x14ac:dyDescent="0.35">
      <c r="A675" s="838">
        <v>45679</v>
      </c>
      <c r="B675" s="839" t="s">
        <v>346</v>
      </c>
      <c r="C675" s="840" t="s">
        <v>62</v>
      </c>
      <c r="D675" s="839" t="s">
        <v>159</v>
      </c>
      <c r="E675" s="841">
        <v>25</v>
      </c>
      <c r="F675" s="839" t="s">
        <v>1004</v>
      </c>
      <c r="G675" s="839" t="s">
        <v>175</v>
      </c>
      <c r="I675" t="s">
        <v>201</v>
      </c>
      <c r="J675" t="s">
        <v>202</v>
      </c>
    </row>
    <row r="676" spans="1:10" ht="13.5" customHeight="1" x14ac:dyDescent="0.35">
      <c r="A676" s="838">
        <v>45677</v>
      </c>
      <c r="B676" s="839" t="s">
        <v>346</v>
      </c>
      <c r="C676" s="840" t="s">
        <v>44</v>
      </c>
      <c r="D676" s="839" t="s">
        <v>159</v>
      </c>
      <c r="E676" s="841">
        <v>15</v>
      </c>
      <c r="F676" s="839" t="s">
        <v>293</v>
      </c>
      <c r="G676" s="839" t="s">
        <v>175</v>
      </c>
      <c r="I676" t="s">
        <v>294</v>
      </c>
      <c r="J676" t="s">
        <v>295</v>
      </c>
    </row>
    <row r="677" spans="1:10" ht="13.5" customHeight="1" x14ac:dyDescent="0.35">
      <c r="A677" s="838">
        <v>45679</v>
      </c>
      <c r="B677" s="839" t="s">
        <v>1015</v>
      </c>
      <c r="C677" s="840" t="s">
        <v>31</v>
      </c>
      <c r="D677" s="839" t="s">
        <v>159</v>
      </c>
      <c r="E677" s="841">
        <v>50</v>
      </c>
      <c r="F677" s="839" t="s">
        <v>1016</v>
      </c>
      <c r="G677" s="839" t="s">
        <v>174</v>
      </c>
      <c r="I677" t="s">
        <v>280</v>
      </c>
      <c r="J677" t="s">
        <v>226</v>
      </c>
    </row>
    <row r="678" spans="1:10" ht="13.5" customHeight="1" x14ac:dyDescent="0.35">
      <c r="A678" s="838">
        <v>45678</v>
      </c>
      <c r="B678" s="839" t="s">
        <v>1017</v>
      </c>
      <c r="C678" s="840" t="s">
        <v>47</v>
      </c>
      <c r="D678" s="839" t="s">
        <v>159</v>
      </c>
      <c r="E678" s="841">
        <v>300</v>
      </c>
      <c r="F678" s="839" t="s">
        <v>1018</v>
      </c>
      <c r="G678" s="839" t="s">
        <v>174</v>
      </c>
      <c r="I678" t="s">
        <v>342</v>
      </c>
      <c r="J678" t="s">
        <v>269</v>
      </c>
    </row>
    <row r="679" spans="1:10" ht="13.5" customHeight="1" x14ac:dyDescent="0.35">
      <c r="A679" s="838">
        <v>45677</v>
      </c>
      <c r="B679" s="839" t="s">
        <v>1019</v>
      </c>
      <c r="C679" s="840" t="s">
        <v>35</v>
      </c>
      <c r="D679" s="839" t="s">
        <v>159</v>
      </c>
      <c r="E679" s="841">
        <v>115</v>
      </c>
      <c r="F679" s="839" t="s">
        <v>1020</v>
      </c>
      <c r="G679" s="839" t="s">
        <v>175</v>
      </c>
      <c r="I679" t="s">
        <v>758</v>
      </c>
      <c r="J679" t="s">
        <v>222</v>
      </c>
    </row>
    <row r="680" spans="1:10" ht="13.5" customHeight="1" x14ac:dyDescent="0.35">
      <c r="A680" s="838">
        <v>45676</v>
      </c>
      <c r="B680" s="839" t="s">
        <v>732</v>
      </c>
      <c r="C680" s="840" t="s">
        <v>47</v>
      </c>
      <c r="D680" s="839" t="s">
        <v>159</v>
      </c>
      <c r="E680" s="841">
        <v>120</v>
      </c>
      <c r="F680" s="839" t="s">
        <v>1021</v>
      </c>
      <c r="G680" s="839" t="s">
        <v>175</v>
      </c>
      <c r="I680" t="s">
        <v>265</v>
      </c>
      <c r="J680" t="s">
        <v>206</v>
      </c>
    </row>
    <row r="681" spans="1:10" ht="13.5" customHeight="1" x14ac:dyDescent="0.35">
      <c r="A681" s="838">
        <v>45675</v>
      </c>
      <c r="B681" s="839" t="s">
        <v>756</v>
      </c>
      <c r="C681" s="840" t="s">
        <v>35</v>
      </c>
      <c r="D681" s="839" t="s">
        <v>159</v>
      </c>
      <c r="E681" s="841">
        <v>995</v>
      </c>
      <c r="F681" s="839" t="s">
        <v>463</v>
      </c>
      <c r="G681" s="839" t="s">
        <v>176</v>
      </c>
      <c r="I681" t="s">
        <v>879</v>
      </c>
      <c r="J681" t="s">
        <v>222</v>
      </c>
    </row>
    <row r="682" spans="1:10" ht="13.5" customHeight="1" x14ac:dyDescent="0.35">
      <c r="A682" s="838">
        <v>45674</v>
      </c>
      <c r="B682" s="839" t="s">
        <v>1022</v>
      </c>
      <c r="C682" s="840" t="s">
        <v>53</v>
      </c>
      <c r="D682" s="839" t="s">
        <v>165</v>
      </c>
      <c r="E682" s="841">
        <v>-99</v>
      </c>
      <c r="F682" s="839" t="s">
        <v>230</v>
      </c>
      <c r="G682" s="839" t="s">
        <v>176</v>
      </c>
      <c r="I682" t="s">
        <v>220</v>
      </c>
      <c r="J682"/>
    </row>
    <row r="683" spans="1:10" ht="13.5" customHeight="1" x14ac:dyDescent="0.35">
      <c r="A683" s="838">
        <v>45674</v>
      </c>
      <c r="B683" s="839" t="s">
        <v>1022</v>
      </c>
      <c r="C683" s="840" t="s">
        <v>31</v>
      </c>
      <c r="D683" s="839" t="s">
        <v>165</v>
      </c>
      <c r="E683" s="841">
        <v>99</v>
      </c>
      <c r="F683" s="839" t="s">
        <v>230</v>
      </c>
      <c r="G683" s="839" t="s">
        <v>176</v>
      </c>
      <c r="I683" t="s">
        <v>231</v>
      </c>
      <c r="J683" t="s">
        <v>232</v>
      </c>
    </row>
    <row r="684" spans="1:10" ht="13.5" customHeight="1" x14ac:dyDescent="0.35">
      <c r="A684" s="838">
        <v>45674</v>
      </c>
      <c r="B684" s="839" t="s">
        <v>1022</v>
      </c>
      <c r="C684" s="840" t="s">
        <v>53</v>
      </c>
      <c r="D684" s="839" t="s">
        <v>165</v>
      </c>
      <c r="E684" s="841">
        <v>-15</v>
      </c>
      <c r="F684" s="839" t="s">
        <v>324</v>
      </c>
      <c r="G684" s="839" t="s">
        <v>176</v>
      </c>
      <c r="I684" t="s">
        <v>220</v>
      </c>
      <c r="J684"/>
    </row>
    <row r="685" spans="1:10" ht="13.5" customHeight="1" x14ac:dyDescent="0.35">
      <c r="A685" s="838">
        <v>45674</v>
      </c>
      <c r="B685" s="839" t="s">
        <v>1022</v>
      </c>
      <c r="C685" s="840" t="s">
        <v>31</v>
      </c>
      <c r="D685" s="839" t="s">
        <v>165</v>
      </c>
      <c r="E685" s="841">
        <v>15</v>
      </c>
      <c r="F685" s="839" t="s">
        <v>324</v>
      </c>
      <c r="G685" s="839" t="s">
        <v>176</v>
      </c>
      <c r="I685" t="s">
        <v>325</v>
      </c>
      <c r="J685" t="s">
        <v>226</v>
      </c>
    </row>
    <row r="686" spans="1:10" ht="13.5" customHeight="1" x14ac:dyDescent="0.35">
      <c r="A686" s="838">
        <v>45674</v>
      </c>
      <c r="B686" s="839" t="s">
        <v>1022</v>
      </c>
      <c r="C686" s="840" t="s">
        <v>53</v>
      </c>
      <c r="D686" s="839" t="s">
        <v>165</v>
      </c>
      <c r="E686" s="841">
        <v>-15</v>
      </c>
      <c r="F686" s="839" t="s">
        <v>324</v>
      </c>
      <c r="G686" s="839" t="s">
        <v>176</v>
      </c>
      <c r="I686" t="s">
        <v>220</v>
      </c>
      <c r="J686"/>
    </row>
    <row r="687" spans="1:10" ht="13.5" customHeight="1" x14ac:dyDescent="0.35">
      <c r="A687" s="838">
        <v>45674</v>
      </c>
      <c r="B687" s="839" t="s">
        <v>1022</v>
      </c>
      <c r="C687" s="840" t="s">
        <v>31</v>
      </c>
      <c r="D687" s="839" t="s">
        <v>165</v>
      </c>
      <c r="E687" s="841">
        <v>15</v>
      </c>
      <c r="F687" s="839" t="s">
        <v>324</v>
      </c>
      <c r="G687" s="839" t="s">
        <v>176</v>
      </c>
      <c r="I687" t="s">
        <v>325</v>
      </c>
      <c r="J687" t="s">
        <v>226</v>
      </c>
    </row>
    <row r="688" spans="1:10" ht="13.5" customHeight="1" x14ac:dyDescent="0.35">
      <c r="A688" s="838">
        <v>45674</v>
      </c>
      <c r="B688" s="839" t="s">
        <v>1022</v>
      </c>
      <c r="C688" s="840" t="s">
        <v>53</v>
      </c>
      <c r="D688" s="839" t="s">
        <v>165</v>
      </c>
      <c r="E688" s="841">
        <v>-360</v>
      </c>
      <c r="F688" s="839" t="s">
        <v>1023</v>
      </c>
      <c r="G688" s="839" t="s">
        <v>176</v>
      </c>
      <c r="I688" t="s">
        <v>220</v>
      </c>
      <c r="J688"/>
    </row>
    <row r="689" spans="1:10" ht="13.5" customHeight="1" x14ac:dyDescent="0.35">
      <c r="A689" s="838">
        <v>45674</v>
      </c>
      <c r="B689" s="839" t="s">
        <v>1022</v>
      </c>
      <c r="C689" s="840" t="s">
        <v>47</v>
      </c>
      <c r="D689" s="839" t="s">
        <v>165</v>
      </c>
      <c r="E689" s="841">
        <v>360</v>
      </c>
      <c r="F689" s="839" t="s">
        <v>1023</v>
      </c>
      <c r="G689" s="839" t="s">
        <v>176</v>
      </c>
      <c r="I689" t="s">
        <v>774</v>
      </c>
      <c r="J689" t="s">
        <v>206</v>
      </c>
    </row>
    <row r="690" spans="1:10" ht="13.5" customHeight="1" x14ac:dyDescent="0.35">
      <c r="A690" s="838">
        <v>45673</v>
      </c>
      <c r="B690" s="839" t="s">
        <v>1024</v>
      </c>
      <c r="C690" s="840" t="s">
        <v>28</v>
      </c>
      <c r="D690" s="839" t="s">
        <v>159</v>
      </c>
      <c r="E690" s="841">
        <v>250</v>
      </c>
      <c r="F690" s="839" t="s">
        <v>1025</v>
      </c>
      <c r="G690" s="839" t="s">
        <v>174</v>
      </c>
      <c r="I690" t="s">
        <v>657</v>
      </c>
      <c r="J690" t="s">
        <v>197</v>
      </c>
    </row>
    <row r="691" spans="1:10" ht="13.5" customHeight="1" x14ac:dyDescent="0.35">
      <c r="A691" s="838">
        <v>45673</v>
      </c>
      <c r="B691" s="839" t="s">
        <v>89</v>
      </c>
      <c r="C691" s="840" t="s">
        <v>56</v>
      </c>
      <c r="D691" s="839" t="s">
        <v>160</v>
      </c>
      <c r="E691" s="841">
        <v>67.61</v>
      </c>
      <c r="F691" s="839" t="s">
        <v>1026</v>
      </c>
      <c r="G691" s="839" t="s">
        <v>89</v>
      </c>
      <c r="I691" t="s">
        <v>285</v>
      </c>
      <c r="J691" t="s">
        <v>286</v>
      </c>
    </row>
    <row r="692" spans="1:10" ht="13.5" customHeight="1" x14ac:dyDescent="0.35">
      <c r="A692" s="838">
        <v>45670</v>
      </c>
      <c r="B692" s="839" t="s">
        <v>1027</v>
      </c>
      <c r="C692" s="840" t="s">
        <v>59</v>
      </c>
      <c r="D692" s="839" t="s">
        <v>162</v>
      </c>
      <c r="E692" s="841">
        <v>150</v>
      </c>
      <c r="F692" s="839" t="s">
        <v>1028</v>
      </c>
      <c r="G692" s="839" t="s">
        <v>176</v>
      </c>
      <c r="I692" t="s">
        <v>254</v>
      </c>
      <c r="J692" t="s">
        <v>255</v>
      </c>
    </row>
    <row r="693" spans="1:10" ht="13.5" customHeight="1" x14ac:dyDescent="0.35">
      <c r="A693" s="838">
        <v>45660</v>
      </c>
      <c r="B693" s="839" t="s">
        <v>1029</v>
      </c>
      <c r="C693" s="840" t="s">
        <v>62</v>
      </c>
      <c r="D693" s="839" t="s">
        <v>159</v>
      </c>
      <c r="E693" s="841">
        <v>25</v>
      </c>
      <c r="F693" s="839" t="s">
        <v>1004</v>
      </c>
      <c r="G693" s="839" t="s">
        <v>175</v>
      </c>
      <c r="I693" t="s">
        <v>201</v>
      </c>
      <c r="J693" t="s">
        <v>202</v>
      </c>
    </row>
    <row r="694" spans="1:10" ht="13.5" customHeight="1" x14ac:dyDescent="0.35">
      <c r="A694" s="838">
        <v>45659</v>
      </c>
      <c r="B694" s="839" t="s">
        <v>1030</v>
      </c>
      <c r="C694" s="840" t="s">
        <v>53</v>
      </c>
      <c r="D694" s="839" t="s">
        <v>165</v>
      </c>
      <c r="E694" s="841">
        <v>-50</v>
      </c>
      <c r="F694" s="839" t="s">
        <v>472</v>
      </c>
      <c r="G694" s="839" t="s">
        <v>176</v>
      </c>
      <c r="I694" t="s">
        <v>220</v>
      </c>
      <c r="J694"/>
    </row>
    <row r="695" spans="1:10" ht="13.5" customHeight="1" x14ac:dyDescent="0.35">
      <c r="A695" s="838">
        <v>45659</v>
      </c>
      <c r="B695" s="839" t="s">
        <v>1030</v>
      </c>
      <c r="C695" s="840" t="s">
        <v>31</v>
      </c>
      <c r="D695" s="839" t="s">
        <v>165</v>
      </c>
      <c r="E695" s="841">
        <v>50</v>
      </c>
      <c r="F695" s="839" t="s">
        <v>472</v>
      </c>
      <c r="G695" s="839" t="s">
        <v>176</v>
      </c>
      <c r="I695" t="s">
        <v>380</v>
      </c>
      <c r="J695" t="s">
        <v>226</v>
      </c>
    </row>
    <row r="696" spans="1:10" ht="13.5" customHeight="1" x14ac:dyDescent="0.35">
      <c r="A696" s="838">
        <v>45659</v>
      </c>
      <c r="B696" s="839" t="s">
        <v>663</v>
      </c>
      <c r="C696" s="840" t="s">
        <v>31</v>
      </c>
      <c r="D696" s="839" t="s">
        <v>159</v>
      </c>
      <c r="E696" s="841">
        <v>15</v>
      </c>
      <c r="F696" s="839" t="s">
        <v>324</v>
      </c>
      <c r="G696" s="839" t="s">
        <v>174</v>
      </c>
      <c r="I696" t="s">
        <v>325</v>
      </c>
      <c r="J696" t="s">
        <v>226</v>
      </c>
    </row>
    <row r="697" spans="1:10" ht="13.5" customHeight="1" x14ac:dyDescent="0.35">
      <c r="A697" s="838">
        <v>45658</v>
      </c>
      <c r="B697" s="839" t="s">
        <v>1031</v>
      </c>
      <c r="C697" s="840" t="s">
        <v>37</v>
      </c>
      <c r="D697" s="839" t="s">
        <v>162</v>
      </c>
      <c r="E697" s="841">
        <v>250</v>
      </c>
      <c r="F697" s="839" t="s">
        <v>1032</v>
      </c>
      <c r="G697" s="839" t="s">
        <v>175</v>
      </c>
      <c r="I697" t="s">
        <v>353</v>
      </c>
      <c r="J697" t="s">
        <v>354</v>
      </c>
    </row>
    <row r="698" spans="1:10" ht="13.5" customHeight="1" x14ac:dyDescent="0.35">
      <c r="A698" s="838">
        <v>45658</v>
      </c>
      <c r="B698" s="839" t="s">
        <v>292</v>
      </c>
      <c r="C698" s="840" t="s">
        <v>44</v>
      </c>
      <c r="D698" s="839" t="s">
        <v>159</v>
      </c>
      <c r="E698" s="841">
        <v>70</v>
      </c>
      <c r="F698" s="839" t="s">
        <v>292</v>
      </c>
      <c r="G698" s="839" t="s">
        <v>175</v>
      </c>
      <c r="I698" t="s">
        <v>294</v>
      </c>
      <c r="J698" t="s">
        <v>295</v>
      </c>
    </row>
  </sheetData>
  <mergeCells count="1">
    <mergeCell ref="Z20:AA20"/>
  </mergeCells>
  <conditionalFormatting sqref="D47:E47 D48:D63 D64:F67 E2:E25 E27:E28 E30 E32:E42 E44 E48:E62 E65:G65 E68:E144 E204:E206 E209:E403 E405:E427 E429:E484 E486:E503 E506:E551 E553:E601 E603:E627 E629:E631 E634:E646 E648:E656 E659:E661 E663:E666 E669:E672 E675:E681 E684:E691 E693:E696 E699:E1048576 N30:N32 P30:V32 V175:V910 X6:X29 X45:X50 X128 X137:X147 X160 X165 X174 Y24:Y33">
    <cfRule type="cellIs" dxfId="3957" priority="307" operator="lessThan">
      <formula>0</formula>
    </cfRule>
  </conditionalFormatting>
  <conditionalFormatting sqref="X43">
    <cfRule type="cellIs" dxfId="3956" priority="306" operator="lessThan">
      <formula>0</formula>
    </cfRule>
  </conditionalFormatting>
  <conditionalFormatting sqref="X6:X18">
    <cfRule type="cellIs" dxfId="3955" priority="222" operator="lessThan">
      <formula>0</formula>
    </cfRule>
    <cfRule type="cellIs" dxfId="3954" priority="223" operator="lessThan">
      <formula>0</formula>
    </cfRule>
    <cfRule type="cellIs" dxfId="3953" priority="224" operator="lessThan">
      <formula>0</formula>
    </cfRule>
    <cfRule type="cellIs" dxfId="3952" priority="225" operator="lessThan">
      <formula>0</formula>
    </cfRule>
    <cfRule type="cellIs" dxfId="3951" priority="226" operator="lessThan">
      <formula>0</formula>
    </cfRule>
    <cfRule type="cellIs" dxfId="3950" priority="227" operator="lessThan">
      <formula>0</formula>
    </cfRule>
    <cfRule type="cellIs" dxfId="3949" priority="228" operator="lessThan">
      <formula>0</formula>
    </cfRule>
    <cfRule type="cellIs" dxfId="3948" priority="229" operator="lessThan">
      <formula>0</formula>
    </cfRule>
    <cfRule type="cellIs" dxfId="3947" priority="230" operator="lessThan">
      <formula>0</formula>
    </cfRule>
    <cfRule type="cellIs" dxfId="3946" priority="231" operator="lessThan">
      <formula>0</formula>
    </cfRule>
    <cfRule type="cellIs" dxfId="3945" priority="232" operator="lessThan">
      <formula>0</formula>
    </cfRule>
    <cfRule type="cellIs" dxfId="3944" priority="233" operator="lessThan">
      <formula>0</formula>
    </cfRule>
    <cfRule type="cellIs" dxfId="3943" priority="234" operator="lessThan">
      <formula>0</formula>
    </cfRule>
    <cfRule type="cellIs" dxfId="3942" priority="235" operator="lessThan">
      <formula>0</formula>
    </cfRule>
    <cfRule type="cellIs" dxfId="3941" priority="236" operator="lessThan">
      <formula>0</formula>
    </cfRule>
    <cfRule type="cellIs" dxfId="3940" priority="237" operator="lessThan">
      <formula>0</formula>
    </cfRule>
    <cfRule type="cellIs" dxfId="3939" priority="238" operator="lessThan">
      <formula>0</formula>
    </cfRule>
    <cfRule type="cellIs" dxfId="3938" priority="239" operator="lessThan">
      <formula>0</formula>
    </cfRule>
    <cfRule type="cellIs" dxfId="3937" priority="279" operator="lessThan">
      <formula>0</formula>
    </cfRule>
    <cfRule type="cellIs" dxfId="3936" priority="280" operator="lessThan">
      <formula>0</formula>
    </cfRule>
    <cfRule type="cellIs" dxfId="3935" priority="283" operator="lessThan">
      <formula>0</formula>
    </cfRule>
    <cfRule type="cellIs" dxfId="3934" priority="289" operator="lessThan">
      <formula>0</formula>
    </cfRule>
    <cfRule type="cellIs" dxfId="3933" priority="290" operator="lessThan">
      <formula>0</formula>
    </cfRule>
    <cfRule type="cellIs" dxfId="3932" priority="291" operator="lessThan">
      <formula>0</formula>
    </cfRule>
    <cfRule type="cellIs" dxfId="3931" priority="292" operator="lessThan">
      <formula>0</formula>
    </cfRule>
    <cfRule type="cellIs" dxfId="3930" priority="295" operator="lessThan">
      <formula>0</formula>
    </cfRule>
    <cfRule type="cellIs" dxfId="3929" priority="302" operator="lessThan">
      <formula>0</formula>
    </cfRule>
    <cfRule type="cellIs" dxfId="3928" priority="304" operator="lessThan">
      <formula>0</formula>
    </cfRule>
  </conditionalFormatting>
  <conditionalFormatting sqref="X44">
    <cfRule type="cellIs" dxfId="3927" priority="305" operator="lessThan">
      <formula>0</formula>
    </cfRule>
  </conditionalFormatting>
  <conditionalFormatting sqref="X6:X29 Y24:Y33">
    <cfRule type="cellIs" dxfId="3926" priority="303" operator="greaterThan">
      <formula>0</formula>
    </cfRule>
  </conditionalFormatting>
  <conditionalFormatting sqref="J48">
    <cfRule type="cellIs" dxfId="3925" priority="300" operator="greaterThan">
      <formula>0</formula>
    </cfRule>
    <cfRule type="cellIs" dxfId="3924" priority="301" operator="lessThan">
      <formula>0</formula>
    </cfRule>
  </conditionalFormatting>
  <conditionalFormatting sqref="Y6">
    <cfRule type="cellIs" dxfId="3923" priority="298" operator="greaterThan">
      <formula>0</formula>
    </cfRule>
    <cfRule type="cellIs" dxfId="3922" priority="299" operator="lessThan">
      <formula>0</formula>
    </cfRule>
  </conditionalFormatting>
  <conditionalFormatting sqref="Z6">
    <cfRule type="cellIs" dxfId="3921" priority="296" operator="greaterThan">
      <formula>0</formula>
    </cfRule>
    <cfRule type="cellIs" dxfId="3920" priority="297" operator="lessThan">
      <formula>0</formula>
    </cfRule>
  </conditionalFormatting>
  <conditionalFormatting sqref="AB6:AB18">
    <cfRule type="cellIs" dxfId="3919" priority="293" operator="lessThan">
      <formula>0</formula>
    </cfRule>
    <cfRule type="cellIs" dxfId="3918" priority="294" operator="greaterThan">
      <formula>0</formula>
    </cfRule>
  </conditionalFormatting>
  <conditionalFormatting sqref="W19">
    <cfRule type="cellIs" dxfId="3917" priority="286" operator="greaterThan">
      <formula>0.8</formula>
    </cfRule>
    <cfRule type="cellIs" dxfId="3916" priority="287" operator="between">
      <formula>0.51</formula>
      <formula>0.8</formula>
    </cfRule>
    <cfRule type="cellIs" dxfId="3915" priority="288" operator="lessThan">
      <formula>0.5</formula>
    </cfRule>
  </conditionalFormatting>
  <conditionalFormatting sqref="X149">
    <cfRule type="cellIs" dxfId="3914" priority="285" operator="lessThan">
      <formula>0</formula>
    </cfRule>
  </conditionalFormatting>
  <conditionalFormatting sqref="X162:X164">
    <cfRule type="cellIs" dxfId="3913" priority="284" operator="lessThan">
      <formula>0</formula>
    </cfRule>
  </conditionalFormatting>
  <conditionalFormatting sqref="Y40">
    <cfRule type="cellIs" dxfId="3912" priority="281" operator="greaterThan">
      <formula>0</formula>
    </cfRule>
    <cfRule type="cellIs" dxfId="3911" priority="282" operator="lessThan">
      <formula>0</formula>
    </cfRule>
  </conditionalFormatting>
  <conditionalFormatting sqref="X40">
    <cfRule type="cellIs" dxfId="3910" priority="272" operator="lessThan">
      <formula>0</formula>
    </cfRule>
    <cfRule type="cellIs" dxfId="3909" priority="273" operator="lessThan">
      <formula>0</formula>
    </cfRule>
    <cfRule type="cellIs" dxfId="3908" priority="274" operator="lessThan">
      <formula>0</formula>
    </cfRule>
    <cfRule type="cellIs" dxfId="3907" priority="275" operator="lessThan">
      <formula>0</formula>
    </cfRule>
    <cfRule type="cellIs" dxfId="3906" priority="276" operator="lessThan">
      <formula>0</formula>
    </cfRule>
    <cfRule type="cellIs" dxfId="3905" priority="277" operator="greaterThan">
      <formula>0</formula>
    </cfRule>
    <cfRule type="cellIs" dxfId="3904" priority="278" operator="lessThan">
      <formula>0</formula>
    </cfRule>
  </conditionalFormatting>
  <conditionalFormatting sqref="Z109:Z110">
    <cfRule type="cellIs" dxfId="3903" priority="270" operator="lessThan">
      <formula>0</formula>
    </cfRule>
    <cfRule type="cellIs" dxfId="3902" priority="271" operator="greaterThan">
      <formula>0</formula>
    </cfRule>
  </conditionalFormatting>
  <conditionalFormatting sqref="X167:X168">
    <cfRule type="cellIs" dxfId="3901" priority="269" operator="lessThan">
      <formula>0</formula>
    </cfRule>
  </conditionalFormatting>
  <conditionalFormatting sqref="X169:X170">
    <cfRule type="cellIs" dxfId="3900" priority="268" operator="lessThan">
      <formula>0</formula>
    </cfRule>
  </conditionalFormatting>
  <conditionalFormatting sqref="X172:X173">
    <cfRule type="cellIs" dxfId="3899" priority="267" operator="lessThan">
      <formula>0</formula>
    </cfRule>
  </conditionalFormatting>
  <conditionalFormatting sqref="X37:X39">
    <cfRule type="cellIs" dxfId="3898" priority="260" operator="lessThan">
      <formula>0</formula>
    </cfRule>
    <cfRule type="cellIs" dxfId="3897" priority="261" operator="lessThan">
      <formula>0</formula>
    </cfRule>
    <cfRule type="cellIs" dxfId="3896" priority="262" operator="lessThan">
      <formula>0</formula>
    </cfRule>
    <cfRule type="cellIs" dxfId="3895" priority="263" operator="lessThan">
      <formula>0</formula>
    </cfRule>
    <cfRule type="cellIs" dxfId="3894" priority="264" operator="lessThan">
      <formula>0</formula>
    </cfRule>
    <cfRule type="cellIs" dxfId="3893" priority="265" operator="greaterThan">
      <formula>0</formula>
    </cfRule>
    <cfRule type="cellIs" dxfId="3892" priority="266" operator="lessThan">
      <formula>0</formula>
    </cfRule>
  </conditionalFormatting>
  <conditionalFormatting sqref="Y37:Y39">
    <cfRule type="cellIs" dxfId="3891" priority="258" operator="greaterThan">
      <formula>0</formula>
    </cfRule>
    <cfRule type="cellIs" dxfId="3890" priority="259" operator="lessThan">
      <formula>0</formula>
    </cfRule>
  </conditionalFormatting>
  <conditionalFormatting sqref="K67:W78">
    <cfRule type="cellIs" dxfId="3889" priority="256" operator="lessThan">
      <formula>0</formula>
    </cfRule>
    <cfRule type="cellIs" dxfId="3888" priority="257" operator="greaterThan">
      <formula>0.1</formula>
    </cfRule>
  </conditionalFormatting>
  <conditionalFormatting sqref="K79">
    <cfRule type="cellIs" dxfId="3887" priority="254" operator="lessThan">
      <formula>0</formula>
    </cfRule>
    <cfRule type="cellIs" dxfId="3886" priority="255" operator="greaterThan">
      <formula>0.1</formula>
    </cfRule>
  </conditionalFormatting>
  <conditionalFormatting sqref="W67">
    <cfRule type="cellIs" dxfId="3885" priority="252" operator="lessThan">
      <formula>0</formula>
    </cfRule>
    <cfRule type="cellIs" dxfId="3884" priority="253" operator="greaterThan">
      <formula>0.1</formula>
    </cfRule>
  </conditionalFormatting>
  <conditionalFormatting sqref="L67:V70 L72:V74 L76:V78">
    <cfRule type="cellIs" dxfId="3883" priority="250" operator="lessThan">
      <formula>0</formula>
    </cfRule>
    <cfRule type="cellIs" dxfId="3882" priority="251" operator="greaterThan">
      <formula>0.1</formula>
    </cfRule>
  </conditionalFormatting>
  <conditionalFormatting sqref="K71:V71">
    <cfRule type="cellIs" dxfId="3881" priority="246" operator="lessThan">
      <formula>0</formula>
    </cfRule>
    <cfRule type="cellIs" dxfId="3880" priority="247" operator="greaterThan">
      <formula>0.1</formula>
    </cfRule>
    <cfRule type="cellIs" dxfId="3879" priority="248" operator="lessThan">
      <formula>0</formula>
    </cfRule>
    <cfRule type="cellIs" dxfId="3878" priority="249" operator="greaterThan">
      <formula>0.1</formula>
    </cfRule>
  </conditionalFormatting>
  <conditionalFormatting sqref="L71:V71">
    <cfRule type="cellIs" dxfId="3877" priority="242" operator="lessThan">
      <formula>0</formula>
    </cfRule>
    <cfRule type="cellIs" dxfId="3876" priority="243" operator="greaterThan">
      <formula>0.1</formula>
    </cfRule>
    <cfRule type="cellIs" dxfId="3875" priority="244" operator="lessThan">
      <formula>0</formula>
    </cfRule>
    <cfRule type="cellIs" dxfId="3874" priority="245" operator="greaterThan">
      <formula>0.1</formula>
    </cfRule>
  </conditionalFormatting>
  <conditionalFormatting sqref="L79:W79">
    <cfRule type="cellIs" dxfId="3873" priority="240" operator="lessThan">
      <formula>0</formula>
    </cfRule>
    <cfRule type="cellIs" dxfId="3872" priority="241" operator="greaterThan">
      <formula>0.1</formula>
    </cfRule>
  </conditionalFormatting>
  <conditionalFormatting sqref="Z42">
    <cfRule type="cellIs" dxfId="3871" priority="220" operator="greaterThan">
      <formula>0</formula>
    </cfRule>
    <cfRule type="cellIs" dxfId="3870" priority="221" operator="lessThan">
      <formula>0</formula>
    </cfRule>
  </conditionalFormatting>
  <conditionalFormatting sqref="X36">
    <cfRule type="cellIs" dxfId="3869" priority="202" operator="lessThan">
      <formula>0</formula>
    </cfRule>
    <cfRule type="cellIs" dxfId="3868" priority="203" operator="lessThan">
      <formula>0</formula>
    </cfRule>
    <cfRule type="cellIs" dxfId="3867" priority="204" operator="lessThan">
      <formula>0</formula>
    </cfRule>
    <cfRule type="cellIs" dxfId="3866" priority="205" operator="lessThan">
      <formula>0</formula>
    </cfRule>
    <cfRule type="cellIs" dxfId="3865" priority="206" operator="lessThan">
      <formula>0</formula>
    </cfRule>
    <cfRule type="cellIs" dxfId="3864" priority="207" operator="greaterThan">
      <formula>0</formula>
    </cfRule>
    <cfRule type="cellIs" dxfId="3863" priority="208" operator="lessThan">
      <formula>0</formula>
    </cfRule>
  </conditionalFormatting>
  <conditionalFormatting sqref="Z7:Z18">
    <cfRule type="cellIs" dxfId="3862" priority="196" operator="greaterThan">
      <formula>0</formula>
    </cfRule>
    <cfRule type="cellIs" dxfId="3861" priority="197" operator="lessThan">
      <formula>0</formula>
    </cfRule>
  </conditionalFormatting>
  <conditionalFormatting sqref="K19:V19 K20:W20">
    <cfRule type="cellIs" dxfId="3860" priority="217" operator="greaterThan">
      <formula>0.81</formula>
    </cfRule>
    <cfRule type="cellIs" dxfId="3859" priority="218" operator="between">
      <formula>0.301</formula>
      <formula>0.8</formula>
    </cfRule>
    <cfRule type="cellIs" dxfId="3858" priority="219" operator="lessThan">
      <formula>0.3</formula>
    </cfRule>
  </conditionalFormatting>
  <conditionalFormatting sqref="K24:W24">
    <cfRule type="cellIs" dxfId="3857" priority="215" operator="lessThan">
      <formula>0</formula>
    </cfRule>
    <cfRule type="cellIs" dxfId="3856" priority="216" operator="greaterThan">
      <formula>0.0001</formula>
    </cfRule>
  </conditionalFormatting>
  <conditionalFormatting sqref="Q19">
    <cfRule type="cellIs" dxfId="3855" priority="212" operator="greaterThan">
      <formula>0.75</formula>
    </cfRule>
    <cfRule type="cellIs" dxfId="3854" priority="213" operator="between">
      <formula>0.301</formula>
      <formula>0.7499</formula>
    </cfRule>
    <cfRule type="cellIs" dxfId="3853" priority="214" operator="lessThan">
      <formula>0.3</formula>
    </cfRule>
  </conditionalFormatting>
  <conditionalFormatting sqref="Y42">
    <cfRule type="cellIs" dxfId="3852" priority="210" operator="lessThan">
      <formula>0</formula>
    </cfRule>
    <cfRule type="cellIs" dxfId="3851" priority="211" operator="greaterThan">
      <formula>0</formula>
    </cfRule>
  </conditionalFormatting>
  <conditionalFormatting sqref="X35">
    <cfRule type="cellIs" dxfId="3850" priority="183" operator="lessThan">
      <formula>0</formula>
    </cfRule>
    <cfRule type="cellIs" dxfId="3849" priority="184" operator="lessThan">
      <formula>0</formula>
    </cfRule>
    <cfRule type="cellIs" dxfId="3848" priority="185" operator="lessThan">
      <formula>0</formula>
    </cfRule>
    <cfRule type="cellIs" dxfId="3847" priority="186" operator="lessThan">
      <formula>0</formula>
    </cfRule>
    <cfRule type="cellIs" dxfId="3846" priority="187" operator="lessThan">
      <formula>0</formula>
    </cfRule>
    <cfRule type="cellIs" dxfId="3845" priority="188" operator="greaterThan">
      <formula>0</formula>
    </cfRule>
    <cfRule type="cellIs" dxfId="3844" priority="189" operator="lessThan">
      <formula>0</formula>
    </cfRule>
  </conditionalFormatting>
  <conditionalFormatting sqref="X150:X159">
    <cfRule type="cellIs" dxfId="3843" priority="209" operator="lessThan">
      <formula>0</formula>
    </cfRule>
  </conditionalFormatting>
  <conditionalFormatting sqref="Y36">
    <cfRule type="cellIs" dxfId="3842" priority="200" operator="greaterThan">
      <formula>0</formula>
    </cfRule>
    <cfRule type="cellIs" dxfId="3841" priority="201" operator="lessThan">
      <formula>0</formula>
    </cfRule>
  </conditionalFormatting>
  <conditionalFormatting sqref="X129:X136">
    <cfRule type="cellIs" dxfId="3840" priority="199" operator="lessThan">
      <formula>0</formula>
    </cfRule>
  </conditionalFormatting>
  <conditionalFormatting sqref="K6:V17 K18:W18">
    <cfRule type="cellIs" dxfId="3839" priority="198" operator="lessThan">
      <formula>0</formula>
    </cfRule>
  </conditionalFormatting>
  <conditionalFormatting sqref="K32:V41">
    <cfRule type="aboveAverage" dxfId="3838" priority="141"/>
    <cfRule type="aboveAverage" dxfId="3837" priority="142"/>
    <cfRule type="aboveAverage" dxfId="3836" priority="190"/>
    <cfRule type="aboveAverage" dxfId="3835" priority="195"/>
  </conditionalFormatting>
  <conditionalFormatting sqref="X67:X79">
    <cfRule type="cellIs" dxfId="3834" priority="191" operator="greaterThan">
      <formula>0</formula>
    </cfRule>
    <cfRule type="cellIs" dxfId="3833" priority="192" operator="greaterThan">
      <formula>0</formula>
    </cfRule>
    <cfRule type="cellIs" dxfId="3832" priority="193" operator="lessThan">
      <formula>0</formula>
    </cfRule>
  </conditionalFormatting>
  <conditionalFormatting sqref="Y35">
    <cfRule type="cellIs" dxfId="3831" priority="181" operator="greaterThan">
      <formula>0</formula>
    </cfRule>
    <cfRule type="cellIs" dxfId="3830" priority="182" operator="lessThan">
      <formula>0</formula>
    </cfRule>
  </conditionalFormatting>
  <conditionalFormatting sqref="L168:V168">
    <cfRule type="cellIs" dxfId="3829" priority="176" operator="lessThan">
      <formula>0</formula>
    </cfRule>
  </conditionalFormatting>
  <conditionalFormatting sqref="K75:V75">
    <cfRule type="cellIs" dxfId="3828" priority="179" operator="lessThan">
      <formula>0</formula>
    </cfRule>
    <cfRule type="cellIs" dxfId="3827" priority="180" operator="greaterThan">
      <formula>0.1</formula>
    </cfRule>
  </conditionalFormatting>
  <conditionalFormatting sqref="K82:K93">
    <cfRule type="cellIs" dxfId="3826" priority="178" operator="lessThan">
      <formula>0</formula>
    </cfRule>
  </conditionalFormatting>
  <conditionalFormatting sqref="L82:V82">
    <cfRule type="cellIs" dxfId="3825" priority="177" operator="lessThan">
      <formula>0</formula>
    </cfRule>
  </conditionalFormatting>
  <conditionalFormatting sqref="Y19:Y23">
    <cfRule type="cellIs" dxfId="3824" priority="174" operator="greaterThan">
      <formula>0</formula>
    </cfRule>
    <cfRule type="cellIs" dxfId="3823" priority="175" operator="lessThan">
      <formula>0</formula>
    </cfRule>
  </conditionalFormatting>
  <conditionalFormatting sqref="X34">
    <cfRule type="cellIs" dxfId="3822" priority="163" operator="lessThan">
      <formula>0</formula>
    </cfRule>
    <cfRule type="cellIs" dxfId="3821" priority="164" operator="lessThan">
      <formula>0</formula>
    </cfRule>
    <cfRule type="cellIs" dxfId="3820" priority="165" operator="lessThan">
      <formula>0</formula>
    </cfRule>
    <cfRule type="cellIs" dxfId="3819" priority="166" operator="lessThan">
      <formula>0</formula>
    </cfRule>
    <cfRule type="cellIs" dxfId="3818" priority="167" operator="lessThan">
      <formula>0</formula>
    </cfRule>
    <cfRule type="cellIs" dxfId="3817" priority="168" operator="greaterThan">
      <formula>0</formula>
    </cfRule>
    <cfRule type="cellIs" dxfId="3816" priority="169" operator="lessThan">
      <formula>0</formula>
    </cfRule>
  </conditionalFormatting>
  <conditionalFormatting sqref="Y7:Y18">
    <cfRule type="cellIs" dxfId="3815" priority="172" operator="greaterThan">
      <formula>0</formula>
    </cfRule>
    <cfRule type="cellIs" dxfId="3814" priority="173" operator="lessThan">
      <formula>0</formula>
    </cfRule>
  </conditionalFormatting>
  <conditionalFormatting sqref="W68:W78">
    <cfRule type="cellIs" dxfId="3813" priority="170" operator="lessThan">
      <formula>0</formula>
    </cfRule>
    <cfRule type="cellIs" dxfId="3812" priority="171" operator="greaterThan">
      <formula>0.1</formula>
    </cfRule>
  </conditionalFormatting>
  <conditionalFormatting sqref="Y34">
    <cfRule type="cellIs" dxfId="3811" priority="161" operator="greaterThan">
      <formula>0</formula>
    </cfRule>
    <cfRule type="cellIs" dxfId="3810" priority="162" operator="lessThan">
      <formula>0</formula>
    </cfRule>
  </conditionalFormatting>
  <conditionalFormatting sqref="K128:K136">
    <cfRule type="cellIs" dxfId="3809" priority="160" operator="lessThan">
      <formula>0</formula>
    </cfRule>
  </conditionalFormatting>
  <conditionalFormatting sqref="L128:V128">
    <cfRule type="cellIs" dxfId="3808" priority="159" operator="lessThan">
      <formula>0</formula>
    </cfRule>
  </conditionalFormatting>
  <conditionalFormatting sqref="K149:K158">
    <cfRule type="cellIs" dxfId="3807" priority="158" operator="lessThan">
      <formula>0</formula>
    </cfRule>
  </conditionalFormatting>
  <conditionalFormatting sqref="L149:V149">
    <cfRule type="cellIs" dxfId="3806" priority="157" operator="lessThan">
      <formula>0</formula>
    </cfRule>
  </conditionalFormatting>
  <conditionalFormatting sqref="E30">
    <cfRule type="cellIs" dxfId="3805" priority="156" operator="lessThan">
      <formula>0</formula>
    </cfRule>
  </conditionalFormatting>
  <conditionalFormatting sqref="E29">
    <cfRule type="cellIs" dxfId="3804" priority="154" operator="lessThan">
      <formula>0</formula>
    </cfRule>
  </conditionalFormatting>
  <conditionalFormatting sqref="S33">
    <cfRule type="aboveAverage" dxfId="3803" priority="152"/>
    <cfRule type="aboveAverage" dxfId="3802" priority="153"/>
  </conditionalFormatting>
  <conditionalFormatting sqref="T33">
    <cfRule type="aboveAverage" dxfId="3801" priority="150"/>
    <cfRule type="aboveAverage" dxfId="3800" priority="151"/>
  </conditionalFormatting>
  <conditionalFormatting sqref="U33">
    <cfRule type="aboveAverage" dxfId="3799" priority="146"/>
    <cfRule type="aboveAverage" dxfId="3798" priority="147"/>
    <cfRule type="aboveAverage" dxfId="3797" priority="148"/>
    <cfRule type="aboveAverage" dxfId="3796" priority="149"/>
  </conditionalFormatting>
  <conditionalFormatting sqref="V30:V33">
    <cfRule type="cellIs" dxfId="3795" priority="144" operator="lessThan">
      <formula>0</formula>
    </cfRule>
  </conditionalFormatting>
  <conditionalFormatting sqref="E31">
    <cfRule type="cellIs" dxfId="3794" priority="143" operator="lessThan">
      <formula>0</formula>
    </cfRule>
  </conditionalFormatting>
  <conditionalFormatting sqref="X30:X33">
    <cfRule type="cellIs" dxfId="3793" priority="134" operator="lessThan">
      <formula>0</formula>
    </cfRule>
    <cfRule type="cellIs" dxfId="3792" priority="135" operator="lessThan">
      <formula>0</formula>
    </cfRule>
    <cfRule type="cellIs" dxfId="3791" priority="136" operator="lessThan">
      <formula>0</formula>
    </cfRule>
    <cfRule type="cellIs" dxfId="3790" priority="137" operator="lessThan">
      <formula>0</formula>
    </cfRule>
    <cfRule type="cellIs" dxfId="3789" priority="138" operator="lessThan">
      <formula>0</formula>
    </cfRule>
    <cfRule type="cellIs" dxfId="3788" priority="139" operator="greaterThan">
      <formula>0</formula>
    </cfRule>
    <cfRule type="cellIs" dxfId="3787" priority="140" operator="lessThan">
      <formula>0</formula>
    </cfRule>
  </conditionalFormatting>
  <conditionalFormatting sqref="L28:P29 V25:W25">
    <cfRule type="cellIs" dxfId="3786" priority="132" operator="lessThan">
      <formula>0</formula>
    </cfRule>
  </conditionalFormatting>
  <conditionalFormatting sqref="V25:W25">
    <cfRule type="cellIs" dxfId="3785" priority="93" operator="greaterThan">
      <formula>935</formula>
    </cfRule>
    <cfRule type="cellIs" dxfId="3784" priority="94" operator="lessThan">
      <formula>935</formula>
    </cfRule>
    <cfRule type="cellIs" dxfId="3783" priority="131" operator="lessThan">
      <formula>0</formula>
    </cfRule>
  </conditionalFormatting>
  <conditionalFormatting sqref="K22:W22 W23">
    <cfRule type="cellIs" dxfId="3782" priority="97" operator="between">
      <formula>1601</formula>
      <formula>1800</formula>
    </cfRule>
    <cfRule type="aboveAverage" dxfId="3781" priority="100"/>
  </conditionalFormatting>
  <conditionalFormatting sqref="W23">
    <cfRule type="aboveAverage" dxfId="3780" priority="98"/>
    <cfRule type="aboveAverage" dxfId="3779" priority="99"/>
  </conditionalFormatting>
  <conditionalFormatting sqref="K22:V22 W23">
    <cfRule type="cellIs" dxfId="3778" priority="95" operator="lessThan">
      <formula>1600</formula>
    </cfRule>
    <cfRule type="cellIs" dxfId="3777" priority="96" operator="greaterThan">
      <formula>1801</formula>
    </cfRule>
  </conditionalFormatting>
  <conditionalFormatting sqref="G6:G17">
    <cfRule type="cellIs" dxfId="3776" priority="90" operator="lessThan">
      <formula>0.04</formula>
    </cfRule>
    <cfRule type="cellIs" dxfId="3775" priority="91" operator="between">
      <formula>0.04</formula>
      <formula>0.09</formula>
    </cfRule>
    <cfRule type="cellIs" dxfId="3774" priority="92" operator="greaterThan">
      <formula>10%</formula>
    </cfRule>
  </conditionalFormatting>
  <conditionalFormatting sqref="H6:H17">
    <cfRule type="cellIs" dxfId="3773" priority="87" operator="lessThan">
      <formula>0.04</formula>
    </cfRule>
    <cfRule type="cellIs" dxfId="3772" priority="88" operator="between">
      <formula>0.04</formula>
      <formula>0.09</formula>
    </cfRule>
    <cfRule type="cellIs" dxfId="3771" priority="89" operator="greaterThan">
      <formula>10%</formula>
    </cfRule>
  </conditionalFormatting>
  <conditionalFormatting sqref="K31:V31">
    <cfRule type="aboveAverage" dxfId="3770" priority="83"/>
    <cfRule type="aboveAverage" dxfId="3769" priority="84"/>
    <cfRule type="aboveAverage" dxfId="3768" priority="85"/>
    <cfRule type="aboveAverage" dxfId="3767" priority="86"/>
  </conditionalFormatting>
  <conditionalFormatting sqref="D9">
    <cfRule type="cellIs" dxfId="3766" priority="80" operator="lessThan">
      <formula>0</formula>
    </cfRule>
    <cfRule type="cellIs" dxfId="3765" priority="81" operator="greaterThan">
      <formula>0.01</formula>
    </cfRule>
  </conditionalFormatting>
  <conditionalFormatting sqref="D5">
    <cfRule type="cellIs" dxfId="3764" priority="76" operator="greaterThan">
      <formula>15.01</formula>
    </cfRule>
    <cfRule type="cellIs" dxfId="3763" priority="77" operator="lessThan">
      <formula>15</formula>
    </cfRule>
  </conditionalFormatting>
  <conditionalFormatting sqref="E697:E698">
    <cfRule type="cellIs" dxfId="3762" priority="67" operator="lessThan">
      <formula>0</formula>
    </cfRule>
  </conditionalFormatting>
  <conditionalFormatting sqref="K30:V30">
    <cfRule type="aboveAverage" dxfId="3761" priority="60"/>
    <cfRule type="aboveAverage" dxfId="3760" priority="61"/>
    <cfRule type="aboveAverage" dxfId="3759" priority="62"/>
    <cfRule type="aboveAverage" dxfId="3758" priority="63"/>
  </conditionalFormatting>
  <conditionalFormatting sqref="L83:U93">
    <cfRule type="cellIs" dxfId="3757" priority="59" operator="lessThan">
      <formula>0</formula>
    </cfRule>
  </conditionalFormatting>
  <conditionalFormatting sqref="L129:U136">
    <cfRule type="cellIs" dxfId="3756" priority="58" operator="lessThan">
      <formula>0</formula>
    </cfRule>
  </conditionalFormatting>
  <conditionalFormatting sqref="L150:U158">
    <cfRule type="cellIs" dxfId="3755" priority="57" operator="lessThan">
      <formula>0</formula>
    </cfRule>
  </conditionalFormatting>
  <conditionalFormatting sqref="E692">
    <cfRule type="cellIs" dxfId="3754" priority="56" operator="lessThan">
      <formula>0</formula>
    </cfRule>
  </conditionalFormatting>
  <conditionalFormatting sqref="E682:E683">
    <cfRule type="cellIs" dxfId="3753" priority="55" operator="lessThan">
      <formula>0</formula>
    </cfRule>
  </conditionalFormatting>
  <conditionalFormatting sqref="E673:E674">
    <cfRule type="cellIs" dxfId="3752" priority="54" operator="lessThan">
      <formula>0</formula>
    </cfRule>
  </conditionalFormatting>
  <conditionalFormatting sqref="E667:E668">
    <cfRule type="cellIs" dxfId="3751" priority="53" operator="lessThan">
      <formula>0</formula>
    </cfRule>
  </conditionalFormatting>
  <conditionalFormatting sqref="E662">
    <cfRule type="cellIs" dxfId="3750" priority="52" operator="lessThan">
      <formula>0</formula>
    </cfRule>
  </conditionalFormatting>
  <conditionalFormatting sqref="E657:E658">
    <cfRule type="cellIs" dxfId="3749" priority="51" operator="lessThan">
      <formula>0</formula>
    </cfRule>
  </conditionalFormatting>
  <conditionalFormatting sqref="A145">
    <cfRule type="cellIs" dxfId="3748" priority="50" operator="lessThan">
      <formula>0</formula>
    </cfRule>
  </conditionalFormatting>
  <conditionalFormatting sqref="E647">
    <cfRule type="cellIs" dxfId="3747" priority="49" operator="lessThan">
      <formula>0</formula>
    </cfRule>
  </conditionalFormatting>
  <conditionalFormatting sqref="E145">
    <cfRule type="cellIs" dxfId="3746" priority="48" operator="lessThan">
      <formula>0</formula>
    </cfRule>
  </conditionalFormatting>
  <conditionalFormatting sqref="D68">
    <cfRule type="cellIs" dxfId="3745" priority="43" operator="lessThan">
      <formula>0</formula>
    </cfRule>
  </conditionalFormatting>
  <conditionalFormatting sqref="E632:E633">
    <cfRule type="cellIs" dxfId="3744" priority="42" operator="lessThan">
      <formula>0</formula>
    </cfRule>
  </conditionalFormatting>
  <conditionalFormatting sqref="E628">
    <cfRule type="cellIs" dxfId="3743" priority="41" operator="lessThan">
      <formula>0</formula>
    </cfRule>
  </conditionalFormatting>
  <conditionalFormatting sqref="F47:F63">
    <cfRule type="cellIs" dxfId="3742" priority="40" operator="lessThan">
      <formula>0</formula>
    </cfRule>
  </conditionalFormatting>
  <conditionalFormatting sqref="D65:G65">
    <cfRule type="cellIs" dxfId="3741" priority="37" operator="lessThan">
      <formula>0</formula>
    </cfRule>
  </conditionalFormatting>
  <conditionalFormatting sqref="E602">
    <cfRule type="cellIs" dxfId="3740" priority="35" operator="lessThan">
      <formula>0</formula>
    </cfRule>
  </conditionalFormatting>
  <conditionalFormatting sqref="E552">
    <cfRule type="cellIs" dxfId="3739" priority="34" operator="lessThan">
      <formula>0</formula>
    </cfRule>
  </conditionalFormatting>
  <conditionalFormatting sqref="E504:E505">
    <cfRule type="cellIs" dxfId="3738" priority="33" operator="lessThan">
      <formula>0</formula>
    </cfRule>
  </conditionalFormatting>
  <conditionalFormatting sqref="E485">
    <cfRule type="cellIs" dxfId="3737" priority="32" operator="lessThan">
      <formula>0</formula>
    </cfRule>
  </conditionalFormatting>
  <conditionalFormatting sqref="E428">
    <cfRule type="cellIs" dxfId="3736" priority="31" operator="lessThan">
      <formula>0</formula>
    </cfRule>
  </conditionalFormatting>
  <conditionalFormatting sqref="E65">
    <cfRule type="cellIs" dxfId="3735" priority="30" operator="lessThan">
      <formula>0</formula>
    </cfRule>
  </conditionalFormatting>
  <conditionalFormatting sqref="F65">
    <cfRule type="cellIs" dxfId="3734" priority="29" operator="lessThan">
      <formula>0</formula>
    </cfRule>
  </conditionalFormatting>
  <conditionalFormatting sqref="G65">
    <cfRule type="cellIs" dxfId="3733" priority="28" operator="lessThan">
      <formula>0</formula>
    </cfRule>
  </conditionalFormatting>
  <conditionalFormatting sqref="E63">
    <cfRule type="cellIs" dxfId="3732" priority="27" operator="lessThan">
      <formula>0</formula>
    </cfRule>
  </conditionalFormatting>
  <conditionalFormatting sqref="E404">
    <cfRule type="cellIs" dxfId="3731" priority="26" operator="lessThan">
      <formula>0</formula>
    </cfRule>
  </conditionalFormatting>
  <conditionalFormatting sqref="V83:V93">
    <cfRule type="cellIs" dxfId="3730" priority="25" operator="lessThan">
      <formula>0</formula>
    </cfRule>
  </conditionalFormatting>
  <conditionalFormatting sqref="V129:V136">
    <cfRule type="cellIs" dxfId="3729" priority="24" operator="lessThan">
      <formula>0</formula>
    </cfRule>
  </conditionalFormatting>
  <conditionalFormatting sqref="V150:V158">
    <cfRule type="cellIs" dxfId="3728" priority="23" operator="lessThan">
      <formula>0</formula>
    </cfRule>
  </conditionalFormatting>
  <conditionalFormatting sqref="K51:W62">
    <cfRule type="cellIs" dxfId="3727" priority="21" operator="lessThan">
      <formula>0</formula>
    </cfRule>
    <cfRule type="cellIs" dxfId="3726" priority="22" operator="greaterThan">
      <formula>0.1</formula>
    </cfRule>
  </conditionalFormatting>
  <conditionalFormatting sqref="K63">
    <cfRule type="cellIs" dxfId="3725" priority="19" operator="lessThan">
      <formula>0</formula>
    </cfRule>
    <cfRule type="cellIs" dxfId="3724" priority="20" operator="greaterThan">
      <formula>0.1</formula>
    </cfRule>
  </conditionalFormatting>
  <conditionalFormatting sqref="W51">
    <cfRule type="cellIs" dxfId="3723" priority="17" operator="lessThan">
      <formula>0</formula>
    </cfRule>
    <cfRule type="cellIs" dxfId="3722" priority="18" operator="greaterThan">
      <formula>0.1</formula>
    </cfRule>
  </conditionalFormatting>
  <conditionalFormatting sqref="L51:V54 L52:N62 L56:V58 L60:V62">
    <cfRule type="cellIs" dxfId="3721" priority="15" operator="lessThan">
      <formula>0</formula>
    </cfRule>
    <cfRule type="cellIs" dxfId="3720" priority="16" operator="greaterThan">
      <formula>0.1</formula>
    </cfRule>
  </conditionalFormatting>
  <conditionalFormatting sqref="K55:V55">
    <cfRule type="cellIs" dxfId="3719" priority="11" operator="lessThan">
      <formula>0</formula>
    </cfRule>
    <cfRule type="cellIs" dxfId="3718" priority="12" operator="greaterThan">
      <formula>0.1</formula>
    </cfRule>
    <cfRule type="cellIs" dxfId="3717" priority="13" operator="lessThan">
      <formula>0</formula>
    </cfRule>
    <cfRule type="cellIs" dxfId="3716" priority="14" operator="greaterThan">
      <formula>0.1</formula>
    </cfRule>
  </conditionalFormatting>
  <conditionalFormatting sqref="L55:V55">
    <cfRule type="cellIs" dxfId="3715" priority="7" operator="lessThan">
      <formula>0</formula>
    </cfRule>
    <cfRule type="cellIs" dxfId="3714" priority="8" operator="greaterThan">
      <formula>0.1</formula>
    </cfRule>
    <cfRule type="cellIs" dxfId="3713" priority="9" operator="lessThan">
      <formula>0</formula>
    </cfRule>
    <cfRule type="cellIs" dxfId="3712" priority="10" operator="greaterThan">
      <formula>0.1</formula>
    </cfRule>
  </conditionalFormatting>
  <conditionalFormatting sqref="L63:W63">
    <cfRule type="cellIs" dxfId="3711" priority="5" operator="lessThan">
      <formula>0</formula>
    </cfRule>
    <cfRule type="cellIs" dxfId="3710" priority="6" operator="greaterThan">
      <formula>0.1</formula>
    </cfRule>
  </conditionalFormatting>
  <conditionalFormatting sqref="K59:V59">
    <cfRule type="cellIs" dxfId="3709" priority="3" operator="lessThan">
      <formula>0</formula>
    </cfRule>
    <cfRule type="cellIs" dxfId="3708" priority="4" operator="greaterThan">
      <formula>0.1</formula>
    </cfRule>
  </conditionalFormatting>
  <conditionalFormatting sqref="W52:W62">
    <cfRule type="cellIs" dxfId="3707" priority="1" operator="lessThan">
      <formula>0</formula>
    </cfRule>
    <cfRule type="cellIs" dxfId="3706" priority="2" operator="greaterThan">
      <formula>0.1</formula>
    </cfRule>
  </conditionalFormatting>
  <dataValidations count="3">
    <dataValidation type="list" allowBlank="1" showInputMessage="1" showErrorMessage="1" sqref="C20:C27 C29:C32 C35:C39 C44 C46:C141" xr:uid="{00000000-0002-0000-0600-000000000000}">
      <formula1>$I$4:$I$41</formula1>
    </dataValidation>
    <dataValidation type="list" allowBlank="1" showInputMessage="1" showErrorMessage="1" sqref="C15:C19 C34 C699:C719 C722:C747 C749:C757 C759:C786 C788:C791 C794:C798 C800 C802:C803 C805:C827 C829:C863 C866:C877 C879:C908 C910:C962 C965:C999" xr:uid="{00000000-0002-0000-0600-000001000000}">
      <formula1>$I$5:$I$44</formula1>
    </dataValidation>
    <dataValidation type="list" allowBlank="1" showInputMessage="1" showErrorMessage="1" sqref="C209:C698" xr:uid="{00000000-0002-0000-0600-000002000000}">
      <formula1>$I$6:$I$17</formula1>
    </dataValidation>
  </dataValidations>
  <pageMargins left="0.25" right="0.25" top="0.75" bottom="0.75" header="0.3" footer="0.3"/>
  <pageSetup paperSize="9" scale="10" orientation="landscape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600-000003000000}">
          <x14:formula1>
            <xm:f>ProductList!$A$2:$A$100</xm:f>
          </x14:formula1>
          <xm:sqref>I218:I698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pageSetUpPr fitToPage="1"/>
  </sheetPr>
  <dimension ref="A1:AJ513"/>
  <sheetViews>
    <sheetView showZeros="0" topLeftCell="A200" zoomScaleNormal="100" workbookViewId="0">
      <selection activeCell="I202" sqref="I202"/>
    </sheetView>
  </sheetViews>
  <sheetFormatPr defaultColWidth="9.1328125" defaultRowHeight="12.75" x14ac:dyDescent="0.35"/>
  <cols>
    <col min="1" max="1" width="9.46484375" style="426" bestFit="1" customWidth="1"/>
    <col min="2" max="2" width="19.19921875" style="426" bestFit="1" customWidth="1"/>
    <col min="3" max="3" width="26.86328125" style="426" bestFit="1" customWidth="1"/>
    <col min="4" max="4" width="15.46484375" style="426" bestFit="1" customWidth="1"/>
    <col min="5" max="5" width="11" style="435" bestFit="1" customWidth="1"/>
    <col min="6" max="6" width="16.33203125" style="426" customWidth="1"/>
    <col min="7" max="7" width="13.46484375" style="426" customWidth="1"/>
    <col min="8" max="8" width="11.53125" style="426" customWidth="1"/>
    <col min="9" max="9" width="30.1328125" style="426" bestFit="1" customWidth="1"/>
    <col min="10" max="10" width="16.46484375" style="426" bestFit="1" customWidth="1"/>
    <col min="11" max="11" width="8.86328125" style="426" customWidth="1"/>
    <col min="12" max="12" width="7.46484375" style="426" bestFit="1" customWidth="1"/>
    <col min="13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1" style="426" customWidth="1"/>
    <col min="28" max="28" width="12.132812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6" width="9.1328125" style="426" customWidth="1"/>
    <col min="37" max="16384" width="9.1328125" style="426"/>
  </cols>
  <sheetData>
    <row r="1" spans="2:35" ht="20.65" customHeight="1" x14ac:dyDescent="0.6">
      <c r="C1" s="995">
        <f ca="1">NOW()</f>
        <v>46191.757036689814</v>
      </c>
      <c r="D1" s="986"/>
      <c r="I1" s="908" t="s">
        <v>1033</v>
      </c>
      <c r="J1" s="45" t="s">
        <v>1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  <c r="AA1" s="45"/>
    </row>
    <row r="2" spans="2:35" ht="15" customHeight="1" x14ac:dyDescent="0.4">
      <c r="C2" s="989" t="s">
        <v>2</v>
      </c>
      <c r="D2" s="987">
        <f ca="1">NETWORKDAYS(TODAY(),EOMONTH(TODAY(),0))</f>
        <v>9</v>
      </c>
      <c r="E2" s="419"/>
      <c r="F2" s="418"/>
      <c r="J2" s="45" t="s">
        <v>3</v>
      </c>
      <c r="K2" s="800">
        <f t="shared" ref="K2:V2" si="0">SUM(K42/$W42)</f>
        <v>0.10076896405553197</v>
      </c>
      <c r="L2" s="800">
        <f t="shared" si="0"/>
        <v>7.392097855635088E-2</v>
      </c>
      <c r="M2" s="800">
        <f t="shared" si="0"/>
        <v>0.1129828422976747</v>
      </c>
      <c r="N2" s="800">
        <f t="shared" si="0"/>
        <v>7.0396786730435826E-2</v>
      </c>
      <c r="O2" s="800">
        <f t="shared" si="0"/>
        <v>6.8399372840444631E-2</v>
      </c>
      <c r="P2" s="800">
        <f t="shared" si="0"/>
        <v>6.4464220140724213E-2</v>
      </c>
      <c r="Q2" s="800">
        <f t="shared" si="0"/>
        <v>5.2010129727403848E-2</v>
      </c>
      <c r="R2" s="800">
        <f t="shared" si="0"/>
        <v>9.6813833247214473E-2</v>
      </c>
      <c r="S2" s="800">
        <f t="shared" si="0"/>
        <v>9.368153154586005E-2</v>
      </c>
      <c r="T2" s="800">
        <f t="shared" si="0"/>
        <v>8.159796780520634E-2</v>
      </c>
      <c r="U2" s="800">
        <f t="shared" si="0"/>
        <v>8.4859276563048966E-2</v>
      </c>
      <c r="V2" s="800">
        <f t="shared" si="0"/>
        <v>0.10010409649010414</v>
      </c>
      <c r="W2" s="836">
        <f>SUM(K2:V2)</f>
        <v>0.99999999999999989</v>
      </c>
      <c r="AD2" s="46" t="s">
        <v>4</v>
      </c>
      <c r="AE2" s="46"/>
      <c r="AF2" s="46" t="s">
        <v>5</v>
      </c>
      <c r="AG2" s="45" t="s">
        <v>6</v>
      </c>
      <c r="AH2" s="45" t="s">
        <v>7</v>
      </c>
      <c r="AI2" s="45" t="s">
        <v>8</v>
      </c>
    </row>
    <row r="3" spans="2:35" ht="26.25" customHeight="1" x14ac:dyDescent="0.4">
      <c r="C3" s="989" t="s">
        <v>9</v>
      </c>
      <c r="D3" s="987">
        <f ca="1">23-D2</f>
        <v>14</v>
      </c>
      <c r="E3" s="695"/>
      <c r="F3" s="427"/>
      <c r="G3" s="59" t="s">
        <v>10</v>
      </c>
      <c r="H3" s="59" t="s">
        <v>11</v>
      </c>
      <c r="I3"/>
      <c r="J3" s="647" t="s">
        <v>12</v>
      </c>
      <c r="K3" s="737">
        <f t="shared" ref="K3:V3" si="1">SUM(K2+K1)*$J19</f>
        <v>6046.1378433319178</v>
      </c>
      <c r="L3" s="737">
        <f t="shared" si="1"/>
        <v>4435.258713381053</v>
      </c>
      <c r="M3" s="737">
        <f t="shared" si="1"/>
        <v>6778.9705378604822</v>
      </c>
      <c r="N3" s="737">
        <f t="shared" si="1"/>
        <v>4223.8072038261498</v>
      </c>
      <c r="O3" s="737">
        <f t="shared" si="1"/>
        <v>4103.9623704266778</v>
      </c>
      <c r="P3" s="737">
        <f t="shared" si="1"/>
        <v>3867.8532084434528</v>
      </c>
      <c r="Q3" s="737">
        <f t="shared" si="1"/>
        <v>3120.6077836442309</v>
      </c>
      <c r="R3" s="737">
        <f t="shared" si="1"/>
        <v>5808.8299948328686</v>
      </c>
      <c r="S3" s="737">
        <f t="shared" si="1"/>
        <v>5620.8918927516033</v>
      </c>
      <c r="T3" s="737">
        <f t="shared" si="1"/>
        <v>4895.8780683123805</v>
      </c>
      <c r="U3" s="737">
        <f t="shared" si="1"/>
        <v>5091.5565937829379</v>
      </c>
      <c r="V3" s="737">
        <f t="shared" si="1"/>
        <v>6006.2457894062482</v>
      </c>
      <c r="W3" s="801">
        <f>SUM(K3:V3)</f>
        <v>60000.000000000007</v>
      </c>
      <c r="AA3" s="559" t="s">
        <v>13</v>
      </c>
      <c r="AB3" s="816">
        <v>12</v>
      </c>
      <c r="AD3" s="426">
        <v>0.9995056846267919</v>
      </c>
      <c r="AF3" s="46"/>
    </row>
    <row r="4" spans="2:35" ht="15" customHeight="1" x14ac:dyDescent="0.4">
      <c r="C4" s="992" t="s">
        <v>14</v>
      </c>
      <c r="D4" s="1059">
        <f ca="1">V18/D3</f>
        <v>189.78571428571428</v>
      </c>
      <c r="E4" s="695"/>
      <c r="F4" s="427"/>
      <c r="I4"/>
      <c r="J4" s="647" t="s">
        <v>15</v>
      </c>
      <c r="K4" s="737">
        <f t="shared" ref="K4:V4" si="2">NETWORKDAYS(K5,EOMONTH(K5,0))</f>
        <v>23</v>
      </c>
      <c r="L4" s="737">
        <f t="shared" si="2"/>
        <v>21</v>
      </c>
      <c r="M4" s="737">
        <f t="shared" si="2"/>
        <v>21</v>
      </c>
      <c r="N4" s="737">
        <f t="shared" si="2"/>
        <v>22</v>
      </c>
      <c r="O4" s="737">
        <f t="shared" si="2"/>
        <v>23</v>
      </c>
      <c r="P4" s="737">
        <f t="shared" si="2"/>
        <v>20</v>
      </c>
      <c r="Q4" s="737">
        <f t="shared" si="2"/>
        <v>23</v>
      </c>
      <c r="R4" s="737">
        <f t="shared" si="2"/>
        <v>22</v>
      </c>
      <c r="S4" s="737">
        <f t="shared" si="2"/>
        <v>21</v>
      </c>
      <c r="T4" s="737">
        <f t="shared" si="2"/>
        <v>23</v>
      </c>
      <c r="U4" s="737">
        <f t="shared" si="2"/>
        <v>21</v>
      </c>
      <c r="V4" s="737">
        <f t="shared" si="2"/>
        <v>22</v>
      </c>
      <c r="W4" s="801"/>
      <c r="AF4" s="46"/>
    </row>
    <row r="5" spans="2:35" ht="15" customHeight="1" x14ac:dyDescent="0.4">
      <c r="C5" s="989" t="s">
        <v>16</v>
      </c>
      <c r="D5" s="994">
        <f ca="1">D4/8</f>
        <v>23.723214285714285</v>
      </c>
      <c r="E5" s="695"/>
      <c r="F5" s="49"/>
      <c r="I5" s="980" t="s">
        <v>140</v>
      </c>
      <c r="J5" s="421" t="s">
        <v>18</v>
      </c>
      <c r="K5" s="1021">
        <v>45292</v>
      </c>
      <c r="L5" s="1021">
        <v>45323</v>
      </c>
      <c r="M5" s="1021">
        <v>45352</v>
      </c>
      <c r="N5" s="1021">
        <v>45383</v>
      </c>
      <c r="O5" s="1021">
        <v>45413</v>
      </c>
      <c r="P5" s="1021">
        <v>45444</v>
      </c>
      <c r="Q5" s="1021">
        <v>45474</v>
      </c>
      <c r="R5" s="1021">
        <v>45505</v>
      </c>
      <c r="S5" s="1021">
        <v>45536</v>
      </c>
      <c r="T5" s="1021">
        <v>45566</v>
      </c>
      <c r="U5" s="1021">
        <v>45597</v>
      </c>
      <c r="V5" s="1021">
        <v>45627</v>
      </c>
      <c r="W5" s="423" t="s">
        <v>19</v>
      </c>
      <c r="X5" s="815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25</v>
      </c>
      <c r="AE5" s="45" t="s">
        <v>26</v>
      </c>
      <c r="AF5" s="928">
        <f>AG5+AH5</f>
        <v>45075.69</v>
      </c>
      <c r="AG5" s="443">
        <f>SUM(N30:V30)</f>
        <v>37708.959999999999</v>
      </c>
      <c r="AH5" s="443">
        <f>SUM(K18:M18)</f>
        <v>7366.7300000000005</v>
      </c>
      <c r="AI5" s="445">
        <f>SUM(AF5-AF6)/AF6</f>
        <v>-8.8630099069395923E-2</v>
      </c>
    </row>
    <row r="6" spans="2:35" ht="15.4" customHeight="1" thickBot="1" x14ac:dyDescent="0.45">
      <c r="C6" s="990" t="s">
        <v>27</v>
      </c>
      <c r="D6" s="991">
        <f ca="1">D2*D4</f>
        <v>1708.0714285714284</v>
      </c>
      <c r="E6" s="695"/>
      <c r="F6" s="49"/>
      <c r="G6" s="445">
        <f t="shared" ref="G6:G18" si="3">W112/$W$124</f>
        <v>0.14293779898872502</v>
      </c>
      <c r="H6" s="445">
        <f t="shared" ref="H6:H18" si="4">W6/$W$18</f>
        <v>0.13040189255678616</v>
      </c>
      <c r="I6" s="981" t="s">
        <v>28</v>
      </c>
      <c r="J6" s="431">
        <v>800</v>
      </c>
      <c r="K6" s="432">
        <f t="shared" ref="K6:K17" si="5">SUMIFS($E$205:$E$513,$A$205:$A$513,"&gt;31/12/2023",$A$205:$A$513,"&lt;1/2/2024",$C$205:$C$513,$I6)</f>
        <v>750</v>
      </c>
      <c r="L6" s="432">
        <f t="shared" ref="L6:L17" si="6">SUMIFS($E$205:$E$513,$A$205:$A$513,"&gt;31/1/2024",$A$205:$A$513,"&lt;1/3/2024",$C$205:$C$513,$I6)</f>
        <v>310</v>
      </c>
      <c r="M6" s="432">
        <f t="shared" ref="M6:M17" si="7">SUMIFS($E$205:$E$513,$A$205:$A$513,"&gt;28/2/2024",$A$205:$A$513,"&lt;1/4/2024",$C$205:$C$513,$I6)</f>
        <v>0</v>
      </c>
      <c r="N6" s="432">
        <f t="shared" ref="N6:N17" si="8">SUMIFS($E$205:$E$513,$A$205:$A$513,"&gt;31/3/2024",$A$205:$A$513,"&lt;1/5/2024",$C$205:$C$513,$I6)</f>
        <v>1480</v>
      </c>
      <c r="O6" s="432">
        <f t="shared" ref="O6:O17" si="9">SUMIFS($E$205:$E$513,$A$205:$A$513,"&gt;30/4/2024",$A$205:$A$513,"&lt;1/6/2024",$C$205:$C$513,$I6)</f>
        <v>750</v>
      </c>
      <c r="P6" s="432">
        <f t="shared" ref="P6:P17" si="10">SUMIFS($E$205:$E$513,$A$205:$A$513,"&gt;31/5/2024",$A$205:$A$513,"&lt;1/7/2024",$C$205:$C$513,$I6)</f>
        <v>0</v>
      </c>
      <c r="Q6" s="432">
        <f t="shared" ref="Q6:Q17" si="11">SUMIFS($E$205:$E$513,$A$205:$A$513,"&gt;30/6/2024",$A$205:$A$513,"&lt;1/8/2024",$C$205:$C$513,$I6)</f>
        <v>395</v>
      </c>
      <c r="R6" s="432">
        <f t="shared" ref="R6:R17" si="12">SUMIFS($E$205:$E$513,$A$205:$A$513,"&gt;31/7/2024",$A$205:$A$513,"&lt;1/9/2024",$C$205:$C$513,$I6)</f>
        <v>1000</v>
      </c>
      <c r="S6" s="432">
        <f t="shared" ref="S6:S17" si="13">SUMIFS($E$205:$E$513,$A$205:$A$513,"&gt;31/8/2024",$A$205:$A$513,"&lt;1/10/2024",$C$205:$C$513,$I6)</f>
        <v>0</v>
      </c>
      <c r="T6" s="432">
        <f t="shared" ref="T6:T17" si="14">SUMIFS($E$205:$E$513,$A$205:$A$513,"&gt;30/9/2024",$A$205:$A$513,"&lt;1/11/2024",$C$205:$C$513,$I6)</f>
        <v>250</v>
      </c>
      <c r="U6" s="432">
        <f t="shared" ref="U6:U17" si="15">SUMIFS($E$205:$E$513,$A$205:$A$513,"&gt;31/10/2024",$A$205:$A$513,"&lt;1/12/2024",$C$205:$C$513,$I6)</f>
        <v>250</v>
      </c>
      <c r="V6" s="432">
        <f t="shared" ref="V6:V17" si="16">SUMIFS($E$205:$E$513,$A$205:$A$513,"&gt;30/11/2024",$A$205:$A$513,"&lt;1/1/2025",$C$205:$C$513,$I6)</f>
        <v>395</v>
      </c>
      <c r="W6" s="431">
        <f t="shared" ref="W6:W17" si="17">SUM(K6:V6)</f>
        <v>5580</v>
      </c>
      <c r="X6" s="432">
        <f t="shared" ref="X6:X18" si="18">SUM(V6-(J6*12)*(V$2+V$1))</f>
        <v>-565.99932630499973</v>
      </c>
      <c r="Y6" s="432">
        <f t="shared" ref="Y6:Y18" si="19">W6-AA6</f>
        <v>-4019.9999999999982</v>
      </c>
      <c r="Z6" s="433">
        <f t="shared" ref="Z6:Z18" si="20">Y6/AA6</f>
        <v>-0.4187499999999999</v>
      </c>
      <c r="AA6" s="814">
        <f t="shared" ref="AA6:AA18" si="21">SUM(J6*12)*((K$2+K$1+L$1+L$2+M$2+M$1+N$1+N$2+O$1+O$2+P$1+P$2+Q$1+Q$2+R$1+R$2+S$1+S$2+T$1+T$2+U$1+U$2+V$1+V$2))</f>
        <v>9599.9999999999982</v>
      </c>
      <c r="AB6" s="813">
        <f t="shared" ref="AB6:AB18" si="22">W6/$AB$3</f>
        <v>465</v>
      </c>
      <c r="AD6" s="48" t="s">
        <v>29</v>
      </c>
      <c r="AE6" s="584" t="s">
        <v>30</v>
      </c>
      <c r="AF6" s="928">
        <f>AG6+AH6</f>
        <v>49459.270000000004</v>
      </c>
      <c r="AG6" s="443">
        <f>SUM(N31:V31)</f>
        <v>33771.410000000003</v>
      </c>
      <c r="AH6" s="443">
        <f>SUM(K30:M30)</f>
        <v>15687.86</v>
      </c>
      <c r="AI6" s="445">
        <f>SUM(AF6-AF7)/AF7</f>
        <v>-0.32845261712503676</v>
      </c>
    </row>
    <row r="7" spans="2:35" ht="15.4" customHeight="1" thickTop="1" x14ac:dyDescent="0.4">
      <c r="C7" s="989"/>
      <c r="D7" s="994"/>
      <c r="E7" s="695"/>
      <c r="F7" s="49"/>
      <c r="G7" s="445">
        <f t="shared" si="3"/>
        <v>0.20161345238801542</v>
      </c>
      <c r="H7" s="445">
        <f t="shared" si="4"/>
        <v>0.2069230318019368</v>
      </c>
      <c r="I7" s="981" t="s">
        <v>31</v>
      </c>
      <c r="J7" s="431">
        <v>1200</v>
      </c>
      <c r="K7" s="432">
        <f t="shared" si="5"/>
        <v>1104</v>
      </c>
      <c r="L7" s="432">
        <f t="shared" si="6"/>
        <v>1209.4000000000001</v>
      </c>
      <c r="M7" s="432">
        <f t="shared" si="7"/>
        <v>732</v>
      </c>
      <c r="N7" s="432">
        <f t="shared" si="8"/>
        <v>1849.3500000000001</v>
      </c>
      <c r="O7" s="432">
        <f t="shared" si="9"/>
        <v>495</v>
      </c>
      <c r="P7" s="432">
        <f t="shared" si="10"/>
        <v>234</v>
      </c>
      <c r="Q7" s="432">
        <f t="shared" si="11"/>
        <v>0</v>
      </c>
      <c r="R7" s="432">
        <f t="shared" si="12"/>
        <v>477.2</v>
      </c>
      <c r="S7" s="432">
        <f t="shared" si="13"/>
        <v>1073.95</v>
      </c>
      <c r="T7" s="432">
        <f t="shared" si="14"/>
        <v>935.3</v>
      </c>
      <c r="U7" s="432">
        <f t="shared" si="15"/>
        <v>354.2</v>
      </c>
      <c r="V7" s="432">
        <f t="shared" si="16"/>
        <v>390</v>
      </c>
      <c r="W7" s="431">
        <f t="shared" si="17"/>
        <v>8854.4</v>
      </c>
      <c r="X7" s="432">
        <f t="shared" si="18"/>
        <v>-1051.4989894574996</v>
      </c>
      <c r="Y7" s="432">
        <f t="shared" si="19"/>
        <v>-5545.5999999999985</v>
      </c>
      <c r="Z7" s="433">
        <f t="shared" si="20"/>
        <v>-0.38511111111111107</v>
      </c>
      <c r="AA7" s="814">
        <f t="shared" si="21"/>
        <v>14399.999999999998</v>
      </c>
      <c r="AB7" s="813">
        <f t="shared" si="22"/>
        <v>737.86666666666667</v>
      </c>
      <c r="AD7" s="48" t="s">
        <v>32</v>
      </c>
      <c r="AE7" s="584" t="s">
        <v>33</v>
      </c>
      <c r="AF7" s="928">
        <f>AG7+AH7</f>
        <v>73649.709999999992</v>
      </c>
      <c r="AG7" s="443">
        <f>SUM(N32:V32)</f>
        <v>46094.1</v>
      </c>
      <c r="AH7" s="443">
        <f>SUM(K31:M31)</f>
        <v>27555.61</v>
      </c>
      <c r="AI7" s="445">
        <f>SUM(AF7-AF9)/AF9</f>
        <v>0.20558309119269375</v>
      </c>
    </row>
    <row r="8" spans="2:35" ht="15.4" customHeight="1" thickBot="1" x14ac:dyDescent="0.45">
      <c r="C8" s="993" t="s">
        <v>34</v>
      </c>
      <c r="D8" s="991">
        <f ca="1">V18+D6</f>
        <v>4365.0714285714284</v>
      </c>
      <c r="E8" s="1018"/>
      <c r="F8" s="49"/>
      <c r="G8" s="445">
        <f t="shared" si="3"/>
        <v>0.15600200642317838</v>
      </c>
      <c r="H8" s="445">
        <f t="shared" si="4"/>
        <v>0.25617662118413798</v>
      </c>
      <c r="I8" s="982" t="s">
        <v>35</v>
      </c>
      <c r="J8" s="431">
        <v>1400</v>
      </c>
      <c r="K8" s="432">
        <f t="shared" si="5"/>
        <v>525</v>
      </c>
      <c r="L8" s="432">
        <f t="shared" si="6"/>
        <v>1375</v>
      </c>
      <c r="M8" s="432">
        <f t="shared" si="7"/>
        <v>825</v>
      </c>
      <c r="N8" s="432">
        <f t="shared" si="8"/>
        <v>2567</v>
      </c>
      <c r="O8" s="432">
        <f t="shared" si="9"/>
        <v>1950</v>
      </c>
      <c r="P8" s="432">
        <f t="shared" si="10"/>
        <v>1275</v>
      </c>
      <c r="Q8" s="432">
        <f t="shared" si="11"/>
        <v>300</v>
      </c>
      <c r="R8" s="432">
        <f t="shared" si="12"/>
        <v>180</v>
      </c>
      <c r="S8" s="432">
        <f t="shared" si="13"/>
        <v>1070</v>
      </c>
      <c r="T8" s="432">
        <f t="shared" si="14"/>
        <v>895</v>
      </c>
      <c r="U8" s="432">
        <f t="shared" si="15"/>
        <v>0</v>
      </c>
      <c r="V8" s="432">
        <f t="shared" si="16"/>
        <v>0</v>
      </c>
      <c r="W8" s="431">
        <f t="shared" si="17"/>
        <v>10962</v>
      </c>
      <c r="X8" s="432">
        <f t="shared" si="18"/>
        <v>-1681.7488210337497</v>
      </c>
      <c r="Y8" s="432">
        <f t="shared" si="19"/>
        <v>-5837.9999999999964</v>
      </c>
      <c r="Z8" s="433">
        <f t="shared" si="20"/>
        <v>-0.34749999999999986</v>
      </c>
      <c r="AA8" s="814">
        <f t="shared" si="21"/>
        <v>16799.999999999996</v>
      </c>
      <c r="AB8" s="813">
        <f t="shared" si="22"/>
        <v>913.5</v>
      </c>
      <c r="AD8" s="48"/>
      <c r="AE8" s="584"/>
      <c r="AF8" s="928"/>
      <c r="AG8" s="443"/>
      <c r="AH8" s="443"/>
      <c r="AI8" s="445"/>
    </row>
    <row r="9" spans="2:35" ht="15.4" customHeight="1" thickTop="1" x14ac:dyDescent="0.4">
      <c r="C9" s="992" t="s">
        <v>1034</v>
      </c>
      <c r="D9" s="987">
        <f ca="1">D8-U3</f>
        <v>-726.48516521150941</v>
      </c>
      <c r="E9" s="1018"/>
      <c r="F9" s="49"/>
      <c r="G9" s="445">
        <f t="shared" si="3"/>
        <v>1.9923627895680508E-2</v>
      </c>
      <c r="H9" s="445">
        <f t="shared" si="4"/>
        <v>3.2717320713172154E-2</v>
      </c>
      <c r="I9" s="983" t="s">
        <v>37</v>
      </c>
      <c r="J9" s="431">
        <v>300</v>
      </c>
      <c r="K9" s="432">
        <f t="shared" si="5"/>
        <v>300</v>
      </c>
      <c r="L9" s="432">
        <f t="shared" si="6"/>
        <v>50</v>
      </c>
      <c r="M9" s="432">
        <f t="shared" si="7"/>
        <v>50</v>
      </c>
      <c r="N9" s="432">
        <f t="shared" si="8"/>
        <v>250</v>
      </c>
      <c r="O9" s="432">
        <f t="shared" si="9"/>
        <v>250</v>
      </c>
      <c r="P9" s="432">
        <f t="shared" si="10"/>
        <v>0</v>
      </c>
      <c r="Q9" s="432">
        <f t="shared" si="11"/>
        <v>0</v>
      </c>
      <c r="R9" s="432">
        <f t="shared" si="12"/>
        <v>250</v>
      </c>
      <c r="S9" s="432">
        <f t="shared" si="13"/>
        <v>0</v>
      </c>
      <c r="T9" s="432">
        <f t="shared" si="14"/>
        <v>0</v>
      </c>
      <c r="U9" s="432">
        <f t="shared" si="15"/>
        <v>250</v>
      </c>
      <c r="V9" s="432">
        <f t="shared" si="16"/>
        <v>0</v>
      </c>
      <c r="W9" s="431">
        <f t="shared" si="17"/>
        <v>1400</v>
      </c>
      <c r="X9" s="432">
        <f t="shared" si="18"/>
        <v>-360.37474736437491</v>
      </c>
      <c r="Y9" s="432">
        <f t="shared" si="19"/>
        <v>-2199.9999999999995</v>
      </c>
      <c r="Z9" s="433">
        <f t="shared" si="20"/>
        <v>-0.61111111111111105</v>
      </c>
      <c r="AA9" s="814">
        <f t="shared" si="21"/>
        <v>3599.9999999999995</v>
      </c>
      <c r="AB9" s="813">
        <f t="shared" si="22"/>
        <v>116.66666666666667</v>
      </c>
      <c r="AD9" s="48" t="s">
        <v>38</v>
      </c>
      <c r="AE9" s="584" t="s">
        <v>39</v>
      </c>
      <c r="AF9" s="928">
        <f t="shared" ref="AF9:AF16" si="23">AG9+AH9</f>
        <v>61090.53</v>
      </c>
      <c r="AG9" s="443">
        <f t="shared" ref="AG9:AG16" si="24">SUM(N33:V33)</f>
        <v>37518.659999999996</v>
      </c>
      <c r="AH9" s="443">
        <f t="shared" ref="AH9:AH16" si="25">SUM(K32:M32)</f>
        <v>23571.870000000003</v>
      </c>
      <c r="AI9" s="445">
        <f t="shared" ref="AI9:AI14" si="26">SUM(AF9-AF10)/AF10</f>
        <v>-0.12252847628215617</v>
      </c>
    </row>
    <row r="10" spans="2:35" ht="15" customHeight="1" x14ac:dyDescent="0.4">
      <c r="C10" s="992" t="s">
        <v>40</v>
      </c>
      <c r="D10" s="988">
        <f ca="1">D8/U3</f>
        <v>0.85731570457282424</v>
      </c>
      <c r="E10" s="695"/>
      <c r="F10" s="49"/>
      <c r="G10" s="445">
        <f t="shared" si="3"/>
        <v>-5.4158824643711814E-2</v>
      </c>
      <c r="H10" s="445">
        <f t="shared" si="4"/>
        <v>-9.8817993311177479E-2</v>
      </c>
      <c r="I10" s="983" t="s">
        <v>41</v>
      </c>
      <c r="J10" s="431">
        <f>-3000/12</f>
        <v>-250</v>
      </c>
      <c r="K10" s="432">
        <f t="shared" si="5"/>
        <v>-837</v>
      </c>
      <c r="L10" s="432">
        <f t="shared" si="6"/>
        <v>-234.5</v>
      </c>
      <c r="M10" s="432">
        <f t="shared" si="7"/>
        <v>-975</v>
      </c>
      <c r="N10" s="432">
        <f t="shared" si="8"/>
        <v>-1990</v>
      </c>
      <c r="O10" s="432">
        <f t="shared" si="9"/>
        <v>-192</v>
      </c>
      <c r="P10" s="432">
        <f t="shared" si="10"/>
        <v>0</v>
      </c>
      <c r="Q10" s="432">
        <f t="shared" si="11"/>
        <v>0</v>
      </c>
      <c r="R10" s="432">
        <f t="shared" si="12"/>
        <v>0</v>
      </c>
      <c r="S10" s="432">
        <f t="shared" si="13"/>
        <v>0</v>
      </c>
      <c r="T10" s="432">
        <f t="shared" si="14"/>
        <v>0</v>
      </c>
      <c r="U10" s="432">
        <f t="shared" si="15"/>
        <v>0</v>
      </c>
      <c r="V10" s="432">
        <f t="shared" si="16"/>
        <v>0</v>
      </c>
      <c r="W10" s="704">
        <f t="shared" si="17"/>
        <v>-4228.5</v>
      </c>
      <c r="X10" s="432">
        <f t="shared" si="18"/>
        <v>300.31228947031241</v>
      </c>
      <c r="Y10" s="432">
        <f t="shared" si="19"/>
        <v>-1228.5000000000005</v>
      </c>
      <c r="Z10" s="433">
        <f t="shared" si="20"/>
        <v>0.4095000000000002</v>
      </c>
      <c r="AA10" s="814">
        <f t="shared" si="21"/>
        <v>-2999.9999999999995</v>
      </c>
      <c r="AB10" s="813">
        <f t="shared" si="22"/>
        <v>-352.375</v>
      </c>
      <c r="AD10" s="48" t="s">
        <v>42</v>
      </c>
      <c r="AE10" s="584" t="s">
        <v>43</v>
      </c>
      <c r="AF10" s="928">
        <f t="shared" si="23"/>
        <v>69621.096923076926</v>
      </c>
      <c r="AG10" s="443">
        <f t="shared" si="24"/>
        <v>52137.860000000008</v>
      </c>
      <c r="AH10" s="443">
        <f t="shared" si="25"/>
        <v>17483.236923076925</v>
      </c>
      <c r="AI10" s="445">
        <f t="shared" si="26"/>
        <v>0.25201643354615522</v>
      </c>
    </row>
    <row r="11" spans="2:35" ht="13.9" customHeight="1" x14ac:dyDescent="0.4">
      <c r="B11" s="986"/>
      <c r="D11" s="693"/>
      <c r="E11" s="695"/>
      <c r="F11" s="693"/>
      <c r="G11" s="445">
        <f t="shared" si="3"/>
        <v>2.9202346029954574E-2</v>
      </c>
      <c r="H11" s="445">
        <f t="shared" si="4"/>
        <v>2.5239075978732806E-2</v>
      </c>
      <c r="I11" s="983" t="s">
        <v>44</v>
      </c>
      <c r="J11" s="431">
        <v>80</v>
      </c>
      <c r="K11" s="432">
        <f t="shared" si="5"/>
        <v>80</v>
      </c>
      <c r="L11" s="432">
        <f t="shared" si="6"/>
        <v>120</v>
      </c>
      <c r="M11" s="432">
        <f t="shared" si="7"/>
        <v>100</v>
      </c>
      <c r="N11" s="432">
        <f t="shared" si="8"/>
        <v>80</v>
      </c>
      <c r="O11" s="432">
        <f t="shared" si="9"/>
        <v>80</v>
      </c>
      <c r="P11" s="432">
        <f t="shared" si="10"/>
        <v>80</v>
      </c>
      <c r="Q11" s="432">
        <f t="shared" si="11"/>
        <v>80</v>
      </c>
      <c r="R11" s="432">
        <f t="shared" si="12"/>
        <v>240</v>
      </c>
      <c r="S11" s="432">
        <f t="shared" si="13"/>
        <v>40</v>
      </c>
      <c r="T11" s="432">
        <f t="shared" si="14"/>
        <v>55</v>
      </c>
      <c r="U11" s="432">
        <f t="shared" si="15"/>
        <v>70</v>
      </c>
      <c r="V11" s="432">
        <f t="shared" si="16"/>
        <v>55</v>
      </c>
      <c r="W11" s="431">
        <f t="shared" si="17"/>
        <v>1080</v>
      </c>
      <c r="X11" s="432">
        <f t="shared" si="18"/>
        <v>-41.099932630499978</v>
      </c>
      <c r="Y11" s="432">
        <f t="shared" si="19"/>
        <v>120.00000000000011</v>
      </c>
      <c r="Z11" s="433">
        <f t="shared" si="20"/>
        <v>0.12500000000000014</v>
      </c>
      <c r="AA11" s="814">
        <f t="shared" si="21"/>
        <v>959.99999999999989</v>
      </c>
      <c r="AB11" s="813">
        <f t="shared" si="22"/>
        <v>90</v>
      </c>
      <c r="AD11" s="48" t="s">
        <v>45</v>
      </c>
      <c r="AE11" s="45" t="s">
        <v>46</v>
      </c>
      <c r="AF11" s="928">
        <f t="shared" si="23"/>
        <v>55607.175000000003</v>
      </c>
      <c r="AG11" s="443">
        <f t="shared" si="24"/>
        <v>42562.105000000003</v>
      </c>
      <c r="AH11" s="443">
        <f t="shared" si="25"/>
        <v>13045.07</v>
      </c>
      <c r="AI11" s="445">
        <f t="shared" si="26"/>
        <v>-0.35771029934576909</v>
      </c>
    </row>
    <row r="12" spans="2:35" ht="13.9" customHeight="1" x14ac:dyDescent="0.4">
      <c r="B12" s="986"/>
      <c r="D12" s="463"/>
      <c r="E12" s="465"/>
      <c r="F12" s="45"/>
      <c r="G12" s="445">
        <f t="shared" si="3"/>
        <v>0.27098695547426366</v>
      </c>
      <c r="H12" s="445">
        <f t="shared" si="4"/>
        <v>0.23420927727672239</v>
      </c>
      <c r="I12" s="982" t="s">
        <v>47</v>
      </c>
      <c r="J12" s="431">
        <v>750</v>
      </c>
      <c r="K12" s="432">
        <f t="shared" si="5"/>
        <v>595</v>
      </c>
      <c r="L12" s="432">
        <f t="shared" si="6"/>
        <v>170</v>
      </c>
      <c r="M12" s="432">
        <f t="shared" si="7"/>
        <v>835</v>
      </c>
      <c r="N12" s="432">
        <f t="shared" si="8"/>
        <v>545</v>
      </c>
      <c r="O12" s="432">
        <f t="shared" si="9"/>
        <v>1167</v>
      </c>
      <c r="P12" s="432">
        <f t="shared" si="10"/>
        <v>425</v>
      </c>
      <c r="Q12" s="432">
        <f t="shared" si="11"/>
        <v>275</v>
      </c>
      <c r="R12" s="432">
        <f t="shared" si="12"/>
        <v>1195</v>
      </c>
      <c r="S12" s="432">
        <f t="shared" si="13"/>
        <v>890</v>
      </c>
      <c r="T12" s="432">
        <f t="shared" si="14"/>
        <v>505</v>
      </c>
      <c r="U12" s="432">
        <f t="shared" si="15"/>
        <v>3005</v>
      </c>
      <c r="V12" s="432">
        <f t="shared" si="16"/>
        <v>415</v>
      </c>
      <c r="W12" s="431">
        <f t="shared" si="17"/>
        <v>10022</v>
      </c>
      <c r="X12" s="432">
        <f t="shared" si="18"/>
        <v>-485.93686841093722</v>
      </c>
      <c r="Y12" s="432">
        <f t="shared" si="19"/>
        <v>1022.0000000000018</v>
      </c>
      <c r="Z12" s="433">
        <f t="shared" si="20"/>
        <v>0.11355555555555578</v>
      </c>
      <c r="AA12" s="814">
        <f t="shared" si="21"/>
        <v>8999.9999999999982</v>
      </c>
      <c r="AB12" s="813">
        <f t="shared" si="22"/>
        <v>835.16666666666663</v>
      </c>
      <c r="AD12" s="48" t="s">
        <v>48</v>
      </c>
      <c r="AE12" s="45" t="s">
        <v>49</v>
      </c>
      <c r="AF12" s="928">
        <f t="shared" si="23"/>
        <v>86576.47</v>
      </c>
      <c r="AG12" s="443">
        <f t="shared" si="24"/>
        <v>60536.84</v>
      </c>
      <c r="AH12" s="443">
        <f t="shared" si="25"/>
        <v>26039.63</v>
      </c>
      <c r="AI12" s="445">
        <f t="shared" si="26"/>
        <v>0.41480239758156645</v>
      </c>
    </row>
    <row r="13" spans="2:35" ht="13.5" customHeight="1" thickBot="1" x14ac:dyDescent="0.45">
      <c r="B13" s="986"/>
      <c r="C13" s="45" t="s">
        <v>1035</v>
      </c>
      <c r="D13" s="991">
        <v>3623</v>
      </c>
      <c r="E13" s="465"/>
      <c r="F13" s="45"/>
      <c r="G13" s="445">
        <f t="shared" si="3"/>
        <v>2.7170135984595164E-2</v>
      </c>
      <c r="H13" s="445">
        <f t="shared" si="4"/>
        <v>3.7180898039040643E-2</v>
      </c>
      <c r="I13" s="982" t="s">
        <v>50</v>
      </c>
      <c r="J13" s="431">
        <v>300</v>
      </c>
      <c r="K13" s="432">
        <f t="shared" si="5"/>
        <v>100</v>
      </c>
      <c r="L13" s="432">
        <f t="shared" si="6"/>
        <v>200</v>
      </c>
      <c r="M13" s="432">
        <f t="shared" si="7"/>
        <v>0</v>
      </c>
      <c r="N13" s="432">
        <f t="shared" si="8"/>
        <v>0</v>
      </c>
      <c r="O13" s="432">
        <f t="shared" si="9"/>
        <v>0</v>
      </c>
      <c r="P13" s="432">
        <f t="shared" si="10"/>
        <v>150</v>
      </c>
      <c r="Q13" s="432">
        <f t="shared" si="11"/>
        <v>0</v>
      </c>
      <c r="R13" s="432">
        <f t="shared" si="12"/>
        <v>-99</v>
      </c>
      <c r="S13" s="432">
        <f t="shared" si="13"/>
        <v>100</v>
      </c>
      <c r="T13" s="432">
        <f t="shared" si="14"/>
        <v>40</v>
      </c>
      <c r="U13" s="432">
        <f t="shared" si="15"/>
        <v>300</v>
      </c>
      <c r="V13" s="432">
        <f t="shared" si="16"/>
        <v>800</v>
      </c>
      <c r="W13" s="431">
        <f t="shared" si="17"/>
        <v>1591</v>
      </c>
      <c r="X13" s="432">
        <f t="shared" si="18"/>
        <v>439.62525263562509</v>
      </c>
      <c r="Y13" s="432">
        <f t="shared" si="19"/>
        <v>-2008.9999999999995</v>
      </c>
      <c r="Z13" s="433">
        <f t="shared" si="20"/>
        <v>-0.55805555555555553</v>
      </c>
      <c r="AA13" s="814">
        <f t="shared" si="21"/>
        <v>3599.9999999999995</v>
      </c>
      <c r="AB13" s="813">
        <f t="shared" si="22"/>
        <v>132.58333333333334</v>
      </c>
      <c r="AD13" s="48" t="s">
        <v>51</v>
      </c>
      <c r="AE13" s="584" t="s">
        <v>52</v>
      </c>
      <c r="AF13" s="928">
        <f t="shared" si="23"/>
        <v>61193.33</v>
      </c>
      <c r="AG13" s="443">
        <f t="shared" si="24"/>
        <v>45062</v>
      </c>
      <c r="AH13" s="443">
        <f t="shared" si="25"/>
        <v>16131.33</v>
      </c>
      <c r="AI13" s="445">
        <f t="shared" si="26"/>
        <v>7.2175246171636856E-2</v>
      </c>
    </row>
    <row r="14" spans="2:35" ht="13.9" customHeight="1" thickTop="1" thickBot="1" x14ac:dyDescent="0.45">
      <c r="B14" s="464"/>
      <c r="C14" s="45" t="s">
        <v>139</v>
      </c>
      <c r="D14" s="991">
        <f ca="1">D8-D13</f>
        <v>742.07142857142844</v>
      </c>
      <c r="E14" s="465"/>
      <c r="F14" s="45"/>
      <c r="G14" s="445">
        <f t="shared" si="3"/>
        <v>-1.6650460455675854E-2</v>
      </c>
      <c r="H14" s="445">
        <f t="shared" si="4"/>
        <v>-2.7342332310293874E-2</v>
      </c>
      <c r="I14" s="984" t="s">
        <v>53</v>
      </c>
      <c r="J14" s="431">
        <v>-200</v>
      </c>
      <c r="K14" s="432">
        <f t="shared" si="5"/>
        <v>-200</v>
      </c>
      <c r="L14" s="432">
        <f t="shared" si="6"/>
        <v>-358</v>
      </c>
      <c r="M14" s="432">
        <f t="shared" si="7"/>
        <v>-38</v>
      </c>
      <c r="N14" s="432">
        <f t="shared" si="8"/>
        <v>-125</v>
      </c>
      <c r="O14" s="432">
        <f t="shared" si="9"/>
        <v>-50</v>
      </c>
      <c r="P14" s="432">
        <f t="shared" si="10"/>
        <v>-199</v>
      </c>
      <c r="Q14" s="432">
        <f t="shared" si="11"/>
        <v>-200</v>
      </c>
      <c r="R14" s="432">
        <f t="shared" si="12"/>
        <v>0</v>
      </c>
      <c r="S14" s="432">
        <f t="shared" si="13"/>
        <v>0</v>
      </c>
      <c r="T14" s="432">
        <f t="shared" si="14"/>
        <v>0</v>
      </c>
      <c r="U14" s="432">
        <f t="shared" si="15"/>
        <v>0</v>
      </c>
      <c r="V14" s="432">
        <f t="shared" si="16"/>
        <v>0</v>
      </c>
      <c r="W14" s="431">
        <f t="shared" si="17"/>
        <v>-1170</v>
      </c>
      <c r="X14" s="432">
        <f t="shared" si="18"/>
        <v>240.24983157624993</v>
      </c>
      <c r="Y14" s="432">
        <f t="shared" si="19"/>
        <v>1229.9999999999995</v>
      </c>
      <c r="Z14" s="433">
        <f t="shared" si="20"/>
        <v>-0.51249999999999996</v>
      </c>
      <c r="AA14" s="814">
        <f t="shared" si="21"/>
        <v>-2399.9999999999995</v>
      </c>
      <c r="AB14" s="813">
        <f t="shared" si="22"/>
        <v>-97.5</v>
      </c>
      <c r="AD14" s="48" t="s">
        <v>54</v>
      </c>
      <c r="AE14" s="45" t="s">
        <v>55</v>
      </c>
      <c r="AF14" s="928">
        <f t="shared" si="23"/>
        <v>57074</v>
      </c>
      <c r="AG14" s="443">
        <f t="shared" si="24"/>
        <v>44496</v>
      </c>
      <c r="AH14" s="443">
        <f t="shared" si="25"/>
        <v>12578</v>
      </c>
      <c r="AI14" s="445">
        <f t="shared" si="26"/>
        <v>5.0776934973120261E-2</v>
      </c>
    </row>
    <row r="15" spans="2:35" ht="14.25" customHeight="1" thickTop="1" x14ac:dyDescent="0.4">
      <c r="B15" s="464"/>
      <c r="C15" s="464"/>
      <c r="D15" s="463"/>
      <c r="E15" s="465"/>
      <c r="F15" s="45"/>
      <c r="G15" s="445">
        <f t="shared" si="3"/>
        <v>2.497530644211865E-2</v>
      </c>
      <c r="H15" s="445">
        <f t="shared" si="4"/>
        <v>2.0713569438657244E-2</v>
      </c>
      <c r="I15" s="984" t="s">
        <v>56</v>
      </c>
      <c r="J15" s="431">
        <v>175</v>
      </c>
      <c r="K15" s="432">
        <f t="shared" si="5"/>
        <v>0</v>
      </c>
      <c r="L15" s="432">
        <f t="shared" si="6"/>
        <v>131.20000000000002</v>
      </c>
      <c r="M15" s="432">
        <f t="shared" si="7"/>
        <v>27.63</v>
      </c>
      <c r="N15" s="432">
        <f t="shared" si="8"/>
        <v>452.19</v>
      </c>
      <c r="O15" s="432">
        <f t="shared" si="9"/>
        <v>35.340000000000003</v>
      </c>
      <c r="P15" s="432">
        <f t="shared" si="10"/>
        <v>118.48</v>
      </c>
      <c r="Q15" s="432">
        <f t="shared" si="11"/>
        <v>0</v>
      </c>
      <c r="R15" s="432">
        <f t="shared" si="12"/>
        <v>80.38</v>
      </c>
      <c r="S15" s="432">
        <f t="shared" si="13"/>
        <v>29.51</v>
      </c>
      <c r="T15" s="432">
        <f t="shared" si="14"/>
        <v>0</v>
      </c>
      <c r="U15" s="432">
        <f t="shared" si="15"/>
        <v>11.62</v>
      </c>
      <c r="V15" s="432">
        <f t="shared" si="16"/>
        <v>0</v>
      </c>
      <c r="W15" s="431">
        <f t="shared" si="17"/>
        <v>886.35</v>
      </c>
      <c r="X15" s="432">
        <f t="shared" si="18"/>
        <v>-210.21860262921871</v>
      </c>
      <c r="Y15" s="432">
        <f t="shared" si="19"/>
        <v>-1213.6499999999996</v>
      </c>
      <c r="Z15" s="433">
        <f t="shared" si="20"/>
        <v>-0.57792857142857135</v>
      </c>
      <c r="AA15" s="814">
        <f t="shared" si="21"/>
        <v>2099.9999999999995</v>
      </c>
      <c r="AB15" s="813">
        <f t="shared" si="22"/>
        <v>73.862499999999997</v>
      </c>
      <c r="AD15" s="48" t="s">
        <v>57</v>
      </c>
      <c r="AE15" s="45" t="s">
        <v>58</v>
      </c>
      <c r="AF15" s="928">
        <f t="shared" si="23"/>
        <v>54316</v>
      </c>
      <c r="AG15" s="443">
        <f t="shared" si="24"/>
        <v>39743</v>
      </c>
      <c r="AH15" s="443">
        <f t="shared" si="25"/>
        <v>14573</v>
      </c>
      <c r="AI15" s="445"/>
    </row>
    <row r="16" spans="2:35" ht="13.9" customHeight="1" x14ac:dyDescent="0.4">
      <c r="B16" s="464"/>
      <c r="C16" s="464"/>
      <c r="D16" s="463"/>
      <c r="E16" s="465"/>
      <c r="F16" s="45"/>
      <c r="G16" s="445">
        <f t="shared" si="3"/>
        <v>0.18075996031611796</v>
      </c>
      <c r="H16" s="445">
        <f t="shared" si="4"/>
        <v>0.16490698115178523</v>
      </c>
      <c r="I16" s="982" t="s">
        <v>59</v>
      </c>
      <c r="J16" s="431">
        <v>400</v>
      </c>
      <c r="K16" s="432">
        <f t="shared" si="5"/>
        <v>0</v>
      </c>
      <c r="L16" s="432">
        <f t="shared" si="6"/>
        <v>0</v>
      </c>
      <c r="M16" s="432">
        <f t="shared" si="7"/>
        <v>280</v>
      </c>
      <c r="N16" s="432">
        <f t="shared" si="8"/>
        <v>0</v>
      </c>
      <c r="O16" s="432">
        <f t="shared" si="9"/>
        <v>0</v>
      </c>
      <c r="P16" s="432">
        <f t="shared" si="10"/>
        <v>0</v>
      </c>
      <c r="Q16" s="432">
        <f t="shared" si="11"/>
        <v>362.5</v>
      </c>
      <c r="R16" s="432">
        <f t="shared" si="12"/>
        <v>245</v>
      </c>
      <c r="S16" s="432">
        <f t="shared" si="13"/>
        <v>0</v>
      </c>
      <c r="T16" s="432">
        <f t="shared" si="14"/>
        <v>5000</v>
      </c>
      <c r="U16" s="432">
        <f t="shared" si="15"/>
        <v>592</v>
      </c>
      <c r="V16" s="432">
        <f t="shared" si="16"/>
        <v>577</v>
      </c>
      <c r="W16" s="431">
        <f t="shared" si="17"/>
        <v>7056.5</v>
      </c>
      <c r="X16" s="432">
        <f t="shared" si="18"/>
        <v>96.500336847500137</v>
      </c>
      <c r="Y16" s="432">
        <f t="shared" si="19"/>
        <v>2256.5000000000009</v>
      </c>
      <c r="Z16" s="433">
        <f t="shared" si="20"/>
        <v>0.47010416666666693</v>
      </c>
      <c r="AA16" s="814">
        <f t="shared" si="21"/>
        <v>4799.9999999999991</v>
      </c>
      <c r="AB16" s="813">
        <f t="shared" si="22"/>
        <v>588.04166666666663</v>
      </c>
      <c r="AD16" s="48" t="s">
        <v>60</v>
      </c>
      <c r="AE16" s="45" t="s">
        <v>61</v>
      </c>
      <c r="AF16" s="928">
        <f t="shared" si="23"/>
        <v>20273</v>
      </c>
      <c r="AG16" s="443">
        <f t="shared" si="24"/>
        <v>9394</v>
      </c>
      <c r="AH16" s="443">
        <f t="shared" si="25"/>
        <v>10879</v>
      </c>
    </row>
    <row r="17" spans="2:36" ht="13.5" customHeight="1" x14ac:dyDescent="0.35">
      <c r="B17" s="464"/>
      <c r="C17" s="464"/>
      <c r="E17" s="465">
        <v>0</v>
      </c>
      <c r="F17" s="49"/>
      <c r="G17" s="445">
        <f t="shared" si="3"/>
        <v>1.7237695156738252E-2</v>
      </c>
      <c r="H17" s="445">
        <f t="shared" si="4"/>
        <v>1.7691657480499893E-2</v>
      </c>
      <c r="I17" s="984" t="s">
        <v>569</v>
      </c>
      <c r="J17" s="431">
        <v>45</v>
      </c>
      <c r="K17" s="432">
        <f t="shared" si="5"/>
        <v>5</v>
      </c>
      <c r="L17" s="432">
        <f t="shared" si="6"/>
        <v>105</v>
      </c>
      <c r="M17" s="432">
        <f t="shared" si="7"/>
        <v>30</v>
      </c>
      <c r="N17" s="432">
        <f t="shared" si="8"/>
        <v>280</v>
      </c>
      <c r="O17" s="432">
        <f t="shared" si="9"/>
        <v>30</v>
      </c>
      <c r="P17" s="432">
        <f t="shared" si="10"/>
        <v>40</v>
      </c>
      <c r="Q17" s="432">
        <f t="shared" si="11"/>
        <v>60</v>
      </c>
      <c r="R17" s="432">
        <f t="shared" si="12"/>
        <v>105</v>
      </c>
      <c r="S17" s="432">
        <f t="shared" si="13"/>
        <v>0</v>
      </c>
      <c r="T17" s="432">
        <f t="shared" si="14"/>
        <v>77.039999999999992</v>
      </c>
      <c r="U17" s="432">
        <f t="shared" si="15"/>
        <v>0</v>
      </c>
      <c r="V17" s="432">
        <f t="shared" si="16"/>
        <v>25</v>
      </c>
      <c r="W17" s="431">
        <f t="shared" si="17"/>
        <v>757.04</v>
      </c>
      <c r="X17" s="432">
        <f t="shared" si="18"/>
        <v>-29.05621210465624</v>
      </c>
      <c r="Y17" s="432">
        <f t="shared" si="19"/>
        <v>217.04000000000008</v>
      </c>
      <c r="Z17" s="433">
        <f t="shared" si="20"/>
        <v>0.40192592592592613</v>
      </c>
      <c r="AA17" s="814">
        <f t="shared" si="21"/>
        <v>539.99999999999989</v>
      </c>
      <c r="AB17" s="813">
        <f t="shared" si="22"/>
        <v>63.086666666666666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3"/>
        <v>1</v>
      </c>
      <c r="H18" s="445">
        <f t="shared" si="4"/>
        <v>1</v>
      </c>
      <c r="I18" s="979" t="s">
        <v>63</v>
      </c>
      <c r="J18" s="926">
        <f t="shared" ref="J18:W18" si="27">SUM(J6:J17)</f>
        <v>5000</v>
      </c>
      <c r="K18" s="985">
        <f t="shared" si="27"/>
        <v>2422</v>
      </c>
      <c r="L18" s="985">
        <f t="shared" si="27"/>
        <v>3078.1</v>
      </c>
      <c r="M18" s="985">
        <f t="shared" si="27"/>
        <v>1866.63</v>
      </c>
      <c r="N18" s="985">
        <f t="shared" si="27"/>
        <v>5388.54</v>
      </c>
      <c r="O18" s="985">
        <f t="shared" si="27"/>
        <v>4515.34</v>
      </c>
      <c r="P18" s="985">
        <f t="shared" si="27"/>
        <v>2123.48</v>
      </c>
      <c r="Q18" s="985">
        <f t="shared" si="27"/>
        <v>1272.5</v>
      </c>
      <c r="R18" s="985">
        <f t="shared" si="27"/>
        <v>3673.58</v>
      </c>
      <c r="S18" s="985">
        <f t="shared" si="27"/>
        <v>3203.46</v>
      </c>
      <c r="T18" s="985">
        <f t="shared" si="27"/>
        <v>7757.34</v>
      </c>
      <c r="U18" s="985">
        <f t="shared" si="27"/>
        <v>4832.82</v>
      </c>
      <c r="V18" s="985">
        <f t="shared" si="27"/>
        <v>2657</v>
      </c>
      <c r="W18" s="985">
        <f t="shared" si="27"/>
        <v>42790.79</v>
      </c>
      <c r="X18" s="432">
        <f t="shared" si="18"/>
        <v>-3349.2457894062482</v>
      </c>
      <c r="Y18" s="820">
        <f t="shared" si="19"/>
        <v>-17209.209999999992</v>
      </c>
      <c r="Z18" s="833">
        <f t="shared" si="20"/>
        <v>-0.28682016666666654</v>
      </c>
      <c r="AA18" s="814">
        <f t="shared" si="21"/>
        <v>59999.999999999993</v>
      </c>
      <c r="AB18" s="834">
        <f t="shared" si="22"/>
        <v>3565.8991666666666</v>
      </c>
      <c r="AE18" s="928">
        <f>AF18-W44</f>
        <v>-35424.060000000056</v>
      </c>
      <c r="AF18" s="928">
        <f>SUM(AF5:AF16)</f>
        <v>633936.27192307683</v>
      </c>
      <c r="AG18" s="928">
        <f>SUM(AG5:AG16)</f>
        <v>449024.93500000006</v>
      </c>
      <c r="AH18" s="928">
        <f>SUM(AH5:AH16)</f>
        <v>184911.33692307692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18</v>
      </c>
      <c r="J19" s="441">
        <f>J18*12</f>
        <v>60000</v>
      </c>
      <c r="K19" s="671">
        <f t="shared" ref="K19:V19" si="28">K18/K3</f>
        <v>0.40058630199295614</v>
      </c>
      <c r="L19" s="671">
        <f t="shared" si="28"/>
        <v>0.69400686609632423</v>
      </c>
      <c r="M19" s="671">
        <f t="shared" si="28"/>
        <v>0.27535596881191476</v>
      </c>
      <c r="N19" s="671">
        <f t="shared" si="28"/>
        <v>1.27575425202144</v>
      </c>
      <c r="O19" s="671">
        <f t="shared" si="28"/>
        <v>1.1002391329262</v>
      </c>
      <c r="P19" s="671">
        <f t="shared" si="28"/>
        <v>0.54900739132614496</v>
      </c>
      <c r="Q19" s="671">
        <f t="shared" si="28"/>
        <v>0.40777312889798045</v>
      </c>
      <c r="R19" s="671">
        <f t="shared" si="28"/>
        <v>0.63241306825432342</v>
      </c>
      <c r="S19" s="671">
        <f t="shared" si="28"/>
        <v>0.56992022994269076</v>
      </c>
      <c r="T19" s="671">
        <f t="shared" si="28"/>
        <v>1.5844634796376724</v>
      </c>
      <c r="U19" s="671">
        <f t="shared" si="28"/>
        <v>0.94918320379687626</v>
      </c>
      <c r="V19" s="671">
        <f t="shared" si="28"/>
        <v>0.44237283873503613</v>
      </c>
      <c r="W19" s="671">
        <f>W18/AA18</f>
        <v>0.71317983333333346</v>
      </c>
      <c r="X19" s="583"/>
      <c r="Y19" s="832"/>
      <c r="AB19" s="445"/>
    </row>
    <row r="20" spans="2:36" ht="15.75" customHeight="1" thickBot="1" x14ac:dyDescent="0.45">
      <c r="B20" s="427" t="s">
        <v>64</v>
      </c>
      <c r="C20" s="427" t="s">
        <v>65</v>
      </c>
      <c r="D20" s="548" t="s">
        <v>66</v>
      </c>
      <c r="E20" s="751"/>
      <c r="F20" s="763" t="s">
        <v>67</v>
      </c>
      <c r="I20" s="968" t="s">
        <v>68</v>
      </c>
      <c r="J20" s="969"/>
      <c r="K20" s="970">
        <f t="shared" ref="K20:W20" si="29">K124</f>
        <v>2199.3000000000002</v>
      </c>
      <c r="L20" s="970">
        <f t="shared" si="29"/>
        <v>2283.8829999999998</v>
      </c>
      <c r="M20" s="970">
        <f t="shared" si="29"/>
        <v>1756.9536999999998</v>
      </c>
      <c r="N20" s="970">
        <f t="shared" si="29"/>
        <v>4527.3981000000003</v>
      </c>
      <c r="O20" s="970">
        <f t="shared" si="29"/>
        <v>3303.2366000000002</v>
      </c>
      <c r="P20" s="970">
        <f t="shared" si="29"/>
        <v>1444.2452000000001</v>
      </c>
      <c r="Q20" s="970">
        <f t="shared" si="29"/>
        <v>1117</v>
      </c>
      <c r="R20" s="970">
        <f t="shared" si="29"/>
        <v>3184.6862000000001</v>
      </c>
      <c r="S20" s="970">
        <f t="shared" si="29"/>
        <v>2366.8748999999998</v>
      </c>
      <c r="T20" s="970">
        <f t="shared" si="29"/>
        <v>6538.3719999999994</v>
      </c>
      <c r="U20" s="970">
        <f t="shared" si="29"/>
        <v>4278.9138000000003</v>
      </c>
      <c r="V20" s="970">
        <f t="shared" si="29"/>
        <v>2133.3000000000002</v>
      </c>
      <c r="W20" s="971">
        <f t="shared" si="29"/>
        <v>35134.163500000002</v>
      </c>
      <c r="X20" s="583">
        <f>W20/AB3</f>
        <v>2927.8469583333335</v>
      </c>
      <c r="Y20" s="832"/>
      <c r="AB20" s="445"/>
      <c r="AD20" s="469" t="s">
        <v>70</v>
      </c>
      <c r="AE20" s="469"/>
      <c r="AF20" s="469" t="s">
        <v>71</v>
      </c>
      <c r="AG20" s="469" t="s">
        <v>72</v>
      </c>
      <c r="AH20" s="469" t="s">
        <v>73</v>
      </c>
      <c r="AI20" s="469" t="s">
        <v>74</v>
      </c>
      <c r="AJ20" s="469" t="s">
        <v>75</v>
      </c>
    </row>
    <row r="21" spans="2:36" ht="13.9" customHeight="1" x14ac:dyDescent="0.4">
      <c r="B21" s="427"/>
      <c r="C21" s="427"/>
      <c r="D21" s="470"/>
      <c r="E21" s="751"/>
      <c r="F21" s="462"/>
      <c r="I21" s="46" t="s">
        <v>76</v>
      </c>
      <c r="J21" s="441"/>
      <c r="K21" s="918">
        <f t="shared" ref="K21:W21" si="30">K20/K18</f>
        <v>0.90805119735755579</v>
      </c>
      <c r="L21" s="918">
        <f t="shared" si="30"/>
        <v>0.74197816835060582</v>
      </c>
      <c r="M21" s="918">
        <f t="shared" si="30"/>
        <v>0.94124368514381518</v>
      </c>
      <c r="N21" s="918">
        <f t="shared" si="30"/>
        <v>0.84019012571123164</v>
      </c>
      <c r="O21" s="918">
        <f t="shared" si="30"/>
        <v>0.73155877519743806</v>
      </c>
      <c r="P21" s="918">
        <f t="shared" si="30"/>
        <v>0.68013129391376426</v>
      </c>
      <c r="Q21" s="918">
        <f t="shared" si="30"/>
        <v>0.87779960707269156</v>
      </c>
      <c r="R21" s="918">
        <f t="shared" si="30"/>
        <v>0.86691625063289768</v>
      </c>
      <c r="S21" s="918">
        <f t="shared" si="30"/>
        <v>0.73884952520087643</v>
      </c>
      <c r="T21" s="918">
        <f t="shared" si="30"/>
        <v>0.84286263074713741</v>
      </c>
      <c r="U21" s="918">
        <f t="shared" si="30"/>
        <v>0.88538654450196785</v>
      </c>
      <c r="V21" s="918">
        <f t="shared" si="30"/>
        <v>0.8028980052691006</v>
      </c>
      <c r="W21" s="918">
        <f t="shared" si="30"/>
        <v>0.82106835372751941</v>
      </c>
      <c r="X21" s="583"/>
      <c r="Y21" s="832"/>
      <c r="AB21" s="445"/>
    </row>
    <row r="22" spans="2:36" ht="14.25" customHeight="1" thickBot="1" x14ac:dyDescent="0.45">
      <c r="B22" s="427"/>
      <c r="C22" s="427"/>
      <c r="D22" s="548"/>
      <c r="E22" s="751"/>
      <c r="F22" s="763"/>
      <c r="I22" s="919" t="s">
        <v>77</v>
      </c>
      <c r="J22" s="920"/>
      <c r="K22" s="921">
        <f t="shared" ref="K22:V22" si="31">SUM((K127+K128)*-25%)+(K127+K128)+(K129+K130+K131+K132+K133+K134+K135)</f>
        <v>1846.5</v>
      </c>
      <c r="L22" s="921">
        <f t="shared" si="31"/>
        <v>2502.4949999999999</v>
      </c>
      <c r="M22" s="921">
        <f t="shared" si="31"/>
        <v>1469.9725000000001</v>
      </c>
      <c r="N22" s="921">
        <f t="shared" si="31"/>
        <v>4278.8024999999998</v>
      </c>
      <c r="O22" s="921">
        <f t="shared" si="31"/>
        <v>3374.0050000000001</v>
      </c>
      <c r="P22" s="921">
        <f t="shared" si="31"/>
        <v>1667.23</v>
      </c>
      <c r="Q22" s="921">
        <f t="shared" si="31"/>
        <v>961.875</v>
      </c>
      <c r="R22" s="921">
        <f t="shared" si="31"/>
        <v>2916.2349999999997</v>
      </c>
      <c r="S22" s="921">
        <f t="shared" si="31"/>
        <v>2432.5950000000003</v>
      </c>
      <c r="T22" s="921">
        <f t="shared" si="31"/>
        <v>7149.3649999999998</v>
      </c>
      <c r="U22" s="921">
        <f t="shared" si="31"/>
        <v>4169.415</v>
      </c>
      <c r="V22" s="921">
        <f t="shared" si="31"/>
        <v>2039</v>
      </c>
      <c r="W22" s="921">
        <f>SUM((W127+W128)*-30%)+(W127+W128)+(W129+W130+W131+W132+W133+W134+W135)</f>
        <v>33210.83</v>
      </c>
      <c r="X22" s="583">
        <f>W22/AB3</f>
        <v>2767.5691666666667</v>
      </c>
      <c r="Y22" s="832"/>
      <c r="AB22" s="445"/>
    </row>
    <row r="23" spans="2:36" ht="13.9" customHeight="1" x14ac:dyDescent="0.4">
      <c r="B23" s="427" t="s">
        <v>78</v>
      </c>
      <c r="C23" s="427" t="s">
        <v>65</v>
      </c>
      <c r="D23" s="48"/>
      <c r="E23" s="751"/>
      <c r="F23" s="763"/>
      <c r="I23" s="922" t="s">
        <v>79</v>
      </c>
      <c r="J23" s="923"/>
      <c r="K23" s="925">
        <f t="shared" ref="K23:W23" si="32">K22/K18</f>
        <v>0.76238645747316269</v>
      </c>
      <c r="L23" s="925">
        <f t="shared" si="32"/>
        <v>0.8129999025372795</v>
      </c>
      <c r="M23" s="925">
        <f t="shared" si="32"/>
        <v>0.78750073662161224</v>
      </c>
      <c r="N23" s="925">
        <f t="shared" si="32"/>
        <v>0.79405599661503856</v>
      </c>
      <c r="O23" s="925">
        <f t="shared" si="32"/>
        <v>0.74723165918845535</v>
      </c>
      <c r="P23" s="925">
        <f t="shared" si="32"/>
        <v>0.78514042986041777</v>
      </c>
      <c r="Q23" s="925">
        <f t="shared" si="32"/>
        <v>0.7558939096267191</v>
      </c>
      <c r="R23" s="925">
        <f t="shared" si="32"/>
        <v>0.79384006881570557</v>
      </c>
      <c r="S23" s="925">
        <f t="shared" si="32"/>
        <v>0.7593648742297392</v>
      </c>
      <c r="T23" s="925">
        <f t="shared" si="32"/>
        <v>0.92162584081656851</v>
      </c>
      <c r="U23" s="925">
        <f t="shared" si="32"/>
        <v>0.86272921399927993</v>
      </c>
      <c r="V23" s="925">
        <f t="shared" si="32"/>
        <v>0.76740684983063601</v>
      </c>
      <c r="W23" s="924">
        <f t="shared" si="32"/>
        <v>0.77612098304331378</v>
      </c>
      <c r="X23" s="583"/>
      <c r="Y23" s="832"/>
      <c r="AB23" s="445"/>
    </row>
    <row r="24" spans="2:36" ht="13.9" customHeight="1" x14ac:dyDescent="0.4">
      <c r="B24" s="427"/>
      <c r="C24" s="427"/>
      <c r="D24" s="45"/>
      <c r="E24" s="751"/>
      <c r="F24" s="763"/>
      <c r="I24" s="446" t="s">
        <v>82</v>
      </c>
      <c r="J24" s="850" t="s">
        <v>1036</v>
      </c>
      <c r="K24" s="917">
        <f t="shared" ref="K24:W24" si="33">IFERROR((K18-K30)/K30,0)</f>
        <v>-0.54766849441962617</v>
      </c>
      <c r="L24" s="917">
        <f t="shared" si="33"/>
        <v>8.476236793323888E-2</v>
      </c>
      <c r="M24" s="917">
        <f t="shared" si="33"/>
        <v>-0.75097654686624504</v>
      </c>
      <c r="N24" s="917">
        <f t="shared" si="33"/>
        <v>0.63122508226447538</v>
      </c>
      <c r="O24" s="917">
        <f t="shared" si="33"/>
        <v>0.19000419039687547</v>
      </c>
      <c r="P24" s="917">
        <f t="shared" si="33"/>
        <v>-0.24982601169342733</v>
      </c>
      <c r="Q24" s="917">
        <f t="shared" si="33"/>
        <v>-0.54703696320765471</v>
      </c>
      <c r="R24" s="917">
        <f t="shared" si="33"/>
        <v>-0.37868829723540492</v>
      </c>
      <c r="S24" s="917">
        <f t="shared" si="33"/>
        <v>0.24716187806587253</v>
      </c>
      <c r="T24" s="917">
        <f t="shared" si="33"/>
        <v>1.4125658162773413</v>
      </c>
      <c r="U24" s="917">
        <f t="shared" si="33"/>
        <v>-3.7785210846971819E-2</v>
      </c>
      <c r="V24" s="917">
        <f t="shared" si="33"/>
        <v>-0.67801979142177826</v>
      </c>
      <c r="W24" s="917">
        <f t="shared" si="33"/>
        <v>-0.19862662233443851</v>
      </c>
      <c r="X24" s="583"/>
      <c r="Y24" s="585"/>
      <c r="Z24" s="45" t="s">
        <v>84</v>
      </c>
      <c r="AB24" s="817">
        <f>SUM(N18+O18+P18+Q18+M18+L18)/6</f>
        <v>3040.7649999999999</v>
      </c>
    </row>
    <row r="25" spans="2:36" ht="13.9" customHeight="1" x14ac:dyDescent="0.4">
      <c r="B25" s="427"/>
      <c r="C25" s="427"/>
      <c r="D25" s="45"/>
      <c r="E25" s="751"/>
      <c r="F25" s="763"/>
      <c r="I25" s="446"/>
      <c r="J25" s="441"/>
      <c r="U25" s="432">
        <v>2067</v>
      </c>
      <c r="V25" s="432">
        <f>V18-U25</f>
        <v>590</v>
      </c>
      <c r="X25" s="583"/>
      <c r="Y25" s="585"/>
      <c r="Z25" s="45"/>
      <c r="AB25" s="817"/>
    </row>
    <row r="26" spans="2:36" ht="13.9" customHeight="1" x14ac:dyDescent="0.4">
      <c r="E26" s="751"/>
      <c r="F26" s="763"/>
      <c r="I26" s="446"/>
      <c r="J26" s="850" t="s">
        <v>88</v>
      </c>
      <c r="K26" s="443">
        <f t="shared" ref="K26:V26" si="34">SUM(K20/K4)/8</f>
        <v>11.952717391304349</v>
      </c>
      <c r="L26" s="443">
        <f t="shared" si="34"/>
        <v>13.594541666666666</v>
      </c>
      <c r="M26" s="443">
        <f t="shared" si="34"/>
        <v>10.458057738095237</v>
      </c>
      <c r="N26" s="443">
        <f t="shared" si="34"/>
        <v>25.723852840909093</v>
      </c>
      <c r="O26" s="443">
        <f t="shared" si="34"/>
        <v>17.952372826086958</v>
      </c>
      <c r="P26" s="443">
        <f t="shared" si="34"/>
        <v>9.0265325000000001</v>
      </c>
      <c r="Q26" s="443">
        <f t="shared" si="34"/>
        <v>6.0706521739130439</v>
      </c>
      <c r="R26" s="443">
        <f t="shared" si="34"/>
        <v>18.094807954545455</v>
      </c>
      <c r="S26" s="443">
        <f t="shared" si="34"/>
        <v>14.088541071428571</v>
      </c>
      <c r="T26" s="443">
        <f t="shared" si="34"/>
        <v>35.534630434782606</v>
      </c>
      <c r="U26" s="443">
        <f t="shared" si="34"/>
        <v>25.469725</v>
      </c>
      <c r="V26" s="443">
        <f t="shared" si="34"/>
        <v>12.121022727272729</v>
      </c>
      <c r="W26" s="1041">
        <f>AVERAGE(K26:V26)</f>
        <v>16.673954527083726</v>
      </c>
      <c r="X26" s="583"/>
      <c r="Y26" s="585"/>
      <c r="Z26" s="45"/>
      <c r="AB26" s="817"/>
    </row>
    <row r="27" spans="2:36" ht="13.9" customHeight="1" x14ac:dyDescent="0.4">
      <c r="B27" s="427" t="s">
        <v>80</v>
      </c>
      <c r="C27" s="427" t="s">
        <v>65</v>
      </c>
      <c r="D27" s="470"/>
      <c r="E27" s="751">
        <v>100</v>
      </c>
      <c r="F27" s="45" t="s">
        <v>81</v>
      </c>
      <c r="I27" s="446"/>
      <c r="J27" s="850" t="s">
        <v>90</v>
      </c>
      <c r="K27" s="443">
        <f t="shared" ref="K27:V27" si="35">K20/K4</f>
        <v>95.62173913043479</v>
      </c>
      <c r="L27" s="443">
        <f t="shared" si="35"/>
        <v>108.75633333333333</v>
      </c>
      <c r="M27" s="443">
        <f t="shared" si="35"/>
        <v>83.664461904761893</v>
      </c>
      <c r="N27" s="443">
        <f t="shared" si="35"/>
        <v>205.79082272727274</v>
      </c>
      <c r="O27" s="443">
        <f t="shared" si="35"/>
        <v>143.61898260869566</v>
      </c>
      <c r="P27" s="443">
        <f t="shared" si="35"/>
        <v>72.212260000000001</v>
      </c>
      <c r="Q27" s="443">
        <f t="shared" si="35"/>
        <v>48.565217391304351</v>
      </c>
      <c r="R27" s="443">
        <f t="shared" si="35"/>
        <v>144.75846363636364</v>
      </c>
      <c r="S27" s="443">
        <f t="shared" si="35"/>
        <v>112.70832857142857</v>
      </c>
      <c r="T27" s="443">
        <f t="shared" si="35"/>
        <v>284.27704347826085</v>
      </c>
      <c r="U27" s="443">
        <f t="shared" si="35"/>
        <v>203.7578</v>
      </c>
      <c r="V27" s="443">
        <f t="shared" si="35"/>
        <v>96.968181818181833</v>
      </c>
      <c r="W27" s="443">
        <f>AVERAGE(K27:V27)</f>
        <v>133.39163621666981</v>
      </c>
      <c r="X27" s="583"/>
      <c r="Y27" s="585"/>
      <c r="Z27" s="45"/>
      <c r="AB27" s="817"/>
    </row>
    <row r="28" spans="2:36" ht="13.9" customHeight="1" x14ac:dyDescent="0.4">
      <c r="B28" s="427" t="s">
        <v>85</v>
      </c>
      <c r="C28" s="427" t="s">
        <v>65</v>
      </c>
      <c r="E28" s="751">
        <v>15</v>
      </c>
      <c r="F28" s="45" t="s">
        <v>86</v>
      </c>
      <c r="I28" s="446"/>
      <c r="J28" s="441"/>
      <c r="L28" s="454"/>
      <c r="M28" s="454"/>
      <c r="N28" s="454"/>
      <c r="O28" s="454"/>
      <c r="P28" s="454"/>
      <c r="X28" s="583"/>
      <c r="Y28" s="585"/>
      <c r="Z28" s="45"/>
      <c r="AB28" s="817"/>
    </row>
    <row r="29" spans="2:36" ht="13.9" customHeight="1" x14ac:dyDescent="0.4">
      <c r="B29" s="427"/>
      <c r="C29" s="427"/>
      <c r="D29" s="548"/>
      <c r="E29" s="751"/>
      <c r="F29" s="763"/>
      <c r="I29" s="446"/>
      <c r="J29" s="441"/>
      <c r="M29" s="45" t="s">
        <v>1037</v>
      </c>
      <c r="N29" s="454"/>
      <c r="P29" s="454"/>
      <c r="Q29" s="454"/>
      <c r="R29" s="454"/>
      <c r="S29" s="454"/>
      <c r="T29" s="454"/>
      <c r="U29" s="454"/>
      <c r="V29" s="454"/>
      <c r="W29" s="432"/>
      <c r="Z29" s="45" t="s">
        <v>96</v>
      </c>
      <c r="AB29" s="817"/>
    </row>
    <row r="30" spans="2:36" ht="13.9" customHeight="1" x14ac:dyDescent="0.4">
      <c r="B30" s="427"/>
      <c r="C30" s="427"/>
      <c r="E30" s="751"/>
      <c r="F30" s="45"/>
      <c r="I30" s="541" t="s">
        <v>103</v>
      </c>
      <c r="J30" s="584" t="s">
        <v>26</v>
      </c>
      <c r="K30" s="558">
        <v>5354.48</v>
      </c>
      <c r="L30" s="558">
        <v>2837.58</v>
      </c>
      <c r="M30" s="558">
        <v>7495.8</v>
      </c>
      <c r="N30" s="558">
        <v>3303.37</v>
      </c>
      <c r="O30" s="558">
        <v>3794.39</v>
      </c>
      <c r="P30" s="558">
        <v>2830.65</v>
      </c>
      <c r="Q30" s="558">
        <v>2809.28</v>
      </c>
      <c r="R30" s="558">
        <v>5912.62</v>
      </c>
      <c r="S30" s="558">
        <v>2568.6</v>
      </c>
      <c r="T30" s="558">
        <v>3215.39</v>
      </c>
      <c r="U30" s="558">
        <v>5022.6000000000004</v>
      </c>
      <c r="V30" s="558">
        <v>8252.06</v>
      </c>
      <c r="W30" s="431">
        <f t="shared" ref="W30:W40" si="36">SUM(K30:V30)</f>
        <v>53396.819999999992</v>
      </c>
      <c r="X30" s="583">
        <f t="shared" ref="X30:X39" si="37">W30-W31</f>
        <v>-7930.2000000000116</v>
      </c>
      <c r="Y30" s="585">
        <f t="shared" ref="Y30:Y39" si="38">X30/W31</f>
        <v>-0.12931004963228299</v>
      </c>
      <c r="Z30" s="45"/>
      <c r="AB30" s="817"/>
    </row>
    <row r="31" spans="2:36" ht="13.15" customHeight="1" x14ac:dyDescent="0.4">
      <c r="I31" s="541" t="s">
        <v>105</v>
      </c>
      <c r="J31" s="584" t="s">
        <v>30</v>
      </c>
      <c r="K31" s="558">
        <v>18758.77</v>
      </c>
      <c r="L31" s="558">
        <v>3028.2</v>
      </c>
      <c r="M31" s="558">
        <v>5768.64</v>
      </c>
      <c r="N31" s="558">
        <v>7461.77</v>
      </c>
      <c r="O31" s="558">
        <v>5269.6500000000005</v>
      </c>
      <c r="P31" s="558">
        <v>2223</v>
      </c>
      <c r="Q31" s="558">
        <v>2500.94</v>
      </c>
      <c r="R31" s="558">
        <v>2796.35</v>
      </c>
      <c r="S31" s="558">
        <v>3928.56</v>
      </c>
      <c r="T31" s="558">
        <v>2389</v>
      </c>
      <c r="U31" s="558">
        <v>3577.95</v>
      </c>
      <c r="V31" s="558">
        <v>3624.19</v>
      </c>
      <c r="W31" s="431">
        <f t="shared" si="36"/>
        <v>61327.020000000004</v>
      </c>
      <c r="X31" s="583">
        <f t="shared" si="37"/>
        <v>-8338.9499999999971</v>
      </c>
      <c r="Y31" s="585">
        <f t="shared" si="38"/>
        <v>-0.11969904388039092</v>
      </c>
      <c r="Z31" s="45"/>
      <c r="AB31" s="817"/>
    </row>
    <row r="32" spans="2:36" ht="13.9" customHeight="1" x14ac:dyDescent="0.4">
      <c r="B32" s="427" t="s">
        <v>87</v>
      </c>
      <c r="C32" s="427" t="s">
        <v>65</v>
      </c>
      <c r="D32" s="470"/>
      <c r="E32" s="751"/>
      <c r="F32" s="763"/>
      <c r="I32" s="541" t="s">
        <v>106</v>
      </c>
      <c r="J32" s="584" t="s">
        <v>33</v>
      </c>
      <c r="K32" s="558">
        <v>1633</v>
      </c>
      <c r="L32" s="558">
        <v>3730.19</v>
      </c>
      <c r="M32" s="558">
        <v>18208.68</v>
      </c>
      <c r="N32" s="558">
        <v>3783</v>
      </c>
      <c r="O32" s="558">
        <v>3750.38</v>
      </c>
      <c r="P32" s="558">
        <v>4858.6000000000004</v>
      </c>
      <c r="Q32" s="558">
        <v>3785.35</v>
      </c>
      <c r="R32" s="558">
        <v>7391.76</v>
      </c>
      <c r="S32" s="558">
        <v>5355.23</v>
      </c>
      <c r="T32" s="558">
        <v>5201</v>
      </c>
      <c r="U32" s="558">
        <v>4340.0200000000004</v>
      </c>
      <c r="V32" s="558">
        <v>7628.76</v>
      </c>
      <c r="W32" s="431">
        <f t="shared" si="36"/>
        <v>69665.97</v>
      </c>
      <c r="X32" s="583">
        <f t="shared" si="37"/>
        <v>14664.073076923072</v>
      </c>
      <c r="Y32" s="585">
        <f t="shared" si="38"/>
        <v>0.26661031523024664</v>
      </c>
      <c r="Z32" s="45"/>
      <c r="AB32" s="817"/>
    </row>
    <row r="33" spans="2:28" ht="13.9" customHeight="1" x14ac:dyDescent="0.4">
      <c r="B33" s="464"/>
      <c r="C33" s="427"/>
      <c r="D33" s="470"/>
      <c r="E33" s="751"/>
      <c r="F33" s="763"/>
      <c r="I33" s="541" t="s">
        <v>108</v>
      </c>
      <c r="J33" s="584" t="s">
        <v>39</v>
      </c>
      <c r="K33" s="558">
        <v>7647.85</v>
      </c>
      <c r="L33" s="558">
        <v>5051.6400000000003</v>
      </c>
      <c r="M33" s="558">
        <v>4783.7469230769229</v>
      </c>
      <c r="N33" s="558">
        <v>1598.35</v>
      </c>
      <c r="O33" s="558">
        <v>1786.66</v>
      </c>
      <c r="P33" s="558">
        <v>6854.62</v>
      </c>
      <c r="Q33" s="558">
        <v>2667</v>
      </c>
      <c r="R33" s="558">
        <v>11694.07</v>
      </c>
      <c r="S33" s="558">
        <v>4126.62</v>
      </c>
      <c r="T33" s="558">
        <v>2423.69</v>
      </c>
      <c r="U33" s="558">
        <v>3332.58</v>
      </c>
      <c r="V33" s="558">
        <v>3035.07</v>
      </c>
      <c r="W33" s="431">
        <f t="shared" si="36"/>
        <v>55001.896923076929</v>
      </c>
      <c r="X33" s="583">
        <f t="shared" si="37"/>
        <v>-10181.033076923071</v>
      </c>
      <c r="Y33" s="585">
        <f t="shared" si="38"/>
        <v>-0.15619170658519141</v>
      </c>
      <c r="Z33" s="45"/>
      <c r="AB33" s="817"/>
    </row>
    <row r="34" spans="2:28" ht="13.9" customHeight="1" x14ac:dyDescent="0.4">
      <c r="B34" s="427" t="s">
        <v>89</v>
      </c>
      <c r="C34" s="427" t="s">
        <v>65</v>
      </c>
      <c r="D34" s="470"/>
      <c r="E34" s="751"/>
      <c r="F34" s="763"/>
      <c r="G34" s="427"/>
      <c r="I34" s="541" t="s">
        <v>109</v>
      </c>
      <c r="J34" s="584" t="s">
        <v>43</v>
      </c>
      <c r="K34" s="558">
        <v>5891.07</v>
      </c>
      <c r="L34" s="558">
        <v>2739.5</v>
      </c>
      <c r="M34" s="558">
        <v>4414.5</v>
      </c>
      <c r="N34" s="558">
        <v>5147.5</v>
      </c>
      <c r="O34" s="558">
        <v>6878</v>
      </c>
      <c r="P34" s="558">
        <v>4875.34</v>
      </c>
      <c r="Q34" s="558">
        <v>5769.97</v>
      </c>
      <c r="R34" s="558">
        <v>7463.89</v>
      </c>
      <c r="S34" s="558">
        <v>6034.39</v>
      </c>
      <c r="T34" s="558">
        <v>4573.58</v>
      </c>
      <c r="U34" s="558">
        <v>5973.75</v>
      </c>
      <c r="V34" s="558">
        <v>5421.4400000000014</v>
      </c>
      <c r="W34" s="431">
        <f t="shared" si="36"/>
        <v>65182.93</v>
      </c>
      <c r="X34" s="583">
        <f t="shared" si="37"/>
        <v>-3418.8049999999857</v>
      </c>
      <c r="Y34" s="585">
        <f t="shared" si="38"/>
        <v>-4.983554716218163E-2</v>
      </c>
      <c r="Z34" s="45" t="s">
        <v>110</v>
      </c>
      <c r="AB34" s="817">
        <f>SUM(K30+L30+P30+O30+N30+M30)/6</f>
        <v>4269.3783333333331</v>
      </c>
    </row>
    <row r="35" spans="2:28" ht="13.9" customHeight="1" x14ac:dyDescent="0.4">
      <c r="B35" s="427" t="s">
        <v>270</v>
      </c>
      <c r="C35" s="427" t="s">
        <v>65</v>
      </c>
      <c r="D35" s="470"/>
      <c r="E35" s="751">
        <v>0</v>
      </c>
      <c r="F35" s="763">
        <v>45596</v>
      </c>
      <c r="I35" s="541" t="s">
        <v>115</v>
      </c>
      <c r="J35" s="46" t="s">
        <v>46</v>
      </c>
      <c r="K35" s="558">
        <v>8277.4700000000012</v>
      </c>
      <c r="L35" s="558">
        <v>10607.11</v>
      </c>
      <c r="M35" s="558">
        <v>7155.05</v>
      </c>
      <c r="N35" s="558">
        <v>4371.0150000000003</v>
      </c>
      <c r="O35" s="558">
        <v>4002.63</v>
      </c>
      <c r="P35" s="558">
        <v>3243.6</v>
      </c>
      <c r="Q35" s="558">
        <v>2859.03</v>
      </c>
      <c r="R35" s="558">
        <v>4792.59</v>
      </c>
      <c r="S35" s="558">
        <v>6443.88</v>
      </c>
      <c r="T35" s="558">
        <v>3908.03</v>
      </c>
      <c r="U35" s="558">
        <v>8299.08</v>
      </c>
      <c r="V35" s="558">
        <v>4642.25</v>
      </c>
      <c r="W35" s="431">
        <f t="shared" si="36"/>
        <v>68601.734999999986</v>
      </c>
      <c r="X35" s="583">
        <f t="shared" si="37"/>
        <v>-8066.4350000000122</v>
      </c>
      <c r="Y35" s="585">
        <f t="shared" si="38"/>
        <v>-0.10521230648912075</v>
      </c>
      <c r="AB35" s="445">
        <f>SUM(AB24-AB34)/AB24</f>
        <v>-0.40404744639369805</v>
      </c>
    </row>
    <row r="36" spans="2:28" ht="15" customHeight="1" x14ac:dyDescent="0.4">
      <c r="C36" s="427"/>
      <c r="D36" s="470"/>
      <c r="E36" s="751"/>
      <c r="F36" s="763"/>
      <c r="I36" s="440" t="s">
        <v>116</v>
      </c>
      <c r="J36" s="46" t="s">
        <v>49</v>
      </c>
      <c r="K36" s="558">
        <v>3203.5</v>
      </c>
      <c r="L36" s="558">
        <v>6685</v>
      </c>
      <c r="M36" s="558">
        <v>6242.83</v>
      </c>
      <c r="N36" s="558">
        <v>6063.17</v>
      </c>
      <c r="O36" s="558">
        <v>5851.71</v>
      </c>
      <c r="P36" s="558">
        <v>5479.93</v>
      </c>
      <c r="Q36" s="558">
        <v>3603.81</v>
      </c>
      <c r="R36" s="558">
        <v>4658.8500000000004</v>
      </c>
      <c r="S36" s="558">
        <v>10821.67</v>
      </c>
      <c r="T36" s="558">
        <v>9224.58</v>
      </c>
      <c r="U36" s="558">
        <v>10504.09</v>
      </c>
      <c r="V36" s="558">
        <v>4329.0300000000007</v>
      </c>
      <c r="W36" s="431">
        <f t="shared" si="36"/>
        <v>76668.17</v>
      </c>
      <c r="X36" s="583">
        <f t="shared" si="37"/>
        <v>19028.169999999998</v>
      </c>
      <c r="Y36" s="585">
        <f t="shared" si="38"/>
        <v>0.3301209229701596</v>
      </c>
      <c r="AA36" s="953" t="s">
        <v>1038</v>
      </c>
      <c r="AB36" s="954">
        <f ca="1">SUM(K18:U18)++D8</f>
        <v>44498.861428571428</v>
      </c>
    </row>
    <row r="37" spans="2:28" ht="13.9" customHeight="1" x14ac:dyDescent="0.4">
      <c r="B37" s="427" t="s">
        <v>92</v>
      </c>
      <c r="C37" s="427" t="s">
        <v>65</v>
      </c>
      <c r="D37" s="548"/>
      <c r="E37" s="751"/>
      <c r="F37" s="763" t="s">
        <v>93</v>
      </c>
      <c r="I37" s="440" t="s">
        <v>117</v>
      </c>
      <c r="J37" s="584" t="s">
        <v>52</v>
      </c>
      <c r="K37" s="558">
        <v>4537</v>
      </c>
      <c r="L37" s="558">
        <f>4583-264</f>
        <v>4319</v>
      </c>
      <c r="M37" s="558">
        <f>3935-213</f>
        <v>3722</v>
      </c>
      <c r="N37" s="558">
        <f>4947-396</f>
        <v>4551</v>
      </c>
      <c r="O37" s="558">
        <f>3911-293</f>
        <v>3618</v>
      </c>
      <c r="P37" s="558">
        <f>2992-213</f>
        <v>2779</v>
      </c>
      <c r="Q37" s="558">
        <f>2927-218</f>
        <v>2709</v>
      </c>
      <c r="R37" s="558">
        <f>7466-213</f>
        <v>7253</v>
      </c>
      <c r="S37" s="558">
        <f>4218-425</f>
        <v>3793</v>
      </c>
      <c r="T37" s="558">
        <f>10697-213</f>
        <v>10484</v>
      </c>
      <c r="U37" s="558">
        <f>5081-213</f>
        <v>4868</v>
      </c>
      <c r="V37" s="558">
        <f>5220-213</f>
        <v>5007</v>
      </c>
      <c r="W37" s="431">
        <f t="shared" si="36"/>
        <v>57640</v>
      </c>
      <c r="X37" s="583">
        <f t="shared" si="37"/>
        <v>-1429</v>
      </c>
      <c r="Y37" s="585">
        <f t="shared" si="38"/>
        <v>-2.4192046589581677E-2</v>
      </c>
      <c r="Z37" s="445"/>
      <c r="AA37" s="771"/>
      <c r="AB37" s="799"/>
    </row>
    <row r="38" spans="2:28" ht="13.9" customHeight="1" x14ac:dyDescent="0.4">
      <c r="B38" s="916"/>
      <c r="C38" s="701"/>
      <c r="D38" s="913"/>
      <c r="E38" s="914"/>
      <c r="F38" s="915"/>
      <c r="I38" s="440" t="s">
        <v>118</v>
      </c>
      <c r="J38" s="45" t="s">
        <v>55</v>
      </c>
      <c r="K38" s="558">
        <v>3710</v>
      </c>
      <c r="L38" s="558">
        <v>3750</v>
      </c>
      <c r="M38" s="558">
        <v>7113</v>
      </c>
      <c r="N38" s="558">
        <f>3928-213</f>
        <v>3715</v>
      </c>
      <c r="O38" s="558">
        <f>2501-213</f>
        <v>2288</v>
      </c>
      <c r="P38" s="558">
        <f>3468-213</f>
        <v>3255</v>
      </c>
      <c r="Q38" s="558">
        <f>1986-224</f>
        <v>1762</v>
      </c>
      <c r="R38" s="558">
        <f>4145-212</f>
        <v>3933</v>
      </c>
      <c r="S38" s="558">
        <f>8518-212</f>
        <v>8306</v>
      </c>
      <c r="T38" s="558">
        <f>5829-424</f>
        <v>5405</v>
      </c>
      <c r="U38" s="558">
        <f>3816-212</f>
        <v>3604</v>
      </c>
      <c r="V38" s="558">
        <f>12440-212</f>
        <v>12228</v>
      </c>
      <c r="W38" s="431">
        <f t="shared" si="36"/>
        <v>59069</v>
      </c>
      <c r="X38" s="583">
        <f t="shared" si="37"/>
        <v>8447</v>
      </c>
      <c r="Y38" s="585">
        <f t="shared" si="38"/>
        <v>0.16686420923709058</v>
      </c>
      <c r="Z38" s="445"/>
      <c r="AA38" s="445"/>
      <c r="AB38" s="45" t="s">
        <v>119</v>
      </c>
    </row>
    <row r="39" spans="2:28" ht="13.9" customHeight="1" x14ac:dyDescent="0.4">
      <c r="B39" s="427" t="s">
        <v>97</v>
      </c>
      <c r="C39" s="427" t="s">
        <v>65</v>
      </c>
      <c r="D39" s="548"/>
      <c r="E39" s="751">
        <v>200</v>
      </c>
      <c r="F39" s="763" t="s">
        <v>98</v>
      </c>
      <c r="I39" s="440" t="s">
        <v>120</v>
      </c>
      <c r="J39" s="45" t="s">
        <v>58</v>
      </c>
      <c r="K39" s="558">
        <f>4439-1260</f>
        <v>3179</v>
      </c>
      <c r="L39" s="558">
        <f>3071-197</f>
        <v>2874</v>
      </c>
      <c r="M39" s="558">
        <f>4958-132</f>
        <v>4826</v>
      </c>
      <c r="N39" s="558">
        <f>3585-132</f>
        <v>3453</v>
      </c>
      <c r="O39" s="558">
        <f>5008-33</f>
        <v>4975</v>
      </c>
      <c r="P39" s="558">
        <v>3386</v>
      </c>
      <c r="Q39" s="558">
        <v>3633</v>
      </c>
      <c r="R39" s="558">
        <v>3855</v>
      </c>
      <c r="S39" s="558">
        <v>6440</v>
      </c>
      <c r="T39" s="558">
        <v>3536</v>
      </c>
      <c r="U39" s="558">
        <v>2851</v>
      </c>
      <c r="V39" s="558">
        <v>7614</v>
      </c>
      <c r="W39" s="431">
        <f t="shared" si="36"/>
        <v>50622</v>
      </c>
      <c r="X39" s="583">
        <f t="shared" si="37"/>
        <v>41228</v>
      </c>
      <c r="Y39" s="585">
        <f t="shared" si="38"/>
        <v>4.3887587822014051</v>
      </c>
    </row>
    <row r="40" spans="2:28" ht="13.9" customHeight="1" x14ac:dyDescent="0.4">
      <c r="B40" s="701"/>
      <c r="C40" s="701"/>
      <c r="D40" s="913"/>
      <c r="E40" s="914"/>
      <c r="F40" s="915"/>
      <c r="I40" s="541" t="s">
        <v>121</v>
      </c>
      <c r="J40" s="45" t="s">
        <v>61</v>
      </c>
      <c r="K40" s="558"/>
      <c r="L40" s="558"/>
      <c r="M40" s="558"/>
      <c r="N40" s="558"/>
      <c r="O40" s="558"/>
      <c r="P40" s="558"/>
      <c r="Q40" s="558"/>
      <c r="R40" s="558"/>
      <c r="S40" s="558"/>
      <c r="T40" s="558"/>
      <c r="U40" s="558">
        <f>3346-338</f>
        <v>3008</v>
      </c>
      <c r="V40" s="558">
        <f>6776-390</f>
        <v>6386</v>
      </c>
      <c r="W40" s="431">
        <f t="shared" si="36"/>
        <v>9394</v>
      </c>
    </row>
    <row r="41" spans="2:28" ht="13.9" customHeight="1" x14ac:dyDescent="0.4">
      <c r="B41" s="427" t="s">
        <v>101</v>
      </c>
      <c r="C41" s="427" t="s">
        <v>65</v>
      </c>
      <c r="D41" s="470"/>
      <c r="E41" s="751"/>
      <c r="F41" s="763" t="s">
        <v>102</v>
      </c>
      <c r="X41" s="45" t="s">
        <v>122</v>
      </c>
      <c r="Y41" s="688">
        <f>W18-K31-L31-M31-N31-O31-P31-Q31-R31-S31-T31-U31-V31</f>
        <v>-18536.23</v>
      </c>
      <c r="Z41" s="835">
        <f>Y41/W18</f>
        <v>-0.43318270123080221</v>
      </c>
    </row>
    <row r="42" spans="2:28" ht="15" customHeight="1" x14ac:dyDescent="0.4">
      <c r="B42" s="427" t="s">
        <v>104</v>
      </c>
      <c r="C42" s="427" t="s">
        <v>65</v>
      </c>
      <c r="D42" s="470"/>
      <c r="E42" s="751">
        <v>150</v>
      </c>
      <c r="F42" s="763">
        <v>45617</v>
      </c>
      <c r="I42" s="447" t="s">
        <v>123</v>
      </c>
      <c r="J42" s="448">
        <f ca="1">SUMIF($C2:E114,I42,$E2:$E82)</f>
        <v>0</v>
      </c>
      <c r="K42" s="558">
        <f t="shared" ref="K42:V42" si="39">AVERAGE(K30:K39)</f>
        <v>6219.2139999999999</v>
      </c>
      <c r="L42" s="558">
        <f t="shared" si="39"/>
        <v>4562.2219999999998</v>
      </c>
      <c r="M42" s="558">
        <f t="shared" si="39"/>
        <v>6973.024692307692</v>
      </c>
      <c r="N42" s="558">
        <f t="shared" si="39"/>
        <v>4344.7174999999997</v>
      </c>
      <c r="O42" s="558">
        <f t="shared" si="39"/>
        <v>4221.442</v>
      </c>
      <c r="P42" s="558">
        <f t="shared" si="39"/>
        <v>3978.5739999999996</v>
      </c>
      <c r="Q42" s="558">
        <f t="shared" si="39"/>
        <v>3209.9380000000001</v>
      </c>
      <c r="R42" s="558">
        <f t="shared" si="39"/>
        <v>5975.1129999999994</v>
      </c>
      <c r="S42" s="558">
        <f t="shared" si="39"/>
        <v>5781.7950000000001</v>
      </c>
      <c r="T42" s="558">
        <f t="shared" si="39"/>
        <v>5036.027</v>
      </c>
      <c r="U42" s="558">
        <f t="shared" si="39"/>
        <v>5237.3070000000007</v>
      </c>
      <c r="V42" s="558">
        <f t="shared" si="39"/>
        <v>6178.18</v>
      </c>
      <c r="W42" s="449">
        <f>SUM(K42:V42)</f>
        <v>61717.554192307689</v>
      </c>
      <c r="X42" s="449" t="s">
        <v>1039</v>
      </c>
    </row>
    <row r="43" spans="2:28" ht="15" customHeight="1" x14ac:dyDescent="0.4">
      <c r="B43" s="427"/>
      <c r="C43" s="427"/>
      <c r="D43" s="470"/>
      <c r="E43" s="751"/>
      <c r="F43" s="763"/>
      <c r="I43" s="450" t="s">
        <v>65</v>
      </c>
      <c r="J43" s="451">
        <f ca="1">SUMIF($C18:D82,I43,$E18:$E82)</f>
        <v>465</v>
      </c>
      <c r="L43" s="449"/>
      <c r="M43" s="449"/>
      <c r="N43" s="449"/>
      <c r="O43" s="449"/>
      <c r="P43" s="449"/>
      <c r="Q43" s="449"/>
      <c r="R43" s="449"/>
      <c r="S43" s="449"/>
      <c r="T43" s="449"/>
      <c r="U43" s="449"/>
      <c r="V43" s="449"/>
      <c r="W43" s="449"/>
      <c r="X43" s="449"/>
    </row>
    <row r="44" spans="2:28" ht="15.4" customHeight="1" thickBot="1" x14ac:dyDescent="0.45">
      <c r="E44" s="751"/>
      <c r="I44" s="452" t="s">
        <v>131</v>
      </c>
      <c r="J44" s="453">
        <f ca="1">SUM(J42:J43)</f>
        <v>465</v>
      </c>
      <c r="K44" s="454"/>
      <c r="L44" s="454"/>
      <c r="M44" s="454"/>
      <c r="N44" s="454"/>
      <c r="O44" s="454"/>
      <c r="P44" s="454"/>
      <c r="Q44" s="454"/>
      <c r="R44" s="454"/>
      <c r="S44" s="454"/>
      <c r="T44" s="454"/>
      <c r="U44" s="795" t="s">
        <v>132</v>
      </c>
      <c r="V44" s="796"/>
      <c r="W44" s="688">
        <f>SUM(W30:W40)+W18</f>
        <v>669360.33192307688</v>
      </c>
      <c r="X44" s="454"/>
    </row>
    <row r="45" spans="2:28" ht="13.9" customHeight="1" thickBot="1" x14ac:dyDescent="0.4">
      <c r="B45" s="427" t="s">
        <v>1040</v>
      </c>
      <c r="C45" s="427" t="s">
        <v>65</v>
      </c>
      <c r="E45" s="751"/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795" t="s">
        <v>133</v>
      </c>
      <c r="V45" s="796"/>
      <c r="W45" s="558">
        <f>SUM(W30:W39)/10</f>
        <v>61717.554192307682</v>
      </c>
      <c r="X45" s="454"/>
    </row>
    <row r="46" spans="2:28" ht="13.9" customHeight="1" x14ac:dyDescent="0.4">
      <c r="E46" s="751"/>
      <c r="G46" s="427"/>
      <c r="I46" s="455" t="s">
        <v>134</v>
      </c>
      <c r="J46" s="456">
        <f>W18</f>
        <v>42790.79</v>
      </c>
      <c r="K46" s="454">
        <f>SUM(E205:E513)-J46</f>
        <v>0</v>
      </c>
      <c r="L46" s="454"/>
      <c r="M46" s="454"/>
      <c r="N46" s="454"/>
      <c r="O46" s="454"/>
      <c r="P46" s="454"/>
      <c r="Q46" s="454"/>
      <c r="R46" s="454"/>
      <c r="S46" s="454"/>
      <c r="T46" s="454"/>
      <c r="U46" s="454"/>
      <c r="V46" s="454"/>
      <c r="W46" s="454"/>
      <c r="X46" s="454"/>
    </row>
    <row r="47" spans="2:28" ht="14.25" customHeight="1" thickBot="1" x14ac:dyDescent="0.45">
      <c r="B47" s="427"/>
      <c r="C47" s="427"/>
      <c r="E47" s="751"/>
      <c r="F47" s="781"/>
      <c r="G47" s="427"/>
      <c r="I47" s="457" t="s">
        <v>135</v>
      </c>
      <c r="J47" s="458">
        <f>J46-AA18</f>
        <v>-17209.209999999992</v>
      </c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</row>
    <row r="48" spans="2:28" ht="13.5" customHeight="1" x14ac:dyDescent="0.35">
      <c r="C48" s="427"/>
      <c r="D48" s="45"/>
      <c r="E48" s="751"/>
      <c r="F48" s="781"/>
      <c r="G48" s="427"/>
    </row>
    <row r="49" spans="2:23" ht="13.5" customHeight="1" x14ac:dyDescent="0.35">
      <c r="C49" s="427"/>
      <c r="D49" s="45"/>
      <c r="E49" s="751"/>
      <c r="F49" s="781"/>
      <c r="G49" s="763"/>
    </row>
    <row r="50" spans="2:23" ht="13.9" customHeight="1" x14ac:dyDescent="0.4">
      <c r="B50" s="45"/>
      <c r="C50" s="427"/>
      <c r="D50" s="45"/>
      <c r="E50" s="751"/>
      <c r="F50" s="781"/>
      <c r="G50" s="763"/>
      <c r="I50" s="1202" t="s">
        <v>1041</v>
      </c>
      <c r="J50" s="1204" t="s">
        <v>99</v>
      </c>
      <c r="K50" s="1203" t="s">
        <v>137</v>
      </c>
      <c r="L50" s="1203" t="s">
        <v>126</v>
      </c>
      <c r="M50" s="1203" t="s">
        <v>138</v>
      </c>
      <c r="N50" s="1203" t="s">
        <v>139</v>
      </c>
      <c r="O50" s="577"/>
      <c r="P50" s="577"/>
      <c r="Q50" s="577"/>
      <c r="R50" s="577"/>
      <c r="S50" s="577"/>
      <c r="T50" s="577"/>
      <c r="U50" s="577"/>
      <c r="V50" s="577"/>
      <c r="W50" s="423"/>
    </row>
    <row r="51" spans="2:23" ht="13.5" customHeight="1" x14ac:dyDescent="0.35">
      <c r="B51" s="45"/>
      <c r="C51" s="427"/>
      <c r="D51" s="45"/>
      <c r="E51" s="751"/>
      <c r="F51" s="781"/>
      <c r="G51" s="763"/>
      <c r="I51" s="581" t="s">
        <v>28</v>
      </c>
      <c r="J51" s="431"/>
      <c r="K51" s="432">
        <f t="shared" ref="K51:K62" si="40">SUMIFS($E$206:$E$696, $C$206:$C$696, $I51, $G$206:$G$696, "&lt;&gt;JLR")</f>
        <v>5580</v>
      </c>
      <c r="L51" s="432">
        <f t="shared" ref="L51:L62" si="41">SUMIFS($E$206:$E$696, $C$206:$C$696, $I51, $G$206:$G$696, "JLR")</f>
        <v>0</v>
      </c>
      <c r="M51" s="432">
        <f t="shared" ref="M51:M62" si="42">K51+L51</f>
        <v>5580</v>
      </c>
      <c r="N51" s="432">
        <f t="shared" ref="N51:N62" si="43">M51-W6</f>
        <v>0</v>
      </c>
      <c r="O51" s="432"/>
      <c r="P51" s="432"/>
      <c r="Q51" s="432"/>
      <c r="R51" s="432"/>
      <c r="S51" s="432"/>
      <c r="T51" s="432"/>
      <c r="U51" s="432"/>
      <c r="V51" s="432"/>
      <c r="W51" s="432"/>
    </row>
    <row r="52" spans="2:23" ht="13.5" customHeight="1" x14ac:dyDescent="0.35">
      <c r="B52" s="427"/>
      <c r="C52" s="427"/>
      <c r="D52" s="45"/>
      <c r="E52" s="751"/>
      <c r="F52" s="781"/>
      <c r="G52" s="763"/>
      <c r="I52" s="581" t="s">
        <v>31</v>
      </c>
      <c r="J52" s="431"/>
      <c r="K52" s="432">
        <f t="shared" si="40"/>
        <v>8854.3999999999978</v>
      </c>
      <c r="L52" s="432">
        <f t="shared" si="41"/>
        <v>0</v>
      </c>
      <c r="M52" s="432">
        <f t="shared" si="42"/>
        <v>8854.3999999999978</v>
      </c>
      <c r="N52" s="432">
        <f t="shared" si="43"/>
        <v>0</v>
      </c>
      <c r="O52" s="432"/>
      <c r="P52" s="432"/>
      <c r="Q52" s="432"/>
      <c r="R52" s="432"/>
      <c r="S52" s="432"/>
      <c r="T52" s="432"/>
      <c r="U52" s="432"/>
      <c r="V52" s="432"/>
      <c r="W52" s="432"/>
    </row>
    <row r="53" spans="2:23" ht="13.5" customHeight="1" x14ac:dyDescent="0.35">
      <c r="C53" s="427"/>
      <c r="D53" s="45"/>
      <c r="E53" s="751"/>
      <c r="F53" s="781"/>
      <c r="G53" s="763"/>
      <c r="I53" s="582" t="s">
        <v>35</v>
      </c>
      <c r="J53" s="431"/>
      <c r="K53" s="432">
        <f t="shared" si="40"/>
        <v>10962</v>
      </c>
      <c r="L53" s="432">
        <f t="shared" si="41"/>
        <v>0</v>
      </c>
      <c r="M53" s="432">
        <f t="shared" si="42"/>
        <v>10962</v>
      </c>
      <c r="N53" s="432">
        <f t="shared" si="43"/>
        <v>0</v>
      </c>
      <c r="O53" s="432"/>
      <c r="P53" s="432"/>
      <c r="Q53" s="432"/>
      <c r="R53" s="432"/>
      <c r="S53" s="432"/>
      <c r="T53" s="432"/>
      <c r="U53" s="432"/>
      <c r="V53" s="432"/>
      <c r="W53" s="432"/>
    </row>
    <row r="54" spans="2:23" ht="13.5" customHeight="1" x14ac:dyDescent="0.35">
      <c r="E54" s="751"/>
      <c r="I54" s="581" t="s">
        <v>37</v>
      </c>
      <c r="J54" s="431"/>
      <c r="K54" s="432">
        <f t="shared" si="40"/>
        <v>1400</v>
      </c>
      <c r="L54" s="432">
        <f t="shared" si="41"/>
        <v>0</v>
      </c>
      <c r="M54" s="432">
        <f t="shared" si="42"/>
        <v>1400</v>
      </c>
      <c r="N54" s="432">
        <f t="shared" si="43"/>
        <v>0</v>
      </c>
      <c r="O54" s="432"/>
      <c r="P54" s="432"/>
      <c r="Q54" s="432"/>
      <c r="R54" s="432"/>
      <c r="S54" s="432"/>
      <c r="T54" s="432"/>
      <c r="U54" s="432"/>
      <c r="V54" s="432"/>
      <c r="W54" s="432"/>
    </row>
    <row r="55" spans="2:23" ht="13.5" customHeight="1" x14ac:dyDescent="0.35">
      <c r="E55" s="751"/>
      <c r="G55" s="48"/>
      <c r="I55" s="581" t="s">
        <v>41</v>
      </c>
      <c r="J55" s="431"/>
      <c r="K55" s="432">
        <f t="shared" si="40"/>
        <v>-4228.5</v>
      </c>
      <c r="L55" s="432">
        <f t="shared" si="41"/>
        <v>0</v>
      </c>
      <c r="M55" s="432">
        <f t="shared" si="42"/>
        <v>-4228.5</v>
      </c>
      <c r="N55" s="432">
        <f t="shared" si="43"/>
        <v>0</v>
      </c>
      <c r="O55" s="432"/>
      <c r="P55" s="432"/>
      <c r="Q55" s="432"/>
      <c r="R55" s="432"/>
      <c r="S55" s="432"/>
      <c r="T55" s="432"/>
      <c r="U55" s="432"/>
      <c r="V55" s="432"/>
      <c r="W55" s="432"/>
    </row>
    <row r="56" spans="2:23" ht="13.5" customHeight="1" x14ac:dyDescent="0.35">
      <c r="E56" s="751"/>
      <c r="I56" s="581" t="s">
        <v>44</v>
      </c>
      <c r="J56" s="431"/>
      <c r="K56" s="432">
        <f t="shared" si="40"/>
        <v>1080</v>
      </c>
      <c r="L56" s="432">
        <f t="shared" si="41"/>
        <v>0</v>
      </c>
      <c r="M56" s="432">
        <f t="shared" si="42"/>
        <v>1080</v>
      </c>
      <c r="N56" s="432">
        <f t="shared" si="43"/>
        <v>0</v>
      </c>
      <c r="O56" s="432"/>
      <c r="P56" s="432"/>
      <c r="Q56" s="432"/>
      <c r="R56" s="432"/>
      <c r="S56" s="432"/>
      <c r="T56" s="432"/>
      <c r="U56" s="432"/>
      <c r="V56" s="432"/>
      <c r="W56" s="432"/>
    </row>
    <row r="57" spans="2:23" ht="13.5" customHeight="1" x14ac:dyDescent="0.35">
      <c r="E57" s="751"/>
      <c r="G57" s="48"/>
      <c r="I57" s="582" t="s">
        <v>47</v>
      </c>
      <c r="J57" s="431"/>
      <c r="K57" s="432">
        <f t="shared" si="40"/>
        <v>10022</v>
      </c>
      <c r="L57" s="432">
        <f t="shared" si="41"/>
        <v>0</v>
      </c>
      <c r="M57" s="432">
        <f t="shared" si="42"/>
        <v>10022</v>
      </c>
      <c r="N57" s="432">
        <f t="shared" si="43"/>
        <v>0</v>
      </c>
      <c r="O57" s="432"/>
      <c r="P57" s="432"/>
      <c r="Q57" s="432"/>
      <c r="R57" s="432"/>
      <c r="S57" s="432"/>
      <c r="T57" s="432"/>
      <c r="U57" s="432"/>
      <c r="V57" s="432"/>
      <c r="W57" s="432"/>
    </row>
    <row r="58" spans="2:23" ht="13.5" customHeight="1" x14ac:dyDescent="0.35">
      <c r="E58" s="751"/>
      <c r="I58" s="582" t="s">
        <v>50</v>
      </c>
      <c r="J58" s="431"/>
      <c r="K58" s="432">
        <f t="shared" si="40"/>
        <v>1591</v>
      </c>
      <c r="L58" s="432">
        <f t="shared" si="41"/>
        <v>0</v>
      </c>
      <c r="M58" s="432">
        <f t="shared" si="42"/>
        <v>1591</v>
      </c>
      <c r="N58" s="432">
        <f t="shared" si="43"/>
        <v>0</v>
      </c>
      <c r="O58" s="432"/>
      <c r="P58" s="432"/>
      <c r="Q58" s="432"/>
      <c r="R58" s="432"/>
      <c r="S58" s="432"/>
      <c r="T58" s="432"/>
      <c r="U58" s="432"/>
      <c r="V58" s="432"/>
      <c r="W58" s="432"/>
    </row>
    <row r="59" spans="2:23" ht="13.5" customHeight="1" x14ac:dyDescent="0.35">
      <c r="E59" s="751"/>
      <c r="I59" s="582" t="s">
        <v>53</v>
      </c>
      <c r="J59" s="431"/>
      <c r="K59" s="432">
        <f t="shared" si="40"/>
        <v>-1170</v>
      </c>
      <c r="L59" s="432">
        <f t="shared" si="41"/>
        <v>0</v>
      </c>
      <c r="M59" s="432">
        <f t="shared" si="42"/>
        <v>-1170</v>
      </c>
      <c r="N59" s="432">
        <f t="shared" si="43"/>
        <v>0</v>
      </c>
      <c r="O59" s="432"/>
      <c r="P59" s="432"/>
      <c r="Q59" s="432"/>
      <c r="R59" s="432"/>
      <c r="S59" s="432"/>
      <c r="T59" s="432"/>
      <c r="U59" s="432"/>
      <c r="V59" s="432"/>
      <c r="W59" s="432"/>
    </row>
    <row r="60" spans="2:23" x14ac:dyDescent="0.35">
      <c r="I60" s="582" t="s">
        <v>56</v>
      </c>
      <c r="J60" s="431"/>
      <c r="K60" s="432">
        <f t="shared" si="40"/>
        <v>886.34999999999991</v>
      </c>
      <c r="L60" s="432">
        <f t="shared" si="41"/>
        <v>0</v>
      </c>
      <c r="M60" s="432">
        <f t="shared" si="42"/>
        <v>886.34999999999991</v>
      </c>
      <c r="N60" s="432">
        <f t="shared" si="43"/>
        <v>0</v>
      </c>
      <c r="O60" s="432"/>
      <c r="P60" s="432"/>
      <c r="Q60" s="432"/>
      <c r="R60" s="432"/>
      <c r="S60" s="432"/>
      <c r="T60" s="432"/>
      <c r="U60" s="432"/>
      <c r="V60" s="432"/>
      <c r="W60" s="432"/>
    </row>
    <row r="61" spans="2:23" ht="13.5" customHeight="1" x14ac:dyDescent="0.35">
      <c r="B61" s="427"/>
      <c r="C61" s="427"/>
      <c r="D61" s="470"/>
      <c r="E61" s="751"/>
      <c r="F61" s="763"/>
      <c r="I61" s="582" t="s">
        <v>59</v>
      </c>
      <c r="J61" s="431"/>
      <c r="K61" s="432">
        <f t="shared" si="40"/>
        <v>7056.5</v>
      </c>
      <c r="L61" s="432">
        <f t="shared" si="41"/>
        <v>0</v>
      </c>
      <c r="M61" s="432">
        <f t="shared" si="42"/>
        <v>7056.5</v>
      </c>
      <c r="N61" s="432">
        <f t="shared" si="43"/>
        <v>0</v>
      </c>
      <c r="O61" s="432"/>
      <c r="P61" s="432"/>
      <c r="Q61" s="432"/>
      <c r="R61" s="432"/>
      <c r="S61" s="432"/>
      <c r="T61" s="432"/>
      <c r="U61" s="432"/>
      <c r="V61" s="432"/>
      <c r="W61" s="432"/>
    </row>
    <row r="62" spans="2:23" ht="13.9" customHeight="1" thickBot="1" x14ac:dyDescent="0.4">
      <c r="B62" s="427"/>
      <c r="C62" s="427"/>
      <c r="D62" s="470"/>
      <c r="E62" s="751"/>
      <c r="F62" s="427"/>
      <c r="I62" s="984" t="s">
        <v>569</v>
      </c>
      <c r="J62" s="431"/>
      <c r="K62" s="432">
        <f t="shared" si="40"/>
        <v>757.04</v>
      </c>
      <c r="L62" s="432">
        <f t="shared" si="41"/>
        <v>0</v>
      </c>
      <c r="M62" s="432">
        <f t="shared" si="42"/>
        <v>757.04</v>
      </c>
      <c r="N62" s="432">
        <f t="shared" si="43"/>
        <v>0</v>
      </c>
      <c r="O62" s="432"/>
      <c r="P62" s="432"/>
      <c r="Q62" s="432"/>
      <c r="R62" s="432"/>
      <c r="S62" s="432"/>
      <c r="T62" s="432"/>
      <c r="U62" s="432"/>
      <c r="V62" s="432"/>
      <c r="W62" s="432"/>
    </row>
    <row r="63" spans="2:23" ht="13.9" customHeight="1" thickTop="1" thickBot="1" x14ac:dyDescent="0.45">
      <c r="B63" s="46"/>
      <c r="E63" s="705"/>
      <c r="F63" s="56"/>
      <c r="G63" s="56"/>
      <c r="I63" s="437" t="s">
        <v>63</v>
      </c>
      <c r="J63" s="438"/>
      <c r="K63" s="587">
        <f>SUM(K51:K62)</f>
        <v>42790.789999999994</v>
      </c>
      <c r="L63" s="587">
        <f>SUM(L51:L62)</f>
        <v>0</v>
      </c>
      <c r="M63" s="587">
        <f>SUM(M51:M62)</f>
        <v>42790.789999999994</v>
      </c>
      <c r="N63" s="587">
        <f>SUM(N51:N62)</f>
        <v>0</v>
      </c>
      <c r="O63" s="587"/>
      <c r="P63" s="587"/>
      <c r="Q63" s="587"/>
      <c r="R63" s="587"/>
      <c r="S63" s="587"/>
      <c r="T63" s="587"/>
      <c r="U63" s="587"/>
      <c r="V63" s="587"/>
      <c r="W63" s="789"/>
    </row>
    <row r="64" spans="2:23" ht="13.15" customHeight="1" thickTop="1" x14ac:dyDescent="0.35"/>
    <row r="65" spans="3:24" ht="15" customHeight="1" x14ac:dyDescent="0.4">
      <c r="C65" s="940"/>
      <c r="D65" s="941"/>
      <c r="E65" s="942"/>
      <c r="F65" s="943"/>
      <c r="G65" s="940"/>
      <c r="I65" s="420" t="s">
        <v>140</v>
      </c>
      <c r="J65" s="557" t="s">
        <v>1042</v>
      </c>
      <c r="K65" s="577" t="s">
        <v>142</v>
      </c>
      <c r="L65" s="577" t="s">
        <v>143</v>
      </c>
      <c r="M65" s="577" t="s">
        <v>144</v>
      </c>
      <c r="N65" s="577" t="s">
        <v>145</v>
      </c>
      <c r="O65" s="577" t="s">
        <v>146</v>
      </c>
      <c r="P65" s="577" t="s">
        <v>147</v>
      </c>
      <c r="Q65" s="577" t="s">
        <v>148</v>
      </c>
      <c r="R65" s="577" t="s">
        <v>149</v>
      </c>
      <c r="S65" s="577" t="s">
        <v>150</v>
      </c>
      <c r="T65" s="577" t="s">
        <v>151</v>
      </c>
      <c r="U65" s="577" t="s">
        <v>152</v>
      </c>
      <c r="V65" s="577" t="s">
        <v>153</v>
      </c>
      <c r="W65" s="423" t="s">
        <v>19</v>
      </c>
    </row>
    <row r="66" spans="3:24" ht="13.5" customHeight="1" x14ac:dyDescent="0.35">
      <c r="C66" s="940"/>
      <c r="D66" s="941"/>
      <c r="E66" s="942"/>
      <c r="F66" s="943"/>
      <c r="G66" s="940"/>
      <c r="I66" s="581" t="s">
        <v>28</v>
      </c>
      <c r="J66" s="431"/>
      <c r="K66" s="432">
        <f>K6-'Sales 2023'!K6</f>
        <v>-742.5</v>
      </c>
      <c r="L66" s="432">
        <f>L6-'Sales 2023'!L6</f>
        <v>50</v>
      </c>
      <c r="M66" s="432">
        <f>M6-'Sales 2023'!M6</f>
        <v>-1111.5</v>
      </c>
      <c r="N66" s="432">
        <f>N6-'Sales 2023'!N6</f>
        <v>525</v>
      </c>
      <c r="O66" s="432">
        <f>O6-'Sales 2023'!O6</f>
        <v>450</v>
      </c>
      <c r="P66" s="432">
        <f>P6-'Sales 2023'!P6</f>
        <v>0</v>
      </c>
      <c r="Q66" s="432">
        <f>Q6-'Sales 2023'!Q6</f>
        <v>115</v>
      </c>
      <c r="R66" s="432">
        <f>R6-'Sales 2023'!R6</f>
        <v>-377.5</v>
      </c>
      <c r="S66" s="432">
        <f>S6-'Sales 2023'!S6</f>
        <v>-1180</v>
      </c>
      <c r="T66" s="432">
        <f>T6-'Sales 2023'!T6</f>
        <v>0</v>
      </c>
      <c r="U66" s="432">
        <f>U6-'Sales 2023'!U6</f>
        <v>175</v>
      </c>
      <c r="V66" s="432">
        <f>V6-'Sales 2023'!V6</f>
        <v>145</v>
      </c>
      <c r="W66" s="432">
        <f>W6-'Sales 2023'!W6</f>
        <v>-1951.5</v>
      </c>
      <c r="X66" s="445">
        <f>W66/'Sales 2023'!W6</f>
        <v>-0.25911173073093008</v>
      </c>
    </row>
    <row r="67" spans="3:24" ht="13.5" customHeight="1" x14ac:dyDescent="0.35">
      <c r="C67" s="940"/>
      <c r="D67" s="941"/>
      <c r="E67" s="942"/>
      <c r="F67" s="943"/>
      <c r="G67" s="940"/>
      <c r="I67" s="581" t="s">
        <v>31</v>
      </c>
      <c r="J67" s="431"/>
      <c r="K67" s="432">
        <f>K7-'Sales 2023'!K7</f>
        <v>334</v>
      </c>
      <c r="L67" s="432">
        <f>L7-'Sales 2023'!L7</f>
        <v>559.40000000000009</v>
      </c>
      <c r="M67" s="432">
        <f>M7-'Sales 2023'!M7</f>
        <v>-1308</v>
      </c>
      <c r="N67" s="432">
        <f>N7-'Sales 2023'!N7</f>
        <v>1225.8500000000001</v>
      </c>
      <c r="O67" s="432">
        <f>O7-'Sales 2023'!O7</f>
        <v>-570</v>
      </c>
      <c r="P67" s="432">
        <f>P7-'Sales 2023'!P7</f>
        <v>-1323</v>
      </c>
      <c r="Q67" s="432">
        <f>Q7-'Sales 2023'!Q7</f>
        <v>-770</v>
      </c>
      <c r="R67" s="432">
        <f>R7-'Sales 2023'!R7</f>
        <v>-504.8</v>
      </c>
      <c r="S67" s="432">
        <f>S7-'Sales 2023'!S7</f>
        <v>900.95</v>
      </c>
      <c r="T67" s="432">
        <f>T7-'Sales 2023'!T7</f>
        <v>-890.2</v>
      </c>
      <c r="U67" s="432">
        <f>U7-'Sales 2023'!U7</f>
        <v>-307.8</v>
      </c>
      <c r="V67" s="432">
        <f>V7-'Sales 2023'!V7</f>
        <v>59</v>
      </c>
      <c r="W67" s="432">
        <f>W7-'Sales 2023'!W7</f>
        <v>-2594.6000000000004</v>
      </c>
      <c r="X67" s="445">
        <f>W67/'Sales 2023'!W7</f>
        <v>-0.22662241243776751</v>
      </c>
    </row>
    <row r="68" spans="3:24" ht="13.5" customHeight="1" x14ac:dyDescent="0.35">
      <c r="C68" s="940"/>
      <c r="D68" s="941"/>
      <c r="E68" s="942"/>
      <c r="F68" s="943"/>
      <c r="G68" s="940"/>
      <c r="I68" s="582" t="s">
        <v>35</v>
      </c>
      <c r="J68" s="431"/>
      <c r="K68" s="432">
        <f>K8-'Sales 2023'!K8</f>
        <v>-1785</v>
      </c>
      <c r="L68" s="432">
        <f>L8-'Sales 2023'!L8</f>
        <v>1375</v>
      </c>
      <c r="M68" s="432">
        <f>M8-'Sales 2023'!M8</f>
        <v>-1680</v>
      </c>
      <c r="N68" s="432">
        <f>N8-'Sales 2023'!N8</f>
        <v>662</v>
      </c>
      <c r="O68" s="432">
        <f>O8-'Sales 2023'!O8</f>
        <v>1175</v>
      </c>
      <c r="P68" s="432">
        <f>P8-'Sales 2023'!P8</f>
        <v>1275</v>
      </c>
      <c r="Q68" s="432">
        <f>Q8-'Sales 2023'!Q8</f>
        <v>-395</v>
      </c>
      <c r="R68" s="432">
        <f>R8-'Sales 2023'!R8</f>
        <v>-1870</v>
      </c>
      <c r="S68" s="432">
        <f>S8-'Sales 2023'!S8</f>
        <v>345</v>
      </c>
      <c r="T68" s="432">
        <f>T8-'Sales 2023'!T8</f>
        <v>345</v>
      </c>
      <c r="U68" s="432">
        <f>U8-'Sales 2023'!U8</f>
        <v>-1622</v>
      </c>
      <c r="V68" s="432">
        <f>V8-'Sales 2023'!V8</f>
        <v>-3092</v>
      </c>
      <c r="W68" s="432">
        <f>W8-'Sales 2023'!W8</f>
        <v>-5267</v>
      </c>
      <c r="X68" s="445">
        <f>W68/'Sales 2023'!W8</f>
        <v>-0.32454248567379385</v>
      </c>
    </row>
    <row r="69" spans="3:24" ht="13.5" customHeight="1" x14ac:dyDescent="0.35">
      <c r="C69" s="947"/>
      <c r="D69" s="948"/>
      <c r="E69" s="949"/>
      <c r="F69" s="946"/>
      <c r="G69" s="940"/>
      <c r="I69" s="581" t="s">
        <v>37</v>
      </c>
      <c r="J69" s="431"/>
      <c r="K69" s="432">
        <f>K9-'Sales 2023'!K9</f>
        <v>300</v>
      </c>
      <c r="L69" s="432">
        <f>L9-'Sales 2023'!L9</f>
        <v>-1150</v>
      </c>
      <c r="M69" s="432">
        <f>M9-'Sales 2023'!M9</f>
        <v>0</v>
      </c>
      <c r="N69" s="432">
        <f>N9-'Sales 2023'!N9</f>
        <v>200</v>
      </c>
      <c r="O69" s="432">
        <f>O9-'Sales 2023'!O9</f>
        <v>150</v>
      </c>
      <c r="P69" s="432">
        <f>P9-'Sales 2023'!P9</f>
        <v>-50</v>
      </c>
      <c r="Q69" s="432">
        <f>Q9-'Sales 2023'!Q9</f>
        <v>-300</v>
      </c>
      <c r="R69" s="432">
        <f>R9-'Sales 2023'!R9</f>
        <v>200</v>
      </c>
      <c r="S69" s="432">
        <f>S9-'Sales 2023'!S9</f>
        <v>-50</v>
      </c>
      <c r="T69" s="432">
        <f>T9-'Sales 2023'!T9</f>
        <v>-300</v>
      </c>
      <c r="U69" s="432">
        <f>U9-'Sales 2023'!U9</f>
        <v>200</v>
      </c>
      <c r="V69" s="432">
        <f>V9-'Sales 2023'!V9</f>
        <v>-4250</v>
      </c>
      <c r="W69" s="432">
        <f>W9-'Sales 2023'!W9</f>
        <v>-5050</v>
      </c>
      <c r="X69" s="445">
        <f>W69/'Sales 2023'!W8</f>
        <v>-0.31117135991126993</v>
      </c>
    </row>
    <row r="70" spans="3:24" ht="13.5" customHeight="1" x14ac:dyDescent="0.35">
      <c r="C70" s="947"/>
      <c r="D70" s="948"/>
      <c r="E70" s="949"/>
      <c r="F70" s="946"/>
      <c r="G70" s="940"/>
      <c r="I70" s="581" t="s">
        <v>41</v>
      </c>
      <c r="J70" s="431"/>
      <c r="K70" s="432">
        <f>K10-'Sales 2023'!K10</f>
        <v>-837</v>
      </c>
      <c r="L70" s="432">
        <f>L10-'Sales 2023'!L10</f>
        <v>240.5</v>
      </c>
      <c r="M70" s="432">
        <f>M10-'Sales 2023'!M10</f>
        <v>-783</v>
      </c>
      <c r="N70" s="432">
        <f>N10-'Sales 2023'!N10</f>
        <v>-1499.5</v>
      </c>
      <c r="O70" s="432">
        <f>O10-'Sales 2023'!O10</f>
        <v>395</v>
      </c>
      <c r="P70" s="432">
        <f>P10-'Sales 2023'!P10</f>
        <v>190</v>
      </c>
      <c r="Q70" s="432">
        <f>Q10-'Sales 2023'!Q10</f>
        <v>160</v>
      </c>
      <c r="R70" s="432">
        <f>R10-'Sales 2023'!R10</f>
        <v>0</v>
      </c>
      <c r="S70" s="432">
        <f>S10-'Sales 2023'!S10</f>
        <v>0</v>
      </c>
      <c r="T70" s="432">
        <f>T10-'Sales 2023'!T10</f>
        <v>617.5</v>
      </c>
      <c r="U70" s="432">
        <f>U10-'Sales 2023'!U10</f>
        <v>0</v>
      </c>
      <c r="V70" s="432">
        <f>V10-'Sales 2023'!V10</f>
        <v>1296</v>
      </c>
      <c r="W70" s="432">
        <f>W10-'Sales 2023'!W10</f>
        <v>-220.5</v>
      </c>
      <c r="X70" s="445">
        <f>W70/'Sales 2023'!W9</f>
        <v>-3.4186046511627904E-2</v>
      </c>
    </row>
    <row r="71" spans="3:24" x14ac:dyDescent="0.35">
      <c r="I71" s="581" t="s">
        <v>44</v>
      </c>
      <c r="J71" s="431"/>
      <c r="K71" s="432">
        <f>K11-'Sales 2023'!K11</f>
        <v>0</v>
      </c>
      <c r="L71" s="432">
        <f>L11-'Sales 2023'!L11</f>
        <v>60</v>
      </c>
      <c r="M71" s="432">
        <f>M11-'Sales 2023'!M11</f>
        <v>40</v>
      </c>
      <c r="N71" s="432">
        <f>N11-'Sales 2023'!N11</f>
        <v>40</v>
      </c>
      <c r="O71" s="432">
        <f>O11-'Sales 2023'!O11</f>
        <v>20</v>
      </c>
      <c r="P71" s="432">
        <f>P11-'Sales 2023'!P11</f>
        <v>40</v>
      </c>
      <c r="Q71" s="432">
        <f>Q11-'Sales 2023'!Q11</f>
        <v>40</v>
      </c>
      <c r="R71" s="432">
        <f>R11-'Sales 2023'!R11</f>
        <v>20</v>
      </c>
      <c r="S71" s="432">
        <f>S11-'Sales 2023'!S11</f>
        <v>20</v>
      </c>
      <c r="T71" s="432">
        <f>T11-'Sales 2023'!T11</f>
        <v>15</v>
      </c>
      <c r="U71" s="432">
        <f>U11-'Sales 2023'!U11</f>
        <v>30</v>
      </c>
      <c r="V71" s="432">
        <f>V11-'Sales 2023'!V11</f>
        <v>-225</v>
      </c>
      <c r="W71" s="432">
        <f>W11-'Sales 2023'!W11</f>
        <v>100</v>
      </c>
      <c r="X71" s="445">
        <f>W71/'Sales 2023'!W10</f>
        <v>-2.4950099800399202E-2</v>
      </c>
    </row>
    <row r="72" spans="3:24" x14ac:dyDescent="0.35">
      <c r="I72" s="582" t="s">
        <v>47</v>
      </c>
      <c r="J72" s="431"/>
      <c r="K72" s="432">
        <f>K12-'Sales 2023'!K12</f>
        <v>405</v>
      </c>
      <c r="L72" s="432">
        <f>L12-'Sales 2023'!L12</f>
        <v>-550</v>
      </c>
      <c r="M72" s="432">
        <f>M12-'Sales 2023'!M12</f>
        <v>-27</v>
      </c>
      <c r="N72" s="432">
        <f>N12-'Sales 2023'!N12</f>
        <v>545</v>
      </c>
      <c r="O72" s="432">
        <f>O12-'Sales 2023'!O12</f>
        <v>826</v>
      </c>
      <c r="P72" s="432">
        <f>P12-'Sales 2023'!P12</f>
        <v>-220</v>
      </c>
      <c r="Q72" s="432">
        <f>Q12-'Sales 2023'!Q12</f>
        <v>-280</v>
      </c>
      <c r="R72" s="432">
        <f>R12-'Sales 2023'!R12</f>
        <v>380</v>
      </c>
      <c r="S72" s="432">
        <f>S12-'Sales 2023'!S12</f>
        <v>415</v>
      </c>
      <c r="T72" s="432">
        <f>T12-'Sales 2023'!T12</f>
        <v>145</v>
      </c>
      <c r="U72" s="432">
        <f>U12-'Sales 2023'!U12</f>
        <v>2415</v>
      </c>
      <c r="V72" s="432">
        <f>V12-'Sales 2023'!V12</f>
        <v>-225</v>
      </c>
      <c r="W72" s="432">
        <f>W12-'Sales 2023'!W12</f>
        <v>3829</v>
      </c>
      <c r="X72" s="445">
        <f>W72/'Sales 2023'!W11</f>
        <v>3.907142857142857</v>
      </c>
    </row>
    <row r="73" spans="3:24" x14ac:dyDescent="0.35">
      <c r="I73" s="582" t="s">
        <v>50</v>
      </c>
      <c r="J73" s="431"/>
      <c r="K73" s="432">
        <f>K13-'Sales 2023'!K13</f>
        <v>100</v>
      </c>
      <c r="L73" s="432">
        <f>L13-'Sales 2023'!L13</f>
        <v>200</v>
      </c>
      <c r="M73" s="432">
        <f>M13-'Sales 2023'!M13</f>
        <v>-1050</v>
      </c>
      <c r="N73" s="432">
        <f>N13-'Sales 2023'!N13</f>
        <v>-175</v>
      </c>
      <c r="O73" s="432">
        <f>O13-'Sales 2023'!O13</f>
        <v>-425</v>
      </c>
      <c r="P73" s="432">
        <f>P13-'Sales 2023'!P13</f>
        <v>150</v>
      </c>
      <c r="Q73" s="432">
        <f>Q13-'Sales 2023'!Q13</f>
        <v>-225</v>
      </c>
      <c r="R73" s="432">
        <f>R13-'Sales 2023'!R13</f>
        <v>-199</v>
      </c>
      <c r="S73" s="432">
        <f>S13-'Sales 2023'!S13</f>
        <v>-50</v>
      </c>
      <c r="T73" s="432">
        <f>T13-'Sales 2023'!T13</f>
        <v>40</v>
      </c>
      <c r="U73" s="432">
        <f>U13-'Sales 2023'!U13</f>
        <v>-825</v>
      </c>
      <c r="V73" s="432">
        <f>V13-'Sales 2023'!V13</f>
        <v>310</v>
      </c>
      <c r="W73" s="432">
        <f>W13-'Sales 2023'!W13</f>
        <v>-2149</v>
      </c>
      <c r="X73" s="445">
        <f>W73/'Sales 2023'!W12</f>
        <v>-0.34700468270628126</v>
      </c>
    </row>
    <row r="74" spans="3:24" x14ac:dyDescent="0.35">
      <c r="I74" s="582" t="s">
        <v>53</v>
      </c>
      <c r="J74" s="431"/>
      <c r="K74" s="432">
        <f>K14-'Sales 2023'!K14</f>
        <v>-200</v>
      </c>
      <c r="L74" s="432">
        <f>L14-'Sales 2023'!L14</f>
        <v>-358</v>
      </c>
      <c r="M74" s="432">
        <f>M14-'Sales 2023'!M14</f>
        <v>352</v>
      </c>
      <c r="N74" s="432">
        <f>N14-'Sales 2023'!N14</f>
        <v>-125</v>
      </c>
      <c r="O74" s="432">
        <f>O14-'Sales 2023'!O14</f>
        <v>75</v>
      </c>
      <c r="P74" s="432">
        <f>P14-'Sales 2023'!P14</f>
        <v>-139</v>
      </c>
      <c r="Q74" s="432">
        <f>Q14-'Sales 2023'!Q14</f>
        <v>-190</v>
      </c>
      <c r="R74" s="432">
        <f>R14-'Sales 2023'!R14</f>
        <v>0</v>
      </c>
      <c r="S74" s="432">
        <f>S14-'Sales 2023'!S14</f>
        <v>500</v>
      </c>
      <c r="T74" s="432">
        <f>T14-'Sales 2023'!T14</f>
        <v>12</v>
      </c>
      <c r="U74" s="432">
        <f>U14-'Sales 2023'!U14</f>
        <v>250</v>
      </c>
      <c r="V74" s="432">
        <f>V14-'Sales 2023'!V14</f>
        <v>50</v>
      </c>
      <c r="W74" s="432">
        <f>W14-'Sales 2023'!W14</f>
        <v>227</v>
      </c>
      <c r="X74" s="445">
        <f>W74/'Sales 2023'!W13</f>
        <v>6.0695187165775398E-2</v>
      </c>
    </row>
    <row r="75" spans="3:24" x14ac:dyDescent="0.35">
      <c r="I75" s="582" t="s">
        <v>56</v>
      </c>
      <c r="J75" s="431"/>
      <c r="K75" s="432">
        <f>K15-'Sales 2023'!K15</f>
        <v>-169.98000000000002</v>
      </c>
      <c r="L75" s="432">
        <f>L15-'Sales 2023'!L15</f>
        <v>60.620000000000019</v>
      </c>
      <c r="M75" s="432">
        <f>M15-'Sales 2023'!M15</f>
        <v>-79.670000000000016</v>
      </c>
      <c r="N75" s="432">
        <f>N15-'Sales 2023'!N15</f>
        <v>406.82</v>
      </c>
      <c r="O75" s="432">
        <f>O15-'Sales 2023'!O15</f>
        <v>-1079.05</v>
      </c>
      <c r="P75" s="432">
        <f>P15-'Sales 2023'!P15</f>
        <v>-148.16999999999996</v>
      </c>
      <c r="Q75" s="432">
        <f>Q15-'Sales 2023'!Q15</f>
        <v>-29.84</v>
      </c>
      <c r="R75" s="432">
        <f>R15-'Sales 2023'!R15</f>
        <v>36.19</v>
      </c>
      <c r="S75" s="432">
        <f>S15-'Sales 2023'!S15</f>
        <v>4.91</v>
      </c>
      <c r="T75" s="432">
        <f>T15-'Sales 2023'!T15</f>
        <v>-35</v>
      </c>
      <c r="U75" s="432">
        <f>U15-'Sales 2023'!U15</f>
        <v>-86.8</v>
      </c>
      <c r="V75" s="432">
        <f>V15-'Sales 2023'!V15</f>
        <v>-265.06</v>
      </c>
      <c r="W75" s="432">
        <f>W15-'Sales 2023'!W15</f>
        <v>-1385.0300000000002</v>
      </c>
      <c r="X75" s="445">
        <f>W75/'Sales 2023'!W14</f>
        <v>0.99143163922691491</v>
      </c>
    </row>
    <row r="76" spans="3:24" x14ac:dyDescent="0.35">
      <c r="I76" s="582" t="s">
        <v>59</v>
      </c>
      <c r="J76" s="431"/>
      <c r="K76" s="432">
        <f>K16-'Sales 2023'!K16</f>
        <v>-300</v>
      </c>
      <c r="L76" s="432">
        <f>L16-'Sales 2023'!L16</f>
        <v>-300</v>
      </c>
      <c r="M76" s="432">
        <f>M16-'Sales 2023'!M16</f>
        <v>5</v>
      </c>
      <c r="N76" s="432">
        <f>N16-'Sales 2023'!N16</f>
        <v>0</v>
      </c>
      <c r="O76" s="432">
        <f>O16-'Sales 2023'!O16</f>
        <v>-295</v>
      </c>
      <c r="P76" s="432">
        <f>P16-'Sales 2023'!P16</f>
        <v>-520</v>
      </c>
      <c r="Q76" s="432">
        <f>Q16-'Sales 2023'!Q16</f>
        <v>362.5</v>
      </c>
      <c r="R76" s="432">
        <f>R16-'Sales 2023'!R16</f>
        <v>70</v>
      </c>
      <c r="S76" s="432">
        <f>S16-'Sales 2023'!S16</f>
        <v>-200</v>
      </c>
      <c r="T76" s="432">
        <f>T16-'Sales 2023'!T16</f>
        <v>4555</v>
      </c>
      <c r="U76" s="432">
        <f>U16-'Sales 2023'!U16</f>
        <v>-398</v>
      </c>
      <c r="V76" s="432">
        <f>V16-'Sales 2023'!V16</f>
        <v>577</v>
      </c>
      <c r="W76" s="432">
        <f>W16-'Sales 2023'!W16</f>
        <v>3556.5</v>
      </c>
      <c r="X76" s="445">
        <f>W76/'Sales 2023'!W15</f>
        <v>1.5657881992445122</v>
      </c>
    </row>
    <row r="77" spans="3:24" ht="13.15" customHeight="1" thickBot="1" x14ac:dyDescent="0.4">
      <c r="I77" s="582" t="s">
        <v>569</v>
      </c>
      <c r="J77" s="431"/>
      <c r="K77" s="432">
        <f>K17-'Sales 2023'!K17</f>
        <v>-37</v>
      </c>
      <c r="L77" s="432">
        <f>L17-'Sales 2023'!L17</f>
        <v>53</v>
      </c>
      <c r="M77" s="432">
        <f>M17-'Sales 2023'!M17</f>
        <v>13</v>
      </c>
      <c r="N77" s="432">
        <f>N17-'Sales 2023'!N17</f>
        <v>280</v>
      </c>
      <c r="O77" s="432">
        <f>O17-'Sales 2023'!O17</f>
        <v>-1</v>
      </c>
      <c r="P77" s="432">
        <f>P17-'Sales 2023'!P17</f>
        <v>38</v>
      </c>
      <c r="Q77" s="432">
        <f>Q17-'Sales 2023'!Q17</f>
        <v>-24.439999999999998</v>
      </c>
      <c r="R77" s="432">
        <f>R17-'Sales 2023'!R17</f>
        <v>6.0699999999999932</v>
      </c>
      <c r="S77" s="432">
        <f>S17-'Sales 2023'!S17</f>
        <v>-71</v>
      </c>
      <c r="T77" s="432">
        <f>T17-'Sales 2023'!T17</f>
        <v>37.649999999999991</v>
      </c>
      <c r="U77" s="432">
        <f>U17-'Sales 2023'!U17</f>
        <v>-20.18</v>
      </c>
      <c r="V77" s="432">
        <f>V17-'Sales 2023'!V17</f>
        <v>25</v>
      </c>
      <c r="W77" s="432">
        <f>W17-'Sales 2023'!W17</f>
        <v>299.09999999999997</v>
      </c>
      <c r="X77" s="445">
        <f>W77/'Sales 2023'!W16</f>
        <v>8.5457142857142843E-2</v>
      </c>
    </row>
    <row r="78" spans="3:24" ht="13.9" customHeight="1" thickTop="1" thickBot="1" x14ac:dyDescent="0.45">
      <c r="I78" s="437" t="s">
        <v>63</v>
      </c>
      <c r="J78" s="438"/>
      <c r="K78" s="587">
        <f t="shared" ref="K78:W78" si="44">SUM(K66:K77)</f>
        <v>-2932.48</v>
      </c>
      <c r="L78" s="587">
        <f t="shared" si="44"/>
        <v>240.5200000000001</v>
      </c>
      <c r="M78" s="587">
        <f t="shared" si="44"/>
        <v>-5629.17</v>
      </c>
      <c r="N78" s="587">
        <f t="shared" si="44"/>
        <v>2085.17</v>
      </c>
      <c r="O78" s="587">
        <f t="shared" si="44"/>
        <v>720.95</v>
      </c>
      <c r="P78" s="587">
        <f t="shared" si="44"/>
        <v>-707.17</v>
      </c>
      <c r="Q78" s="587">
        <f t="shared" si="44"/>
        <v>-1536.78</v>
      </c>
      <c r="R78" s="587">
        <f t="shared" si="44"/>
        <v>-2239.04</v>
      </c>
      <c r="S78" s="587">
        <f t="shared" si="44"/>
        <v>634.86</v>
      </c>
      <c r="T78" s="587">
        <f t="shared" si="44"/>
        <v>4541.95</v>
      </c>
      <c r="U78" s="587">
        <f t="shared" si="44"/>
        <v>-189.77999999999997</v>
      </c>
      <c r="V78" s="587">
        <f t="shared" si="44"/>
        <v>-5595.06</v>
      </c>
      <c r="W78" s="789">
        <f t="shared" si="44"/>
        <v>-10606.03</v>
      </c>
      <c r="X78" s="445">
        <f>W78/'Sales 2023'!W17</f>
        <v>-23.160304843429273</v>
      </c>
    </row>
    <row r="79" spans="3:24" ht="13.15" customHeight="1" thickTop="1" x14ac:dyDescent="0.35"/>
    <row r="80" spans="3:24" ht="13.9" customHeight="1" x14ac:dyDescent="0.4">
      <c r="C80" s="427"/>
      <c r="D80" s="45"/>
      <c r="E80" s="751"/>
      <c r="F80" s="781"/>
      <c r="G80" s="763"/>
      <c r="I80" s="420" t="s">
        <v>140</v>
      </c>
      <c r="J80" s="557" t="s">
        <v>154</v>
      </c>
      <c r="K80" s="577" t="s">
        <v>142</v>
      </c>
      <c r="L80" s="577" t="s">
        <v>143</v>
      </c>
      <c r="M80" s="577" t="s">
        <v>144</v>
      </c>
      <c r="N80" s="577" t="s">
        <v>145</v>
      </c>
      <c r="O80" s="577" t="s">
        <v>146</v>
      </c>
      <c r="P80" s="577" t="s">
        <v>147</v>
      </c>
      <c r="Q80" s="577" t="s">
        <v>148</v>
      </c>
      <c r="R80" s="577" t="s">
        <v>149</v>
      </c>
      <c r="S80" s="577" t="s">
        <v>150</v>
      </c>
      <c r="T80" s="577" t="s">
        <v>151</v>
      </c>
      <c r="U80" s="577" t="s">
        <v>152</v>
      </c>
      <c r="V80" s="577" t="s">
        <v>153</v>
      </c>
      <c r="W80" s="577" t="s">
        <v>19</v>
      </c>
    </row>
    <row r="81" spans="9:23" x14ac:dyDescent="0.35">
      <c r="I81" s="581" t="s">
        <v>28</v>
      </c>
      <c r="J81" s="431"/>
      <c r="K81" s="432">
        <f t="shared" ref="K81:K92" si="45">COUNTIFS($A$205:$A$513,"&gt;31/12/2023",$A$205:$A$513,"&lt;1/2/2024",$C$205:$C$513,I81)</f>
        <v>3</v>
      </c>
      <c r="L81" s="432">
        <f t="shared" ref="L81:L92" si="46">COUNTIFS($A$205:$A$513,"&gt;31/1/2024",$A$205:$A$513,"&lt;1/3/2024",$C$205:$C$513,$I81)</f>
        <v>2</v>
      </c>
      <c r="M81" s="432">
        <f t="shared" ref="M81:M92" si="47">COUNTIFS($A$205:$A$513,"&gt;28/2/2024",$A$205:$A$513,"&lt;1/4/2024",$C$205:$C$513,$I81)</f>
        <v>0</v>
      </c>
      <c r="N81" s="432">
        <f t="shared" ref="N81:N92" si="48">COUNTIFS($A$205:$A$513,"&gt;31/3/2024",$A$205:$A$513,"&lt;1/5/2024",$C$205:$C$513,$I81)</f>
        <v>7</v>
      </c>
      <c r="O81" s="432">
        <f t="shared" ref="O81:O92" si="49">COUNTIFS($A$205:$A$513,"&gt;30/4/2024",$A$205:$A$513,"&lt;1/6/2024",$C$205:$C$513,$I81)</f>
        <v>2</v>
      </c>
      <c r="P81" s="432">
        <f t="shared" ref="P81:P92" si="50">COUNTIFS($A$205:$A$513,"&gt;31/5/2024",$A$205:$A$513,"&lt;1/7/2024",$C$205:$C$513,$I81)</f>
        <v>0</v>
      </c>
      <c r="Q81" s="432">
        <f t="shared" ref="Q81:Q92" si="51">COUNTIFS($A$205:$A$513,"&gt;30/6/2024",$A$205:$A$513,"&lt;1/8/2024",$C$205:$C$513,$I81)</f>
        <v>1</v>
      </c>
      <c r="R81" s="432">
        <f t="shared" ref="R81:R92" si="52">COUNTIFS($A$205:$A$513,"&gt;31/7/2024",$A$205:$A$513,"&lt;1/9/2024",$C$205:$C$513,$I81)</f>
        <v>4</v>
      </c>
      <c r="S81" s="432">
        <f t="shared" ref="S81:S92" si="53">COUNTIFS($A$205:$A$513,"&gt;31/8/2024",$A$205:$A$513,"&lt;1/10/2024",$C$205:$C$513,$I81)</f>
        <v>0</v>
      </c>
      <c r="T81" s="432">
        <f t="shared" ref="T81:T92" si="54">COUNTIFS($A$205:$A$513,"&gt;30/9/2024",$A$205:$A$513,"&lt;1/11/2024",$C$205:$C$513,$I81)</f>
        <v>1</v>
      </c>
      <c r="U81" s="432">
        <f t="shared" ref="U81:U92" si="55">COUNTIFS($A$205:$A$513,"&gt;31/10/2024",$A$205:$A$513,"&lt;1/12/2024",$C$205:$C$513,$I81)</f>
        <v>1</v>
      </c>
      <c r="V81" s="432">
        <f t="shared" ref="V81:V92" si="56">COUNTIFS($A$205:$A$513,"&gt;30/11/2024",$A$205:$A$513,"&lt;1/1/2025",$C$205:$C$513,$I81)</f>
        <v>1</v>
      </c>
      <c r="W81" s="431">
        <f t="shared" ref="W81:W92" si="57">SUM(K81:V81)</f>
        <v>22</v>
      </c>
    </row>
    <row r="82" spans="9:23" x14ac:dyDescent="0.35">
      <c r="I82" s="581" t="s">
        <v>31</v>
      </c>
      <c r="J82" s="431"/>
      <c r="K82" s="432">
        <f t="shared" si="45"/>
        <v>12</v>
      </c>
      <c r="L82" s="432">
        <f t="shared" si="46"/>
        <v>16</v>
      </c>
      <c r="M82" s="432">
        <f t="shared" si="47"/>
        <v>10</v>
      </c>
      <c r="N82" s="432">
        <f t="shared" si="48"/>
        <v>20</v>
      </c>
      <c r="O82" s="432">
        <f t="shared" si="49"/>
        <v>3</v>
      </c>
      <c r="P82" s="432">
        <f t="shared" si="50"/>
        <v>3</v>
      </c>
      <c r="Q82" s="432">
        <f t="shared" si="51"/>
        <v>0</v>
      </c>
      <c r="R82" s="432">
        <f t="shared" si="52"/>
        <v>6</v>
      </c>
      <c r="S82" s="432">
        <f t="shared" si="53"/>
        <v>11</v>
      </c>
      <c r="T82" s="432">
        <f t="shared" si="54"/>
        <v>10</v>
      </c>
      <c r="U82" s="432">
        <f t="shared" si="55"/>
        <v>3</v>
      </c>
      <c r="V82" s="432">
        <f t="shared" si="56"/>
        <v>3</v>
      </c>
      <c r="W82" s="431">
        <f t="shared" si="57"/>
        <v>97</v>
      </c>
    </row>
    <row r="83" spans="9:23" x14ac:dyDescent="0.35">
      <c r="I83" s="582" t="s">
        <v>35</v>
      </c>
      <c r="J83" s="431"/>
      <c r="K83" s="432">
        <f t="shared" si="45"/>
        <v>1</v>
      </c>
      <c r="L83" s="432">
        <f t="shared" si="46"/>
        <v>2</v>
      </c>
      <c r="M83" s="432">
        <f t="shared" si="47"/>
        <v>1</v>
      </c>
      <c r="N83" s="432">
        <f t="shared" si="48"/>
        <v>3</v>
      </c>
      <c r="O83" s="432">
        <f t="shared" si="49"/>
        <v>3</v>
      </c>
      <c r="P83" s="432">
        <f t="shared" si="50"/>
        <v>4</v>
      </c>
      <c r="Q83" s="432">
        <f t="shared" si="51"/>
        <v>4</v>
      </c>
      <c r="R83" s="432">
        <f t="shared" si="52"/>
        <v>1</v>
      </c>
      <c r="S83" s="432">
        <f t="shared" si="53"/>
        <v>2</v>
      </c>
      <c r="T83" s="432">
        <f t="shared" si="54"/>
        <v>1</v>
      </c>
      <c r="U83" s="432">
        <f t="shared" si="55"/>
        <v>0</v>
      </c>
      <c r="V83" s="432">
        <f t="shared" si="56"/>
        <v>0</v>
      </c>
      <c r="W83" s="431">
        <f t="shared" si="57"/>
        <v>22</v>
      </c>
    </row>
    <row r="84" spans="9:23" x14ac:dyDescent="0.35">
      <c r="I84" s="581" t="s">
        <v>37</v>
      </c>
      <c r="J84" s="431"/>
      <c r="K84" s="432">
        <f t="shared" si="45"/>
        <v>1</v>
      </c>
      <c r="L84" s="432">
        <f t="shared" si="46"/>
        <v>1</v>
      </c>
      <c r="M84" s="432">
        <f t="shared" si="47"/>
        <v>1</v>
      </c>
      <c r="N84" s="432">
        <f t="shared" si="48"/>
        <v>1</v>
      </c>
      <c r="O84" s="432">
        <f t="shared" si="49"/>
        <v>1</v>
      </c>
      <c r="P84" s="432">
        <f t="shared" si="50"/>
        <v>0</v>
      </c>
      <c r="Q84" s="432">
        <f t="shared" si="51"/>
        <v>0</v>
      </c>
      <c r="R84" s="432">
        <f t="shared" si="52"/>
        <v>1</v>
      </c>
      <c r="S84" s="432">
        <f t="shared" si="53"/>
        <v>0</v>
      </c>
      <c r="T84" s="432">
        <f t="shared" si="54"/>
        <v>0</v>
      </c>
      <c r="U84" s="432">
        <f t="shared" si="55"/>
        <v>1</v>
      </c>
      <c r="V84" s="432">
        <f t="shared" si="56"/>
        <v>0</v>
      </c>
      <c r="W84" s="431">
        <f t="shared" si="57"/>
        <v>7</v>
      </c>
    </row>
    <row r="85" spans="9:23" x14ac:dyDescent="0.35">
      <c r="I85" s="581" t="s">
        <v>41</v>
      </c>
      <c r="J85" s="431"/>
      <c r="K85" s="432">
        <f t="shared" si="45"/>
        <v>5</v>
      </c>
      <c r="L85" s="432">
        <f t="shared" si="46"/>
        <v>3</v>
      </c>
      <c r="M85" s="432">
        <f t="shared" si="47"/>
        <v>2</v>
      </c>
      <c r="N85" s="432">
        <f t="shared" si="48"/>
        <v>6</v>
      </c>
      <c r="O85" s="432">
        <f t="shared" si="49"/>
        <v>2</v>
      </c>
      <c r="P85" s="432">
        <f t="shared" si="50"/>
        <v>0</v>
      </c>
      <c r="Q85" s="432">
        <f t="shared" si="51"/>
        <v>0</v>
      </c>
      <c r="R85" s="432">
        <f t="shared" si="52"/>
        <v>0</v>
      </c>
      <c r="S85" s="432">
        <f t="shared" si="53"/>
        <v>0</v>
      </c>
      <c r="T85" s="432">
        <f t="shared" si="54"/>
        <v>0</v>
      </c>
      <c r="U85" s="432">
        <f t="shared" si="55"/>
        <v>0</v>
      </c>
      <c r="V85" s="432">
        <f t="shared" si="56"/>
        <v>0</v>
      </c>
      <c r="W85" s="431">
        <f t="shared" si="57"/>
        <v>18</v>
      </c>
    </row>
    <row r="86" spans="9:23" x14ac:dyDescent="0.35">
      <c r="I86" s="581" t="s">
        <v>44</v>
      </c>
      <c r="J86" s="431"/>
      <c r="K86" s="432">
        <f t="shared" si="45"/>
        <v>2</v>
      </c>
      <c r="L86" s="432">
        <f t="shared" si="46"/>
        <v>3</v>
      </c>
      <c r="M86" s="432">
        <f t="shared" si="47"/>
        <v>1</v>
      </c>
      <c r="N86" s="432">
        <f t="shared" si="48"/>
        <v>1</v>
      </c>
      <c r="O86" s="432">
        <f t="shared" si="49"/>
        <v>1</v>
      </c>
      <c r="P86" s="432">
        <f t="shared" si="50"/>
        <v>1</v>
      </c>
      <c r="Q86" s="432">
        <f t="shared" si="51"/>
        <v>1</v>
      </c>
      <c r="R86" s="432">
        <f t="shared" si="52"/>
        <v>2</v>
      </c>
      <c r="S86" s="432">
        <f t="shared" si="53"/>
        <v>1</v>
      </c>
      <c r="T86" s="432">
        <f t="shared" si="54"/>
        <v>2</v>
      </c>
      <c r="U86" s="432">
        <f t="shared" si="55"/>
        <v>2</v>
      </c>
      <c r="V86" s="432">
        <f t="shared" si="56"/>
        <v>1</v>
      </c>
      <c r="W86" s="431">
        <f t="shared" si="57"/>
        <v>18</v>
      </c>
    </row>
    <row r="87" spans="9:23" x14ac:dyDescent="0.35">
      <c r="I87" s="582" t="s">
        <v>47</v>
      </c>
      <c r="J87" s="431"/>
      <c r="K87" s="432">
        <f t="shared" si="45"/>
        <v>4</v>
      </c>
      <c r="L87" s="432">
        <f t="shared" si="46"/>
        <v>2</v>
      </c>
      <c r="M87" s="432">
        <f t="shared" si="47"/>
        <v>4</v>
      </c>
      <c r="N87" s="432">
        <f t="shared" si="48"/>
        <v>3</v>
      </c>
      <c r="O87" s="432">
        <f t="shared" si="49"/>
        <v>6</v>
      </c>
      <c r="P87" s="432">
        <f t="shared" si="50"/>
        <v>2</v>
      </c>
      <c r="Q87" s="432">
        <f t="shared" si="51"/>
        <v>5</v>
      </c>
      <c r="R87" s="432">
        <f t="shared" si="52"/>
        <v>5</v>
      </c>
      <c r="S87" s="432">
        <f t="shared" si="53"/>
        <v>3</v>
      </c>
      <c r="T87" s="432">
        <f t="shared" si="54"/>
        <v>3</v>
      </c>
      <c r="U87" s="432">
        <f t="shared" si="55"/>
        <v>6</v>
      </c>
      <c r="V87" s="432">
        <f t="shared" si="56"/>
        <v>3</v>
      </c>
      <c r="W87" s="431">
        <f t="shared" si="57"/>
        <v>46</v>
      </c>
    </row>
    <row r="88" spans="9:23" x14ac:dyDescent="0.35">
      <c r="I88" s="582" t="s">
        <v>50</v>
      </c>
      <c r="J88" s="431"/>
      <c r="K88" s="432">
        <f t="shared" si="45"/>
        <v>1</v>
      </c>
      <c r="L88" s="432">
        <f t="shared" si="46"/>
        <v>2</v>
      </c>
      <c r="M88" s="432">
        <f t="shared" si="47"/>
        <v>0</v>
      </c>
      <c r="N88" s="432">
        <f t="shared" si="48"/>
        <v>0</v>
      </c>
      <c r="O88" s="432">
        <f t="shared" si="49"/>
        <v>0</v>
      </c>
      <c r="P88" s="432">
        <f t="shared" si="50"/>
        <v>2</v>
      </c>
      <c r="Q88" s="432">
        <f t="shared" si="51"/>
        <v>0</v>
      </c>
      <c r="R88" s="432">
        <f t="shared" si="52"/>
        <v>1</v>
      </c>
      <c r="S88" s="432">
        <f t="shared" si="53"/>
        <v>1</v>
      </c>
      <c r="T88" s="432">
        <f t="shared" si="54"/>
        <v>2</v>
      </c>
      <c r="U88" s="432">
        <f t="shared" si="55"/>
        <v>2</v>
      </c>
      <c r="V88" s="432">
        <f t="shared" si="56"/>
        <v>4</v>
      </c>
      <c r="W88" s="431">
        <f t="shared" si="57"/>
        <v>15</v>
      </c>
    </row>
    <row r="89" spans="9:23" x14ac:dyDescent="0.35">
      <c r="I89" s="582" t="s">
        <v>53</v>
      </c>
      <c r="J89" s="431"/>
      <c r="K89" s="432">
        <f t="shared" si="45"/>
        <v>2</v>
      </c>
      <c r="L89" s="432">
        <f t="shared" si="46"/>
        <v>5</v>
      </c>
      <c r="M89" s="432">
        <f t="shared" si="47"/>
        <v>1</v>
      </c>
      <c r="N89" s="432">
        <f t="shared" si="48"/>
        <v>1</v>
      </c>
      <c r="O89" s="432">
        <f t="shared" si="49"/>
        <v>1</v>
      </c>
      <c r="P89" s="432">
        <f t="shared" si="50"/>
        <v>2</v>
      </c>
      <c r="Q89" s="432">
        <f t="shared" si="51"/>
        <v>2</v>
      </c>
      <c r="R89" s="432">
        <f t="shared" si="52"/>
        <v>0</v>
      </c>
      <c r="S89" s="432">
        <f t="shared" si="53"/>
        <v>0</v>
      </c>
      <c r="T89" s="432">
        <f t="shared" si="54"/>
        <v>0</v>
      </c>
      <c r="U89" s="432">
        <f t="shared" si="55"/>
        <v>0</v>
      </c>
      <c r="V89" s="432">
        <f t="shared" si="56"/>
        <v>0</v>
      </c>
      <c r="W89" s="431">
        <f t="shared" si="57"/>
        <v>14</v>
      </c>
    </row>
    <row r="90" spans="9:23" x14ac:dyDescent="0.35">
      <c r="I90" s="582" t="s">
        <v>56</v>
      </c>
      <c r="J90" s="431"/>
      <c r="K90" s="432">
        <f t="shared" si="45"/>
        <v>0</v>
      </c>
      <c r="L90" s="432">
        <f t="shared" si="46"/>
        <v>2</v>
      </c>
      <c r="M90" s="432">
        <f t="shared" si="47"/>
        <v>1</v>
      </c>
      <c r="N90" s="432">
        <f t="shared" si="48"/>
        <v>2</v>
      </c>
      <c r="O90" s="432">
        <f t="shared" si="49"/>
        <v>1</v>
      </c>
      <c r="P90" s="432">
        <f t="shared" si="50"/>
        <v>1</v>
      </c>
      <c r="Q90" s="432">
        <f t="shared" si="51"/>
        <v>0</v>
      </c>
      <c r="R90" s="432">
        <f t="shared" si="52"/>
        <v>2</v>
      </c>
      <c r="S90" s="432">
        <f t="shared" si="53"/>
        <v>1</v>
      </c>
      <c r="T90" s="432">
        <f t="shared" si="54"/>
        <v>0</v>
      </c>
      <c r="U90" s="432">
        <f t="shared" si="55"/>
        <v>1</v>
      </c>
      <c r="V90" s="432">
        <f t="shared" si="56"/>
        <v>0</v>
      </c>
      <c r="W90" s="431">
        <f t="shared" si="57"/>
        <v>11</v>
      </c>
    </row>
    <row r="91" spans="9:23" x14ac:dyDescent="0.35">
      <c r="I91" s="582" t="s">
        <v>59</v>
      </c>
      <c r="J91" s="431"/>
      <c r="K91" s="432">
        <f t="shared" si="45"/>
        <v>0</v>
      </c>
      <c r="L91" s="432">
        <f t="shared" si="46"/>
        <v>0</v>
      </c>
      <c r="M91" s="432">
        <f t="shared" si="47"/>
        <v>1</v>
      </c>
      <c r="N91" s="432">
        <f t="shared" si="48"/>
        <v>0</v>
      </c>
      <c r="O91" s="432">
        <f t="shared" si="49"/>
        <v>0</v>
      </c>
      <c r="P91" s="432">
        <f t="shared" si="50"/>
        <v>0</v>
      </c>
      <c r="Q91" s="432">
        <f t="shared" si="51"/>
        <v>3</v>
      </c>
      <c r="R91" s="432">
        <f t="shared" si="52"/>
        <v>1</v>
      </c>
      <c r="S91" s="432">
        <f t="shared" si="53"/>
        <v>0</v>
      </c>
      <c r="T91" s="432">
        <f t="shared" si="54"/>
        <v>1</v>
      </c>
      <c r="U91" s="432">
        <f t="shared" si="55"/>
        <v>3</v>
      </c>
      <c r="V91" s="432">
        <f t="shared" si="56"/>
        <v>3</v>
      </c>
      <c r="W91" s="431">
        <f t="shared" si="57"/>
        <v>12</v>
      </c>
    </row>
    <row r="92" spans="9:23" x14ac:dyDescent="0.35">
      <c r="I92" s="582" t="s">
        <v>569</v>
      </c>
      <c r="J92" s="431"/>
      <c r="K92" s="432">
        <f t="shared" si="45"/>
        <v>1</v>
      </c>
      <c r="L92" s="432">
        <f t="shared" si="46"/>
        <v>2</v>
      </c>
      <c r="M92" s="432">
        <f t="shared" si="47"/>
        <v>1</v>
      </c>
      <c r="N92" s="432">
        <f t="shared" si="48"/>
        <v>2</v>
      </c>
      <c r="O92" s="432">
        <f t="shared" si="49"/>
        <v>1</v>
      </c>
      <c r="P92" s="432">
        <f t="shared" si="50"/>
        <v>1</v>
      </c>
      <c r="Q92" s="432">
        <f t="shared" si="51"/>
        <v>2</v>
      </c>
      <c r="R92" s="432">
        <f t="shared" si="52"/>
        <v>2</v>
      </c>
      <c r="S92" s="432">
        <f t="shared" si="53"/>
        <v>0</v>
      </c>
      <c r="T92" s="432">
        <f t="shared" si="54"/>
        <v>2</v>
      </c>
      <c r="U92" s="432">
        <f t="shared" si="55"/>
        <v>0</v>
      </c>
      <c r="V92" s="432">
        <f t="shared" si="56"/>
        <v>1</v>
      </c>
      <c r="W92" s="431">
        <f t="shared" si="57"/>
        <v>15</v>
      </c>
    </row>
    <row r="93" spans="9:23" ht="13.5" customHeight="1" thickBot="1" x14ac:dyDescent="0.45">
      <c r="I93" s="824" t="s">
        <v>63</v>
      </c>
      <c r="J93" s="825"/>
      <c r="K93" s="909">
        <f t="shared" ref="K93:W93" si="58">SUM(K81:K92)</f>
        <v>32</v>
      </c>
      <c r="L93" s="909">
        <f t="shared" si="58"/>
        <v>40</v>
      </c>
      <c r="M93" s="909">
        <f t="shared" si="58"/>
        <v>23</v>
      </c>
      <c r="N93" s="909">
        <f t="shared" si="58"/>
        <v>46</v>
      </c>
      <c r="O93" s="909">
        <f t="shared" si="58"/>
        <v>21</v>
      </c>
      <c r="P93" s="909">
        <f t="shared" si="58"/>
        <v>16</v>
      </c>
      <c r="Q93" s="909">
        <f t="shared" si="58"/>
        <v>18</v>
      </c>
      <c r="R93" s="909">
        <f t="shared" si="58"/>
        <v>25</v>
      </c>
      <c r="S93" s="909">
        <f t="shared" si="58"/>
        <v>19</v>
      </c>
      <c r="T93" s="909">
        <f t="shared" si="58"/>
        <v>22</v>
      </c>
      <c r="U93" s="909">
        <f t="shared" si="58"/>
        <v>19</v>
      </c>
      <c r="V93" s="909">
        <f t="shared" si="58"/>
        <v>16</v>
      </c>
      <c r="W93" s="825">
        <f t="shared" si="58"/>
        <v>297</v>
      </c>
    </row>
    <row r="94" spans="9:23" ht="13.15" customHeight="1" thickTop="1" x14ac:dyDescent="0.35"/>
    <row r="95" spans="9:23" ht="13.15" customHeight="1" x14ac:dyDescent="0.4">
      <c r="I95" s="420" t="s">
        <v>140</v>
      </c>
      <c r="J95" s="557" t="s">
        <v>155</v>
      </c>
      <c r="K95" s="577" t="s">
        <v>142</v>
      </c>
      <c r="L95" s="577" t="s">
        <v>143</v>
      </c>
      <c r="M95" s="577" t="s">
        <v>144</v>
      </c>
      <c r="N95" s="577" t="s">
        <v>145</v>
      </c>
      <c r="O95" s="577" t="s">
        <v>146</v>
      </c>
      <c r="P95" s="577" t="s">
        <v>147</v>
      </c>
      <c r="Q95" s="577" t="s">
        <v>148</v>
      </c>
      <c r="R95" s="577" t="s">
        <v>149</v>
      </c>
      <c r="S95" s="577" t="s">
        <v>150</v>
      </c>
      <c r="T95" s="577" t="s">
        <v>151</v>
      </c>
      <c r="U95" s="577" t="s">
        <v>152</v>
      </c>
      <c r="V95" s="577" t="s">
        <v>153</v>
      </c>
      <c r="W95" s="577" t="s">
        <v>19</v>
      </c>
    </row>
    <row r="96" spans="9:23" x14ac:dyDescent="0.35">
      <c r="I96" s="581" t="s">
        <v>28</v>
      </c>
      <c r="J96" s="431"/>
      <c r="K96" s="432">
        <f t="shared" ref="K96:W96" si="59">IFERROR(K6/K81,0)</f>
        <v>250</v>
      </c>
      <c r="L96" s="432">
        <f t="shared" si="59"/>
        <v>155</v>
      </c>
      <c r="M96" s="432">
        <f t="shared" si="59"/>
        <v>0</v>
      </c>
      <c r="N96" s="432">
        <f t="shared" si="59"/>
        <v>211.42857142857142</v>
      </c>
      <c r="O96" s="432">
        <f t="shared" si="59"/>
        <v>375</v>
      </c>
      <c r="P96" s="432">
        <f t="shared" si="59"/>
        <v>0</v>
      </c>
      <c r="Q96" s="432">
        <f t="shared" si="59"/>
        <v>395</v>
      </c>
      <c r="R96" s="432">
        <f t="shared" si="59"/>
        <v>250</v>
      </c>
      <c r="S96" s="432">
        <f t="shared" si="59"/>
        <v>0</v>
      </c>
      <c r="T96" s="432">
        <f t="shared" si="59"/>
        <v>250</v>
      </c>
      <c r="U96" s="432">
        <f t="shared" si="59"/>
        <v>250</v>
      </c>
      <c r="V96" s="432">
        <f t="shared" si="59"/>
        <v>395</v>
      </c>
      <c r="W96" s="431">
        <f t="shared" si="59"/>
        <v>253.63636363636363</v>
      </c>
    </row>
    <row r="97" spans="9:26" x14ac:dyDescent="0.35">
      <c r="I97" s="581" t="s">
        <v>31</v>
      </c>
      <c r="J97" s="431"/>
      <c r="K97" s="432">
        <f t="shared" ref="K97:W97" si="60">IFERROR(K7/K82,0)</f>
        <v>92</v>
      </c>
      <c r="L97" s="432">
        <f t="shared" si="60"/>
        <v>75.587500000000006</v>
      </c>
      <c r="M97" s="432">
        <f t="shared" si="60"/>
        <v>73.2</v>
      </c>
      <c r="N97" s="432">
        <f t="shared" si="60"/>
        <v>92.467500000000001</v>
      </c>
      <c r="O97" s="432">
        <f t="shared" si="60"/>
        <v>165</v>
      </c>
      <c r="P97" s="432">
        <f t="shared" si="60"/>
        <v>78</v>
      </c>
      <c r="Q97" s="432">
        <f t="shared" si="60"/>
        <v>0</v>
      </c>
      <c r="R97" s="432">
        <f t="shared" si="60"/>
        <v>79.533333333333331</v>
      </c>
      <c r="S97" s="432">
        <f t="shared" si="60"/>
        <v>97.63181818181819</v>
      </c>
      <c r="T97" s="432">
        <f t="shared" si="60"/>
        <v>93.53</v>
      </c>
      <c r="U97" s="432">
        <f t="shared" si="60"/>
        <v>118.06666666666666</v>
      </c>
      <c r="V97" s="432">
        <f t="shared" si="60"/>
        <v>130</v>
      </c>
      <c r="W97" s="431">
        <f t="shared" si="60"/>
        <v>91.282474226804126</v>
      </c>
    </row>
    <row r="98" spans="9:26" x14ac:dyDescent="0.35">
      <c r="I98" s="582" t="s">
        <v>35</v>
      </c>
      <c r="J98" s="431"/>
      <c r="K98" s="432">
        <f t="shared" ref="K98:W98" si="61">IFERROR(K8/K83,0)</f>
        <v>525</v>
      </c>
      <c r="L98" s="432">
        <f t="shared" si="61"/>
        <v>687.5</v>
      </c>
      <c r="M98" s="432">
        <f t="shared" si="61"/>
        <v>825</v>
      </c>
      <c r="N98" s="432">
        <f t="shared" si="61"/>
        <v>855.66666666666663</v>
      </c>
      <c r="O98" s="432">
        <f t="shared" si="61"/>
        <v>650</v>
      </c>
      <c r="P98" s="432">
        <f t="shared" si="61"/>
        <v>318.75</v>
      </c>
      <c r="Q98" s="432">
        <f t="shared" si="61"/>
        <v>75</v>
      </c>
      <c r="R98" s="432">
        <f t="shared" si="61"/>
        <v>180</v>
      </c>
      <c r="S98" s="432">
        <f t="shared" si="61"/>
        <v>535</v>
      </c>
      <c r="T98" s="432">
        <f t="shared" si="61"/>
        <v>895</v>
      </c>
      <c r="U98" s="432">
        <f t="shared" si="61"/>
        <v>0</v>
      </c>
      <c r="V98" s="432">
        <f t="shared" si="61"/>
        <v>0</v>
      </c>
      <c r="W98" s="431">
        <f t="shared" si="61"/>
        <v>498.27272727272725</v>
      </c>
    </row>
    <row r="99" spans="9:26" x14ac:dyDescent="0.35">
      <c r="I99" s="581" t="s">
        <v>37</v>
      </c>
      <c r="J99" s="431"/>
      <c r="K99" s="432">
        <f t="shared" ref="K99:W99" si="62">IFERROR(K9/K84,0)</f>
        <v>300</v>
      </c>
      <c r="L99" s="432">
        <f t="shared" si="62"/>
        <v>50</v>
      </c>
      <c r="M99" s="432">
        <f t="shared" si="62"/>
        <v>50</v>
      </c>
      <c r="N99" s="432">
        <f t="shared" si="62"/>
        <v>250</v>
      </c>
      <c r="O99" s="432">
        <f t="shared" si="62"/>
        <v>250</v>
      </c>
      <c r="P99" s="432">
        <f t="shared" si="62"/>
        <v>0</v>
      </c>
      <c r="Q99" s="432">
        <f t="shared" si="62"/>
        <v>0</v>
      </c>
      <c r="R99" s="432">
        <f t="shared" si="62"/>
        <v>250</v>
      </c>
      <c r="S99" s="432">
        <f t="shared" si="62"/>
        <v>0</v>
      </c>
      <c r="T99" s="432">
        <f t="shared" si="62"/>
        <v>0</v>
      </c>
      <c r="U99" s="432">
        <f t="shared" si="62"/>
        <v>250</v>
      </c>
      <c r="V99" s="432">
        <f t="shared" si="62"/>
        <v>0</v>
      </c>
      <c r="W99" s="431">
        <f t="shared" si="62"/>
        <v>200</v>
      </c>
    </row>
    <row r="100" spans="9:26" x14ac:dyDescent="0.35">
      <c r="I100" s="581" t="s">
        <v>41</v>
      </c>
      <c r="J100" s="431"/>
      <c r="K100" s="432">
        <f t="shared" ref="K100:W100" si="63">IFERROR(K10/K85,0)</f>
        <v>-167.4</v>
      </c>
      <c r="L100" s="432">
        <f t="shared" si="63"/>
        <v>-78.166666666666671</v>
      </c>
      <c r="M100" s="432">
        <f t="shared" si="63"/>
        <v>-487.5</v>
      </c>
      <c r="N100" s="432">
        <f t="shared" si="63"/>
        <v>-331.66666666666669</v>
      </c>
      <c r="O100" s="432">
        <f t="shared" si="63"/>
        <v>-96</v>
      </c>
      <c r="P100" s="432">
        <f t="shared" si="63"/>
        <v>0</v>
      </c>
      <c r="Q100" s="432">
        <f t="shared" si="63"/>
        <v>0</v>
      </c>
      <c r="R100" s="432">
        <f t="shared" si="63"/>
        <v>0</v>
      </c>
      <c r="S100" s="432">
        <f t="shared" si="63"/>
        <v>0</v>
      </c>
      <c r="T100" s="432">
        <f t="shared" si="63"/>
        <v>0</v>
      </c>
      <c r="U100" s="432">
        <f t="shared" si="63"/>
        <v>0</v>
      </c>
      <c r="V100" s="432">
        <f t="shared" si="63"/>
        <v>0</v>
      </c>
      <c r="W100" s="431">
        <f t="shared" si="63"/>
        <v>-234.91666666666666</v>
      </c>
    </row>
    <row r="101" spans="9:26" x14ac:dyDescent="0.35">
      <c r="I101" s="581" t="s">
        <v>44</v>
      </c>
      <c r="J101" s="431"/>
      <c r="K101" s="432">
        <f t="shared" ref="K101:W101" si="64">IFERROR(K11/K86,0)</f>
        <v>40</v>
      </c>
      <c r="L101" s="432">
        <f t="shared" si="64"/>
        <v>40</v>
      </c>
      <c r="M101" s="432">
        <f t="shared" si="64"/>
        <v>100</v>
      </c>
      <c r="N101" s="432">
        <f t="shared" si="64"/>
        <v>80</v>
      </c>
      <c r="O101" s="432">
        <f t="shared" si="64"/>
        <v>80</v>
      </c>
      <c r="P101" s="432">
        <f t="shared" si="64"/>
        <v>80</v>
      </c>
      <c r="Q101" s="432">
        <f t="shared" si="64"/>
        <v>80</v>
      </c>
      <c r="R101" s="432">
        <f t="shared" si="64"/>
        <v>120</v>
      </c>
      <c r="S101" s="432">
        <f t="shared" si="64"/>
        <v>40</v>
      </c>
      <c r="T101" s="432">
        <f t="shared" si="64"/>
        <v>27.5</v>
      </c>
      <c r="U101" s="432">
        <f t="shared" si="64"/>
        <v>35</v>
      </c>
      <c r="V101" s="432">
        <f t="shared" si="64"/>
        <v>55</v>
      </c>
      <c r="W101" s="431">
        <f t="shared" si="64"/>
        <v>60</v>
      </c>
    </row>
    <row r="102" spans="9:26" x14ac:dyDescent="0.35">
      <c r="I102" s="582" t="s">
        <v>47</v>
      </c>
      <c r="J102" s="431"/>
      <c r="K102" s="432">
        <f t="shared" ref="K102:W102" si="65">IFERROR(K12/K87,0)</f>
        <v>148.75</v>
      </c>
      <c r="L102" s="432">
        <f t="shared" si="65"/>
        <v>85</v>
      </c>
      <c r="M102" s="432">
        <f t="shared" si="65"/>
        <v>208.75</v>
      </c>
      <c r="N102" s="432">
        <f t="shared" si="65"/>
        <v>181.66666666666666</v>
      </c>
      <c r="O102" s="432">
        <f t="shared" si="65"/>
        <v>194.5</v>
      </c>
      <c r="P102" s="432">
        <f t="shared" si="65"/>
        <v>212.5</v>
      </c>
      <c r="Q102" s="432">
        <f t="shared" si="65"/>
        <v>55</v>
      </c>
      <c r="R102" s="432">
        <f t="shared" si="65"/>
        <v>239</v>
      </c>
      <c r="S102" s="432">
        <f t="shared" si="65"/>
        <v>296.66666666666669</v>
      </c>
      <c r="T102" s="432">
        <f t="shared" si="65"/>
        <v>168.33333333333334</v>
      </c>
      <c r="U102" s="432">
        <f t="shared" si="65"/>
        <v>500.83333333333331</v>
      </c>
      <c r="V102" s="432">
        <f t="shared" si="65"/>
        <v>138.33333333333334</v>
      </c>
      <c r="W102" s="431">
        <f t="shared" si="65"/>
        <v>217.86956521739131</v>
      </c>
    </row>
    <row r="103" spans="9:26" x14ac:dyDescent="0.35">
      <c r="I103" s="582" t="s">
        <v>50</v>
      </c>
      <c r="J103" s="431"/>
      <c r="K103" s="432">
        <f t="shared" ref="K103:W103" si="66">IFERROR(K13/K88,0)</f>
        <v>100</v>
      </c>
      <c r="L103" s="432">
        <f t="shared" si="66"/>
        <v>100</v>
      </c>
      <c r="M103" s="432">
        <f t="shared" si="66"/>
        <v>0</v>
      </c>
      <c r="N103" s="432">
        <f t="shared" si="66"/>
        <v>0</v>
      </c>
      <c r="O103" s="432">
        <f t="shared" si="66"/>
        <v>0</v>
      </c>
      <c r="P103" s="432">
        <f t="shared" si="66"/>
        <v>75</v>
      </c>
      <c r="Q103" s="432">
        <f t="shared" si="66"/>
        <v>0</v>
      </c>
      <c r="R103" s="432">
        <f t="shared" si="66"/>
        <v>-99</v>
      </c>
      <c r="S103" s="432">
        <f t="shared" si="66"/>
        <v>100</v>
      </c>
      <c r="T103" s="432">
        <f t="shared" si="66"/>
        <v>20</v>
      </c>
      <c r="U103" s="432">
        <f t="shared" si="66"/>
        <v>150</v>
      </c>
      <c r="V103" s="432">
        <f t="shared" si="66"/>
        <v>200</v>
      </c>
      <c r="W103" s="431">
        <f t="shared" si="66"/>
        <v>106.06666666666666</v>
      </c>
    </row>
    <row r="104" spans="9:26" x14ac:dyDescent="0.35">
      <c r="I104" s="582" t="s">
        <v>53</v>
      </c>
      <c r="J104" s="431"/>
      <c r="K104" s="432">
        <f t="shared" ref="K104:W104" si="67">IFERROR(K14/K89,0)</f>
        <v>-100</v>
      </c>
      <c r="L104" s="432">
        <f t="shared" si="67"/>
        <v>-71.599999999999994</v>
      </c>
      <c r="M104" s="432">
        <f t="shared" si="67"/>
        <v>-38</v>
      </c>
      <c r="N104" s="432">
        <f t="shared" si="67"/>
        <v>-125</v>
      </c>
      <c r="O104" s="432">
        <f t="shared" si="67"/>
        <v>-50</v>
      </c>
      <c r="P104" s="432">
        <f t="shared" si="67"/>
        <v>-99.5</v>
      </c>
      <c r="Q104" s="432">
        <f t="shared" si="67"/>
        <v>-100</v>
      </c>
      <c r="R104" s="432">
        <f t="shared" si="67"/>
        <v>0</v>
      </c>
      <c r="S104" s="432">
        <f t="shared" si="67"/>
        <v>0</v>
      </c>
      <c r="T104" s="432">
        <f t="shared" si="67"/>
        <v>0</v>
      </c>
      <c r="U104" s="432">
        <f t="shared" si="67"/>
        <v>0</v>
      </c>
      <c r="V104" s="432">
        <f t="shared" si="67"/>
        <v>0</v>
      </c>
      <c r="W104" s="431">
        <f t="shared" si="67"/>
        <v>-83.571428571428569</v>
      </c>
    </row>
    <row r="105" spans="9:26" x14ac:dyDescent="0.35">
      <c r="I105" s="582" t="s">
        <v>56</v>
      </c>
      <c r="J105" s="431"/>
      <c r="K105" s="432">
        <f t="shared" ref="K105:W105" si="68">IFERROR(K15/K90,0)</f>
        <v>0</v>
      </c>
      <c r="L105" s="432">
        <f t="shared" si="68"/>
        <v>65.600000000000009</v>
      </c>
      <c r="M105" s="432">
        <f t="shared" si="68"/>
        <v>27.63</v>
      </c>
      <c r="N105" s="432">
        <f t="shared" si="68"/>
        <v>226.095</v>
      </c>
      <c r="O105" s="432">
        <f t="shared" si="68"/>
        <v>35.340000000000003</v>
      </c>
      <c r="P105" s="432">
        <f t="shared" si="68"/>
        <v>118.48</v>
      </c>
      <c r="Q105" s="432">
        <f t="shared" si="68"/>
        <v>0</v>
      </c>
      <c r="R105" s="432">
        <f t="shared" si="68"/>
        <v>40.19</v>
      </c>
      <c r="S105" s="432">
        <f t="shared" si="68"/>
        <v>29.51</v>
      </c>
      <c r="T105" s="432">
        <f t="shared" si="68"/>
        <v>0</v>
      </c>
      <c r="U105" s="432">
        <f t="shared" si="68"/>
        <v>11.62</v>
      </c>
      <c r="V105" s="432">
        <f t="shared" si="68"/>
        <v>0</v>
      </c>
      <c r="W105" s="431">
        <f t="shared" si="68"/>
        <v>80.577272727272728</v>
      </c>
    </row>
    <row r="106" spans="9:26" x14ac:dyDescent="0.35">
      <c r="I106" s="582" t="s">
        <v>59</v>
      </c>
      <c r="J106" s="431"/>
      <c r="K106" s="432">
        <f t="shared" ref="K106:W106" si="69">IFERROR(K16/K91,0)</f>
        <v>0</v>
      </c>
      <c r="L106" s="432">
        <f t="shared" si="69"/>
        <v>0</v>
      </c>
      <c r="M106" s="432">
        <f t="shared" si="69"/>
        <v>280</v>
      </c>
      <c r="N106" s="432">
        <f t="shared" si="69"/>
        <v>0</v>
      </c>
      <c r="O106" s="432">
        <f t="shared" si="69"/>
        <v>0</v>
      </c>
      <c r="P106" s="432">
        <f t="shared" si="69"/>
        <v>0</v>
      </c>
      <c r="Q106" s="432">
        <f t="shared" si="69"/>
        <v>120.83333333333333</v>
      </c>
      <c r="R106" s="432">
        <f t="shared" si="69"/>
        <v>245</v>
      </c>
      <c r="S106" s="432">
        <f t="shared" si="69"/>
        <v>0</v>
      </c>
      <c r="T106" s="432">
        <f t="shared" si="69"/>
        <v>5000</v>
      </c>
      <c r="U106" s="432">
        <f t="shared" si="69"/>
        <v>197.33333333333334</v>
      </c>
      <c r="V106" s="432">
        <f t="shared" si="69"/>
        <v>192.33333333333334</v>
      </c>
      <c r="W106" s="431">
        <f t="shared" si="69"/>
        <v>588.04166666666663</v>
      </c>
    </row>
    <row r="107" spans="9:26" x14ac:dyDescent="0.35">
      <c r="I107" s="582" t="s">
        <v>569</v>
      </c>
      <c r="J107" s="431"/>
      <c r="K107" s="432">
        <f t="shared" ref="K107:W107" si="70">IFERROR(K17/K92,0)</f>
        <v>5</v>
      </c>
      <c r="L107" s="432">
        <f t="shared" si="70"/>
        <v>52.5</v>
      </c>
      <c r="M107" s="432">
        <f t="shared" si="70"/>
        <v>30</v>
      </c>
      <c r="N107" s="432">
        <f t="shared" si="70"/>
        <v>140</v>
      </c>
      <c r="O107" s="432">
        <f t="shared" si="70"/>
        <v>30</v>
      </c>
      <c r="P107" s="432">
        <f t="shared" si="70"/>
        <v>40</v>
      </c>
      <c r="Q107" s="432">
        <f t="shared" si="70"/>
        <v>30</v>
      </c>
      <c r="R107" s="432">
        <f t="shared" si="70"/>
        <v>52.5</v>
      </c>
      <c r="S107" s="432">
        <f t="shared" si="70"/>
        <v>0</v>
      </c>
      <c r="T107" s="432">
        <f t="shared" si="70"/>
        <v>38.519999999999996</v>
      </c>
      <c r="U107" s="432">
        <f t="shared" si="70"/>
        <v>0</v>
      </c>
      <c r="V107" s="432">
        <f t="shared" si="70"/>
        <v>25</v>
      </c>
      <c r="W107" s="431">
        <f t="shared" si="70"/>
        <v>50.469333333333331</v>
      </c>
    </row>
    <row r="108" spans="9:26" ht="13.5" customHeight="1" thickBot="1" x14ac:dyDescent="0.45">
      <c r="I108" s="824" t="s">
        <v>63</v>
      </c>
      <c r="J108" s="825"/>
      <c r="K108" s="910">
        <f t="shared" ref="K108:W108" si="71">IFERROR(K18/K93,0)</f>
        <v>75.6875</v>
      </c>
      <c r="L108" s="910">
        <f t="shared" si="71"/>
        <v>76.952500000000001</v>
      </c>
      <c r="M108" s="910">
        <f t="shared" si="71"/>
        <v>81.157826086956533</v>
      </c>
      <c r="N108" s="910">
        <f t="shared" si="71"/>
        <v>117.14217391304348</v>
      </c>
      <c r="O108" s="910">
        <f t="shared" si="71"/>
        <v>215.01619047619047</v>
      </c>
      <c r="P108" s="910">
        <f t="shared" si="71"/>
        <v>132.7175</v>
      </c>
      <c r="Q108" s="910">
        <f t="shared" si="71"/>
        <v>70.694444444444443</v>
      </c>
      <c r="R108" s="910">
        <f t="shared" si="71"/>
        <v>146.94319999999999</v>
      </c>
      <c r="S108" s="910">
        <f t="shared" si="71"/>
        <v>168.60315789473685</v>
      </c>
      <c r="T108" s="910">
        <f t="shared" si="71"/>
        <v>352.60636363636365</v>
      </c>
      <c r="U108" s="910">
        <f t="shared" si="71"/>
        <v>254.35894736842104</v>
      </c>
      <c r="V108" s="910">
        <f t="shared" si="71"/>
        <v>166.0625</v>
      </c>
      <c r="W108" s="825">
        <f t="shared" si="71"/>
        <v>144.076734006734</v>
      </c>
      <c r="Y108" s="558"/>
      <c r="Z108" s="434"/>
    </row>
    <row r="109" spans="9:26" ht="13.15" customHeight="1" thickTop="1" x14ac:dyDescent="0.35">
      <c r="Y109" s="558">
        <f>J124*12</f>
        <v>9.852820244730232</v>
      </c>
      <c r="Z109" s="434">
        <f>W124-Y109</f>
        <v>35124.310679755275</v>
      </c>
    </row>
    <row r="111" spans="9:26" ht="13.15" customHeight="1" x14ac:dyDescent="0.4">
      <c r="I111" s="420" t="s">
        <v>140</v>
      </c>
      <c r="J111" s="557" t="s">
        <v>156</v>
      </c>
      <c r="K111" s="577" t="s">
        <v>142</v>
      </c>
      <c r="L111" s="577" t="s">
        <v>143</v>
      </c>
      <c r="M111" s="577" t="s">
        <v>144</v>
      </c>
      <c r="N111" s="577" t="s">
        <v>145</v>
      </c>
      <c r="O111" s="577" t="s">
        <v>146</v>
      </c>
      <c r="P111" s="577" t="s">
        <v>147</v>
      </c>
      <c r="Q111" s="577" t="s">
        <v>148</v>
      </c>
      <c r="R111" s="577" t="s">
        <v>149</v>
      </c>
      <c r="S111" s="577" t="s">
        <v>150</v>
      </c>
      <c r="T111" s="577" t="s">
        <v>151</v>
      </c>
      <c r="U111" s="577" t="s">
        <v>152</v>
      </c>
      <c r="V111" s="577" t="s">
        <v>153</v>
      </c>
      <c r="W111" s="577" t="s">
        <v>19</v>
      </c>
      <c r="Y111" s="423" t="s">
        <v>22</v>
      </c>
    </row>
    <row r="112" spans="9:26" x14ac:dyDescent="0.35">
      <c r="I112" s="581" t="s">
        <v>28</v>
      </c>
      <c r="J112" s="835">
        <v>0.9</v>
      </c>
      <c r="K112" s="432">
        <f t="shared" ref="K112:V112" si="72">K6*$J112</f>
        <v>675</v>
      </c>
      <c r="L112" s="432">
        <f t="shared" si="72"/>
        <v>279</v>
      </c>
      <c r="M112" s="432">
        <f t="shared" si="72"/>
        <v>0</v>
      </c>
      <c r="N112" s="432">
        <f t="shared" si="72"/>
        <v>1332</v>
      </c>
      <c r="O112" s="432">
        <f t="shared" si="72"/>
        <v>675</v>
      </c>
      <c r="P112" s="432">
        <f t="shared" si="72"/>
        <v>0</v>
      </c>
      <c r="Q112" s="432">
        <f t="shared" si="72"/>
        <v>355.5</v>
      </c>
      <c r="R112" s="432">
        <f t="shared" si="72"/>
        <v>900</v>
      </c>
      <c r="S112" s="432">
        <f t="shared" si="72"/>
        <v>0</v>
      </c>
      <c r="T112" s="432">
        <f t="shared" si="72"/>
        <v>225</v>
      </c>
      <c r="U112" s="432">
        <f t="shared" si="72"/>
        <v>225</v>
      </c>
      <c r="V112" s="432">
        <f t="shared" si="72"/>
        <v>355.5</v>
      </c>
      <c r="W112" s="431">
        <f t="shared" ref="W112:W124" si="73">SUM(K112:V112)</f>
        <v>5022</v>
      </c>
      <c r="Y112" s="460">
        <f>W127/W136</f>
        <v>0.65484301645283949</v>
      </c>
    </row>
    <row r="113" spans="9:25" x14ac:dyDescent="0.35">
      <c r="I113" s="581" t="s">
        <v>31</v>
      </c>
      <c r="J113" s="835">
        <v>0.8</v>
      </c>
      <c r="K113" s="432">
        <f t="shared" ref="K113:V113" si="74">K7*$J113</f>
        <v>883.2</v>
      </c>
      <c r="L113" s="432">
        <f t="shared" si="74"/>
        <v>967.5200000000001</v>
      </c>
      <c r="M113" s="432">
        <f t="shared" si="74"/>
        <v>585.6</v>
      </c>
      <c r="N113" s="432">
        <f t="shared" si="74"/>
        <v>1479.4800000000002</v>
      </c>
      <c r="O113" s="432">
        <f t="shared" si="74"/>
        <v>396</v>
      </c>
      <c r="P113" s="432">
        <f t="shared" si="74"/>
        <v>187.20000000000002</v>
      </c>
      <c r="Q113" s="432">
        <f t="shared" si="74"/>
        <v>0</v>
      </c>
      <c r="R113" s="432">
        <f t="shared" si="74"/>
        <v>381.76</v>
      </c>
      <c r="S113" s="432">
        <f t="shared" si="74"/>
        <v>859.16000000000008</v>
      </c>
      <c r="T113" s="432">
        <f t="shared" si="74"/>
        <v>748.24</v>
      </c>
      <c r="U113" s="432">
        <f t="shared" si="74"/>
        <v>283.36</v>
      </c>
      <c r="V113" s="432">
        <f t="shared" si="74"/>
        <v>312</v>
      </c>
      <c r="W113" s="431">
        <f t="shared" si="73"/>
        <v>7083.5199999999995</v>
      </c>
      <c r="Y113" s="460">
        <f>W128/W136</f>
        <v>9.1420373402781294E-2</v>
      </c>
    </row>
    <row r="114" spans="9:25" x14ac:dyDescent="0.35">
      <c r="I114" s="582" t="s">
        <v>35</v>
      </c>
      <c r="J114" s="835">
        <v>0.5</v>
      </c>
      <c r="K114" s="432">
        <f t="shared" ref="K114:V114" si="75">K8*$J114</f>
        <v>262.5</v>
      </c>
      <c r="L114" s="432">
        <f t="shared" si="75"/>
        <v>687.5</v>
      </c>
      <c r="M114" s="432">
        <f t="shared" si="75"/>
        <v>412.5</v>
      </c>
      <c r="N114" s="432">
        <f t="shared" si="75"/>
        <v>1283.5</v>
      </c>
      <c r="O114" s="432">
        <f t="shared" si="75"/>
        <v>975</v>
      </c>
      <c r="P114" s="432">
        <f t="shared" si="75"/>
        <v>637.5</v>
      </c>
      <c r="Q114" s="432">
        <f t="shared" si="75"/>
        <v>150</v>
      </c>
      <c r="R114" s="432">
        <f t="shared" si="75"/>
        <v>90</v>
      </c>
      <c r="S114" s="432">
        <f t="shared" si="75"/>
        <v>535</v>
      </c>
      <c r="T114" s="432">
        <f t="shared" si="75"/>
        <v>447.5</v>
      </c>
      <c r="U114" s="432">
        <f t="shared" si="75"/>
        <v>0</v>
      </c>
      <c r="V114" s="432">
        <f t="shared" si="75"/>
        <v>0</v>
      </c>
      <c r="W114" s="431">
        <f t="shared" si="73"/>
        <v>5481</v>
      </c>
      <c r="Y114" s="460">
        <f>W129/W136</f>
        <v>0</v>
      </c>
    </row>
    <row r="115" spans="9:25" x14ac:dyDescent="0.35">
      <c r="I115" s="581" t="s">
        <v>37</v>
      </c>
      <c r="J115" s="835">
        <v>0.5</v>
      </c>
      <c r="K115" s="432">
        <f t="shared" ref="K115:V115" si="76">K9*$J115</f>
        <v>150</v>
      </c>
      <c r="L115" s="432">
        <f t="shared" si="76"/>
        <v>25</v>
      </c>
      <c r="M115" s="432">
        <f t="shared" si="76"/>
        <v>25</v>
      </c>
      <c r="N115" s="432">
        <f t="shared" si="76"/>
        <v>125</v>
      </c>
      <c r="O115" s="432">
        <f t="shared" si="76"/>
        <v>125</v>
      </c>
      <c r="P115" s="432">
        <f t="shared" si="76"/>
        <v>0</v>
      </c>
      <c r="Q115" s="432">
        <f t="shared" si="76"/>
        <v>0</v>
      </c>
      <c r="R115" s="432">
        <f t="shared" si="76"/>
        <v>125</v>
      </c>
      <c r="S115" s="432">
        <f t="shared" si="76"/>
        <v>0</v>
      </c>
      <c r="T115" s="432">
        <f t="shared" si="76"/>
        <v>0</v>
      </c>
      <c r="U115" s="432">
        <f t="shared" si="76"/>
        <v>125</v>
      </c>
      <c r="V115" s="432">
        <f t="shared" si="76"/>
        <v>0</v>
      </c>
      <c r="W115" s="431">
        <f t="shared" si="73"/>
        <v>700</v>
      </c>
      <c r="Y115" s="460">
        <f>W130/W136</f>
        <v>0.24988064020318387</v>
      </c>
    </row>
    <row r="116" spans="9:25" x14ac:dyDescent="0.35">
      <c r="I116" s="581" t="s">
        <v>41</v>
      </c>
      <c r="J116" s="835">
        <v>0.45</v>
      </c>
      <c r="K116" s="432">
        <f t="shared" ref="K116:V116" si="77">K10*$J116</f>
        <v>-376.65000000000003</v>
      </c>
      <c r="L116" s="432">
        <f t="shared" si="77"/>
        <v>-105.52500000000001</v>
      </c>
      <c r="M116" s="432">
        <f t="shared" si="77"/>
        <v>-438.75</v>
      </c>
      <c r="N116" s="432">
        <f t="shared" si="77"/>
        <v>-895.5</v>
      </c>
      <c r="O116" s="432">
        <f t="shared" si="77"/>
        <v>-86.4</v>
      </c>
      <c r="P116" s="432">
        <f t="shared" si="77"/>
        <v>0</v>
      </c>
      <c r="Q116" s="432">
        <f t="shared" si="77"/>
        <v>0</v>
      </c>
      <c r="R116" s="432">
        <f t="shared" si="77"/>
        <v>0</v>
      </c>
      <c r="S116" s="432">
        <f t="shared" si="77"/>
        <v>0</v>
      </c>
      <c r="T116" s="432">
        <f t="shared" si="77"/>
        <v>0</v>
      </c>
      <c r="U116" s="432">
        <f t="shared" si="77"/>
        <v>0</v>
      </c>
      <c r="V116" s="432">
        <f t="shared" si="77"/>
        <v>0</v>
      </c>
      <c r="W116" s="431">
        <f t="shared" si="73"/>
        <v>-1902.8250000000003</v>
      </c>
      <c r="Y116" s="460">
        <f>W131/W136</f>
        <v>0</v>
      </c>
    </row>
    <row r="117" spans="9:25" x14ac:dyDescent="0.35">
      <c r="I117" s="581" t="s">
        <v>44</v>
      </c>
      <c r="J117" s="835">
        <v>0.95</v>
      </c>
      <c r="K117" s="432">
        <f t="shared" ref="K117:V117" si="78">K11*$J117</f>
        <v>76</v>
      </c>
      <c r="L117" s="432">
        <f t="shared" si="78"/>
        <v>114</v>
      </c>
      <c r="M117" s="432">
        <f t="shared" si="78"/>
        <v>95</v>
      </c>
      <c r="N117" s="432">
        <f t="shared" si="78"/>
        <v>76</v>
      </c>
      <c r="O117" s="432">
        <f t="shared" si="78"/>
        <v>76</v>
      </c>
      <c r="P117" s="432">
        <f t="shared" si="78"/>
        <v>76</v>
      </c>
      <c r="Q117" s="432">
        <f t="shared" si="78"/>
        <v>76</v>
      </c>
      <c r="R117" s="432">
        <f t="shared" si="78"/>
        <v>228</v>
      </c>
      <c r="S117" s="432">
        <f t="shared" si="78"/>
        <v>38</v>
      </c>
      <c r="T117" s="432">
        <f t="shared" si="78"/>
        <v>52.25</v>
      </c>
      <c r="U117" s="432">
        <f t="shared" si="78"/>
        <v>66.5</v>
      </c>
      <c r="V117" s="432">
        <f t="shared" si="78"/>
        <v>52.25</v>
      </c>
      <c r="W117" s="431">
        <f t="shared" si="73"/>
        <v>1026</v>
      </c>
      <c r="Y117" s="460">
        <f>W132/W136</f>
        <v>5.0244456809514374E-3</v>
      </c>
    </row>
    <row r="118" spans="9:25" x14ac:dyDescent="0.35">
      <c r="I118" s="582" t="s">
        <v>47</v>
      </c>
      <c r="J118" s="835">
        <v>0.95</v>
      </c>
      <c r="K118" s="432">
        <f t="shared" ref="K118:V118" si="79">K12*$J118</f>
        <v>565.25</v>
      </c>
      <c r="L118" s="432">
        <f t="shared" si="79"/>
        <v>161.5</v>
      </c>
      <c r="M118" s="432">
        <f t="shared" si="79"/>
        <v>793.25</v>
      </c>
      <c r="N118" s="432">
        <f t="shared" si="79"/>
        <v>517.75</v>
      </c>
      <c r="O118" s="432">
        <f t="shared" si="79"/>
        <v>1108.6499999999999</v>
      </c>
      <c r="P118" s="432">
        <f t="shared" si="79"/>
        <v>403.75</v>
      </c>
      <c r="Q118" s="432">
        <f t="shared" si="79"/>
        <v>261.25</v>
      </c>
      <c r="R118" s="432">
        <f t="shared" si="79"/>
        <v>1135.25</v>
      </c>
      <c r="S118" s="432">
        <f t="shared" si="79"/>
        <v>845.5</v>
      </c>
      <c r="T118" s="432">
        <f t="shared" si="79"/>
        <v>479.75</v>
      </c>
      <c r="U118" s="432">
        <f t="shared" si="79"/>
        <v>2854.75</v>
      </c>
      <c r="V118" s="432">
        <f t="shared" si="79"/>
        <v>394.25</v>
      </c>
      <c r="W118" s="431">
        <f t="shared" si="73"/>
        <v>9520.9</v>
      </c>
      <c r="Y118" s="460"/>
    </row>
    <row r="119" spans="9:25" x14ac:dyDescent="0.35">
      <c r="I119" s="582" t="s">
        <v>50</v>
      </c>
      <c r="J119" s="835">
        <v>0.6</v>
      </c>
      <c r="K119" s="432">
        <f t="shared" ref="K119:V119" si="80">K13*$J119</f>
        <v>60</v>
      </c>
      <c r="L119" s="432">
        <f t="shared" si="80"/>
        <v>120</v>
      </c>
      <c r="M119" s="432">
        <f t="shared" si="80"/>
        <v>0</v>
      </c>
      <c r="N119" s="432">
        <f t="shared" si="80"/>
        <v>0</v>
      </c>
      <c r="O119" s="432">
        <f t="shared" si="80"/>
        <v>0</v>
      </c>
      <c r="P119" s="432">
        <f t="shared" si="80"/>
        <v>90</v>
      </c>
      <c r="Q119" s="432">
        <f t="shared" si="80"/>
        <v>0</v>
      </c>
      <c r="R119" s="432">
        <f t="shared" si="80"/>
        <v>-59.4</v>
      </c>
      <c r="S119" s="432">
        <f t="shared" si="80"/>
        <v>60</v>
      </c>
      <c r="T119" s="432">
        <f t="shared" si="80"/>
        <v>24</v>
      </c>
      <c r="U119" s="432">
        <f t="shared" si="80"/>
        <v>180</v>
      </c>
      <c r="V119" s="432">
        <f t="shared" si="80"/>
        <v>480</v>
      </c>
      <c r="W119" s="431">
        <f t="shared" si="73"/>
        <v>954.6</v>
      </c>
      <c r="Y119" s="460">
        <f>W134/W136</f>
        <v>0</v>
      </c>
    </row>
    <row r="120" spans="9:25" x14ac:dyDescent="0.35">
      <c r="I120" s="582" t="s">
        <v>53</v>
      </c>
      <c r="J120" s="835">
        <v>0.5</v>
      </c>
      <c r="K120" s="432">
        <f t="shared" ref="K120:V120" si="81">K14*$J120</f>
        <v>-100</v>
      </c>
      <c r="L120" s="432">
        <f t="shared" si="81"/>
        <v>-179</v>
      </c>
      <c r="M120" s="432">
        <f t="shared" si="81"/>
        <v>-19</v>
      </c>
      <c r="N120" s="432">
        <f t="shared" si="81"/>
        <v>-62.5</v>
      </c>
      <c r="O120" s="432">
        <f t="shared" si="81"/>
        <v>-25</v>
      </c>
      <c r="P120" s="432">
        <f t="shared" si="81"/>
        <v>-99.5</v>
      </c>
      <c r="Q120" s="432">
        <f t="shared" si="81"/>
        <v>-100</v>
      </c>
      <c r="R120" s="432">
        <f t="shared" si="81"/>
        <v>0</v>
      </c>
      <c r="S120" s="432">
        <f t="shared" si="81"/>
        <v>0</v>
      </c>
      <c r="T120" s="432">
        <f t="shared" si="81"/>
        <v>0</v>
      </c>
      <c r="U120" s="432">
        <f t="shared" si="81"/>
        <v>0</v>
      </c>
      <c r="V120" s="432">
        <f t="shared" si="81"/>
        <v>0</v>
      </c>
      <c r="W120" s="431">
        <f t="shared" si="73"/>
        <v>-585</v>
      </c>
      <c r="Y120" s="460">
        <f>W135/W136</f>
        <v>0</v>
      </c>
    </row>
    <row r="121" spans="9:25" ht="13.15" customHeight="1" x14ac:dyDescent="0.4">
      <c r="I121" s="582" t="s">
        <v>56</v>
      </c>
      <c r="J121" s="835">
        <v>0.99</v>
      </c>
      <c r="K121" s="432">
        <f t="shared" ref="K121:V121" si="82">K15*$J121</f>
        <v>0</v>
      </c>
      <c r="L121" s="432">
        <f t="shared" si="82"/>
        <v>129.88800000000001</v>
      </c>
      <c r="M121" s="432">
        <f t="shared" si="82"/>
        <v>27.3537</v>
      </c>
      <c r="N121" s="432">
        <f t="shared" si="82"/>
        <v>447.66809999999998</v>
      </c>
      <c r="O121" s="432">
        <f t="shared" si="82"/>
        <v>34.986600000000003</v>
      </c>
      <c r="P121" s="432">
        <f t="shared" si="82"/>
        <v>117.29520000000001</v>
      </c>
      <c r="Q121" s="432">
        <f t="shared" si="82"/>
        <v>0</v>
      </c>
      <c r="R121" s="432">
        <f t="shared" si="82"/>
        <v>79.5762</v>
      </c>
      <c r="S121" s="432">
        <f t="shared" si="82"/>
        <v>29.2149</v>
      </c>
      <c r="T121" s="432">
        <f t="shared" si="82"/>
        <v>0</v>
      </c>
      <c r="U121" s="432">
        <f t="shared" si="82"/>
        <v>11.503799999999998</v>
      </c>
      <c r="V121" s="432">
        <f t="shared" si="82"/>
        <v>0</v>
      </c>
      <c r="W121" s="431">
        <f t="shared" si="73"/>
        <v>877.48649999999998</v>
      </c>
      <c r="Y121" s="466"/>
    </row>
    <row r="122" spans="9:25" x14ac:dyDescent="0.35">
      <c r="I122" s="582" t="s">
        <v>59</v>
      </c>
      <c r="J122" s="835">
        <v>0.9</v>
      </c>
      <c r="K122" s="432">
        <f t="shared" ref="K122:V122" si="83">K16*$J122</f>
        <v>0</v>
      </c>
      <c r="L122" s="432">
        <f t="shared" si="83"/>
        <v>0</v>
      </c>
      <c r="M122" s="432">
        <f t="shared" si="83"/>
        <v>252</v>
      </c>
      <c r="N122" s="432">
        <f t="shared" si="83"/>
        <v>0</v>
      </c>
      <c r="O122" s="432">
        <f t="shared" si="83"/>
        <v>0</v>
      </c>
      <c r="P122" s="432">
        <f t="shared" si="83"/>
        <v>0</v>
      </c>
      <c r="Q122" s="432">
        <f t="shared" si="83"/>
        <v>326.25</v>
      </c>
      <c r="R122" s="432">
        <f t="shared" si="83"/>
        <v>220.5</v>
      </c>
      <c r="S122" s="432">
        <f t="shared" si="83"/>
        <v>0</v>
      </c>
      <c r="T122" s="432">
        <f t="shared" si="83"/>
        <v>4500</v>
      </c>
      <c r="U122" s="432">
        <f t="shared" si="83"/>
        <v>532.80000000000007</v>
      </c>
      <c r="V122" s="432">
        <f t="shared" si="83"/>
        <v>519.30000000000007</v>
      </c>
      <c r="W122" s="431">
        <f t="shared" si="73"/>
        <v>6350.85</v>
      </c>
    </row>
    <row r="123" spans="9:25" x14ac:dyDescent="0.35">
      <c r="I123" s="582" t="s">
        <v>569</v>
      </c>
      <c r="J123" s="835">
        <v>0.8</v>
      </c>
      <c r="K123" s="432">
        <f t="shared" ref="K123:V123" si="84">K17*$J123</f>
        <v>4</v>
      </c>
      <c r="L123" s="432">
        <f t="shared" si="84"/>
        <v>84</v>
      </c>
      <c r="M123" s="432">
        <f t="shared" si="84"/>
        <v>24</v>
      </c>
      <c r="N123" s="432">
        <f t="shared" si="84"/>
        <v>224</v>
      </c>
      <c r="O123" s="432">
        <f t="shared" si="84"/>
        <v>24</v>
      </c>
      <c r="P123" s="432">
        <f t="shared" si="84"/>
        <v>32</v>
      </c>
      <c r="Q123" s="432">
        <f t="shared" si="84"/>
        <v>48</v>
      </c>
      <c r="R123" s="432">
        <f t="shared" si="84"/>
        <v>84</v>
      </c>
      <c r="S123" s="432">
        <f t="shared" si="84"/>
        <v>0</v>
      </c>
      <c r="T123" s="432">
        <f t="shared" si="84"/>
        <v>61.631999999999998</v>
      </c>
      <c r="U123" s="432">
        <f t="shared" si="84"/>
        <v>0</v>
      </c>
      <c r="V123" s="432">
        <f t="shared" si="84"/>
        <v>20</v>
      </c>
      <c r="W123" s="431">
        <f t="shared" si="73"/>
        <v>605.63199999999995</v>
      </c>
      <c r="X123" s="445"/>
    </row>
    <row r="124" spans="9:25" ht="13.5" customHeight="1" thickBot="1" x14ac:dyDescent="0.45">
      <c r="I124" s="821" t="s">
        <v>63</v>
      </c>
      <c r="J124" s="936">
        <f>W124/W18</f>
        <v>0.82106835372751941</v>
      </c>
      <c r="K124" s="911">
        <f t="shared" ref="K124:V124" si="85">SUM(K112:K123)</f>
        <v>2199.3000000000002</v>
      </c>
      <c r="L124" s="911">
        <f t="shared" si="85"/>
        <v>2283.8829999999998</v>
      </c>
      <c r="M124" s="911">
        <f t="shared" si="85"/>
        <v>1756.9536999999998</v>
      </c>
      <c r="N124" s="911">
        <f t="shared" si="85"/>
        <v>4527.3981000000003</v>
      </c>
      <c r="O124" s="911">
        <f t="shared" si="85"/>
        <v>3303.2366000000002</v>
      </c>
      <c r="P124" s="911">
        <f t="shared" si="85"/>
        <v>1444.2452000000001</v>
      </c>
      <c r="Q124" s="911">
        <f t="shared" si="85"/>
        <v>1117</v>
      </c>
      <c r="R124" s="911">
        <f t="shared" si="85"/>
        <v>3184.6862000000001</v>
      </c>
      <c r="S124" s="911">
        <f t="shared" si="85"/>
        <v>2366.8748999999998</v>
      </c>
      <c r="T124" s="911">
        <f t="shared" si="85"/>
        <v>6538.3719999999994</v>
      </c>
      <c r="U124" s="911">
        <f t="shared" si="85"/>
        <v>4278.9138000000003</v>
      </c>
      <c r="V124" s="911">
        <f t="shared" si="85"/>
        <v>2133.3000000000002</v>
      </c>
      <c r="W124" s="431">
        <f t="shared" si="73"/>
        <v>35134.163500000002</v>
      </c>
      <c r="X124" s="445">
        <f>IFERROR(W124/W18,0)</f>
        <v>0.82106835372751941</v>
      </c>
      <c r="Y124" s="466"/>
    </row>
    <row r="125" spans="9:25" ht="13.15" customHeight="1" x14ac:dyDescent="0.4">
      <c r="K125" s="445">
        <f t="shared" ref="K125:W125" si="86">K124/K18</f>
        <v>0.90805119735755579</v>
      </c>
      <c r="L125" s="445">
        <f t="shared" si="86"/>
        <v>0.74197816835060582</v>
      </c>
      <c r="M125" s="445">
        <f t="shared" si="86"/>
        <v>0.94124368514381518</v>
      </c>
      <c r="N125" s="445">
        <f t="shared" si="86"/>
        <v>0.84019012571123164</v>
      </c>
      <c r="O125" s="445">
        <f t="shared" si="86"/>
        <v>0.73155877519743806</v>
      </c>
      <c r="P125" s="445">
        <f t="shared" si="86"/>
        <v>0.68013129391376426</v>
      </c>
      <c r="Q125" s="445">
        <f t="shared" si="86"/>
        <v>0.87779960707269156</v>
      </c>
      <c r="R125" s="445">
        <f t="shared" si="86"/>
        <v>0.86691625063289768</v>
      </c>
      <c r="S125" s="445">
        <f t="shared" si="86"/>
        <v>0.73884952520087643</v>
      </c>
      <c r="T125" s="445">
        <f t="shared" si="86"/>
        <v>0.84286263074713741</v>
      </c>
      <c r="U125" s="445">
        <f t="shared" si="86"/>
        <v>0.88538654450196785</v>
      </c>
      <c r="V125" s="445">
        <f t="shared" si="86"/>
        <v>0.8028980052691006</v>
      </c>
      <c r="W125" s="445">
        <f t="shared" si="86"/>
        <v>0.82106835372751941</v>
      </c>
      <c r="Y125" s="466"/>
    </row>
    <row r="126" spans="9:25" ht="13.15" customHeight="1" x14ac:dyDescent="0.4">
      <c r="I126" s="566" t="s">
        <v>157</v>
      </c>
      <c r="K126" s="577" t="s">
        <v>142</v>
      </c>
      <c r="L126" s="577" t="s">
        <v>143</v>
      </c>
      <c r="M126" s="577" t="s">
        <v>144</v>
      </c>
      <c r="N126" s="577" t="s">
        <v>145</v>
      </c>
      <c r="O126" s="577" t="s">
        <v>146</v>
      </c>
      <c r="P126" s="577" t="s">
        <v>147</v>
      </c>
      <c r="Q126" s="577" t="s">
        <v>148</v>
      </c>
      <c r="R126" s="577" t="s">
        <v>149</v>
      </c>
      <c r="S126" s="577" t="s">
        <v>150</v>
      </c>
      <c r="T126" s="577" t="s">
        <v>151</v>
      </c>
      <c r="U126" s="577" t="s">
        <v>152</v>
      </c>
      <c r="V126" s="577" t="s">
        <v>153</v>
      </c>
      <c r="W126" s="577" t="s">
        <v>19</v>
      </c>
      <c r="X126" s="423" t="s">
        <v>158</v>
      </c>
      <c r="Y126" s="466"/>
    </row>
    <row r="127" spans="9:25" ht="13.15" customHeight="1" x14ac:dyDescent="0.4">
      <c r="I127" s="426" t="s">
        <v>159</v>
      </c>
      <c r="K127" s="432">
        <f t="shared" ref="K127:K135" si="87">SUMIFS($E$205:$E$513,$A$205:$A$513,"&gt;31/12/2023",$A$205:$A$513,"&lt;1/2/2024",$D$205:$D$513,$I127)</f>
        <v>2202</v>
      </c>
      <c r="L127" s="432">
        <f t="shared" ref="L127:L135" si="88">SUMIFS($E$205:$E$513,$A$205:$A$513,"&gt;31/1/2024",$A$205:$A$513,"&lt;1/3/2024",$D$205:$D$513,$I127)</f>
        <v>1072.9000000000001</v>
      </c>
      <c r="M127" s="432">
        <f t="shared" ref="M127:M135" si="89">SUMIFS($E$205:$E$513,$A$205:$A$513,"&gt;28/2/2024",$A$205:$A$513,"&lt;1/4/2024",$D$205:$D$513,$I127)</f>
        <v>1360</v>
      </c>
      <c r="N127" s="432">
        <f t="shared" ref="N127:N135" si="90">SUMIFS($E$205:$E$513,$A$205:$A$513,"&gt;31/3/2024",$A$205:$A$513,"&lt;1/5/2024",$D$205:$D$513,$I127)</f>
        <v>3885</v>
      </c>
      <c r="O127" s="432">
        <f t="shared" ref="O127:O135" si="91">SUMIFS($E$205:$E$513,$A$205:$A$513,"&gt;30/4/2024",$A$205:$A$513,"&lt;1/6/2024",$D$205:$D$513,$I127)</f>
        <v>4530</v>
      </c>
      <c r="P127" s="432">
        <f t="shared" ref="P127:P135" si="92">SUMIFS($E$205:$E$513,$A$205:$A$513,"&gt;31/5/2024",$A$205:$A$513,"&lt;1/7/2024",$D$205:$D$513,$I127)</f>
        <v>1750</v>
      </c>
      <c r="Q127" s="432">
        <f t="shared" ref="Q127:Q135" si="93">SUMIFS($E$205:$E$513,$A$205:$A$513,"&gt;30/6/2024",$A$205:$A$513,"&lt;1/8/2024",$D$205:$D$513,$I127)</f>
        <v>1212.5</v>
      </c>
      <c r="R127" s="432">
        <f t="shared" ref="R127:R135" si="94">SUMIFS($E$205:$E$513,$A$205:$A$513,"&gt;31/7/2024",$A$205:$A$513,"&lt;1/9/2024",$D$205:$D$513,$I127)</f>
        <v>2394</v>
      </c>
      <c r="S127" s="432">
        <f t="shared" ref="S127:S135" si="95">SUMIFS($E$205:$E$513,$A$205:$A$513,"&gt;31/8/2024",$A$205:$A$513,"&lt;1/10/2024",$D$205:$D$513,$I127)</f>
        <v>2493.9499999999998</v>
      </c>
      <c r="T127" s="432">
        <f t="shared" ref="T127:T135" si="96">SUMIFS($E$205:$E$513,$A$205:$A$513,"&gt;30/9/2024",$A$205:$A$513,"&lt;1/11/2024",$D$205:$D$513,$I127)</f>
        <v>2431.9</v>
      </c>
      <c r="U127" s="432">
        <f t="shared" ref="U127:U135" si="97">SUMIFS($E$205:$E$513,$A$205:$A$513,"&gt;31/10/2024",$A$205:$A$513,"&lt;1/12/2024",$D$205:$D$513,$I127)</f>
        <v>2642</v>
      </c>
      <c r="V127" s="432">
        <f t="shared" ref="V127:V135" si="98">SUMIFS($E$205:$E$513,$A$205:$A$513,"&gt;30/11/2024",$A$205:$A$513,"&lt;1/1/2025",$D$205:$D$513,$I127)</f>
        <v>2047</v>
      </c>
      <c r="W127" s="432">
        <f t="shared" ref="W127:W135" si="99">SUM(K127:V127)</f>
        <v>28021.250000000004</v>
      </c>
      <c r="X127" s="460">
        <f t="shared" ref="X127:X132" si="100">L127/$L$136</f>
        <v>0.34855917611513593</v>
      </c>
      <c r="Y127" s="466"/>
    </row>
    <row r="128" spans="9:25" ht="13.15" customHeight="1" x14ac:dyDescent="0.4">
      <c r="I128" s="426" t="s">
        <v>160</v>
      </c>
      <c r="K128" s="432">
        <f t="shared" si="87"/>
        <v>100</v>
      </c>
      <c r="L128" s="432">
        <f t="shared" si="88"/>
        <v>1229.52</v>
      </c>
      <c r="M128" s="432">
        <f t="shared" si="89"/>
        <v>226.63</v>
      </c>
      <c r="N128" s="432">
        <f t="shared" si="90"/>
        <v>553.95000000000005</v>
      </c>
      <c r="O128" s="432">
        <f t="shared" si="91"/>
        <v>35.340000000000003</v>
      </c>
      <c r="P128" s="432">
        <f t="shared" si="92"/>
        <v>75</v>
      </c>
      <c r="Q128" s="432">
        <f t="shared" si="93"/>
        <v>30</v>
      </c>
      <c r="R128" s="432">
        <f t="shared" si="94"/>
        <v>635.38</v>
      </c>
      <c r="S128" s="432">
        <f t="shared" si="95"/>
        <v>589.51</v>
      </c>
      <c r="T128" s="432">
        <f t="shared" si="96"/>
        <v>0</v>
      </c>
      <c r="U128" s="432">
        <f t="shared" si="97"/>
        <v>11.62</v>
      </c>
      <c r="V128" s="432">
        <f t="shared" si="98"/>
        <v>425</v>
      </c>
      <c r="W128" s="432">
        <f t="shared" si="99"/>
        <v>3911.9500000000007</v>
      </c>
      <c r="X128" s="460">
        <f t="shared" si="100"/>
        <v>0.39944121373574604</v>
      </c>
      <c r="Y128" s="466"/>
    </row>
    <row r="129" spans="9:25" ht="13.15" customHeight="1" x14ac:dyDescent="0.4">
      <c r="I129" s="426" t="s">
        <v>161</v>
      </c>
      <c r="K129" s="432">
        <f t="shared" si="87"/>
        <v>0</v>
      </c>
      <c r="L129" s="432">
        <f t="shared" si="88"/>
        <v>0</v>
      </c>
      <c r="M129" s="432">
        <f t="shared" si="89"/>
        <v>0</v>
      </c>
      <c r="N129" s="432">
        <f t="shared" si="90"/>
        <v>0</v>
      </c>
      <c r="O129" s="432">
        <f t="shared" si="91"/>
        <v>0</v>
      </c>
      <c r="P129" s="432">
        <f t="shared" si="92"/>
        <v>0</v>
      </c>
      <c r="Q129" s="432">
        <f t="shared" si="93"/>
        <v>0</v>
      </c>
      <c r="R129" s="432">
        <f t="shared" si="94"/>
        <v>0</v>
      </c>
      <c r="S129" s="432">
        <f t="shared" si="95"/>
        <v>0</v>
      </c>
      <c r="T129" s="432">
        <f t="shared" si="96"/>
        <v>0</v>
      </c>
      <c r="U129" s="432">
        <f t="shared" si="97"/>
        <v>0</v>
      </c>
      <c r="V129" s="432">
        <f t="shared" si="98"/>
        <v>0</v>
      </c>
      <c r="W129" s="432">
        <f t="shared" si="99"/>
        <v>0</v>
      </c>
      <c r="X129" s="460">
        <f t="shared" si="100"/>
        <v>0</v>
      </c>
      <c r="Y129" s="466"/>
    </row>
    <row r="130" spans="9:25" x14ac:dyDescent="0.35">
      <c r="I130" s="426" t="s">
        <v>162</v>
      </c>
      <c r="K130" s="432">
        <f t="shared" si="87"/>
        <v>120</v>
      </c>
      <c r="L130" s="432">
        <f t="shared" si="88"/>
        <v>695.68000000000006</v>
      </c>
      <c r="M130" s="432">
        <f t="shared" si="89"/>
        <v>280</v>
      </c>
      <c r="N130" s="432">
        <f t="shared" si="90"/>
        <v>949.59</v>
      </c>
      <c r="O130" s="432">
        <f t="shared" si="91"/>
        <v>0</v>
      </c>
      <c r="P130" s="432">
        <f t="shared" si="92"/>
        <v>298.48</v>
      </c>
      <c r="Q130" s="432">
        <f t="shared" si="93"/>
        <v>0</v>
      </c>
      <c r="R130" s="432">
        <f t="shared" si="94"/>
        <v>539.20000000000005</v>
      </c>
      <c r="S130" s="432">
        <f t="shared" si="95"/>
        <v>120</v>
      </c>
      <c r="T130" s="432">
        <f t="shared" si="96"/>
        <v>5325.44</v>
      </c>
      <c r="U130" s="432">
        <f t="shared" si="97"/>
        <v>2179.1999999999998</v>
      </c>
      <c r="V130" s="432">
        <f t="shared" si="98"/>
        <v>185</v>
      </c>
      <c r="W130" s="432">
        <f t="shared" si="99"/>
        <v>10692.59</v>
      </c>
      <c r="X130" s="460">
        <f t="shared" si="100"/>
        <v>0.22600955134660991</v>
      </c>
    </row>
    <row r="131" spans="9:25" x14ac:dyDescent="0.35">
      <c r="I131" s="426" t="s">
        <v>163</v>
      </c>
      <c r="K131" s="432">
        <f t="shared" si="87"/>
        <v>0</v>
      </c>
      <c r="L131" s="432">
        <f t="shared" si="88"/>
        <v>0</v>
      </c>
      <c r="M131" s="432">
        <f t="shared" si="89"/>
        <v>0</v>
      </c>
      <c r="N131" s="432">
        <f t="shared" si="90"/>
        <v>0</v>
      </c>
      <c r="O131" s="432">
        <f t="shared" si="91"/>
        <v>0</v>
      </c>
      <c r="P131" s="432">
        <f t="shared" si="92"/>
        <v>0</v>
      </c>
      <c r="Q131" s="432">
        <f t="shared" si="93"/>
        <v>0</v>
      </c>
      <c r="R131" s="432">
        <f t="shared" si="94"/>
        <v>0</v>
      </c>
      <c r="S131" s="432">
        <f t="shared" si="95"/>
        <v>0</v>
      </c>
      <c r="T131" s="432">
        <f t="shared" si="96"/>
        <v>0</v>
      </c>
      <c r="U131" s="432">
        <f t="shared" si="97"/>
        <v>0</v>
      </c>
      <c r="V131" s="432">
        <f t="shared" si="98"/>
        <v>0</v>
      </c>
      <c r="W131" s="432">
        <f t="shared" si="99"/>
        <v>0</v>
      </c>
      <c r="X131" s="460">
        <f t="shared" si="100"/>
        <v>0</v>
      </c>
    </row>
    <row r="132" spans="9:25" x14ac:dyDescent="0.35">
      <c r="I132" s="426" t="s">
        <v>164</v>
      </c>
      <c r="K132" s="432">
        <f t="shared" si="87"/>
        <v>0</v>
      </c>
      <c r="L132" s="432">
        <f t="shared" si="88"/>
        <v>80</v>
      </c>
      <c r="M132" s="432">
        <f t="shared" si="89"/>
        <v>0</v>
      </c>
      <c r="N132" s="432">
        <f t="shared" si="90"/>
        <v>0</v>
      </c>
      <c r="O132" s="432">
        <f t="shared" si="91"/>
        <v>0</v>
      </c>
      <c r="P132" s="432">
        <f t="shared" si="92"/>
        <v>0</v>
      </c>
      <c r="Q132" s="432">
        <f t="shared" si="93"/>
        <v>30</v>
      </c>
      <c r="R132" s="432">
        <f t="shared" si="94"/>
        <v>105</v>
      </c>
      <c r="S132" s="432">
        <f t="shared" si="95"/>
        <v>0</v>
      </c>
      <c r="T132" s="432">
        <f t="shared" si="96"/>
        <v>0</v>
      </c>
      <c r="U132" s="432">
        <f t="shared" si="97"/>
        <v>0</v>
      </c>
      <c r="V132" s="432">
        <f t="shared" si="98"/>
        <v>0</v>
      </c>
      <c r="W132" s="432">
        <f t="shared" si="99"/>
        <v>215</v>
      </c>
      <c r="X132" s="460">
        <f t="shared" si="100"/>
        <v>2.5990058802508039E-2</v>
      </c>
    </row>
    <row r="133" spans="9:25" x14ac:dyDescent="0.35">
      <c r="I133" s="45" t="s">
        <v>165</v>
      </c>
      <c r="K133" s="432">
        <f t="shared" si="87"/>
        <v>0</v>
      </c>
      <c r="L133" s="432">
        <f t="shared" si="88"/>
        <v>0</v>
      </c>
      <c r="M133" s="432">
        <f t="shared" si="89"/>
        <v>0</v>
      </c>
      <c r="N133" s="432">
        <f t="shared" si="90"/>
        <v>0</v>
      </c>
      <c r="O133" s="432">
        <f t="shared" si="91"/>
        <v>-50</v>
      </c>
      <c r="P133" s="432">
        <f t="shared" si="92"/>
        <v>0</v>
      </c>
      <c r="Q133" s="432">
        <f t="shared" si="93"/>
        <v>0</v>
      </c>
      <c r="R133" s="432">
        <f t="shared" si="94"/>
        <v>0</v>
      </c>
      <c r="S133" s="432">
        <f t="shared" si="95"/>
        <v>0</v>
      </c>
      <c r="T133" s="432">
        <f t="shared" si="96"/>
        <v>0</v>
      </c>
      <c r="U133" s="432">
        <f t="shared" si="97"/>
        <v>0</v>
      </c>
      <c r="V133" s="432">
        <f t="shared" si="98"/>
        <v>0</v>
      </c>
      <c r="W133" s="432">
        <f t="shared" si="99"/>
        <v>-50</v>
      </c>
      <c r="X133" s="460"/>
    </row>
    <row r="134" spans="9:25" x14ac:dyDescent="0.35">
      <c r="I134" s="45" t="s">
        <v>166</v>
      </c>
      <c r="K134" s="432">
        <f t="shared" si="87"/>
        <v>0</v>
      </c>
      <c r="L134" s="432">
        <f t="shared" si="88"/>
        <v>0</v>
      </c>
      <c r="M134" s="432">
        <f t="shared" si="89"/>
        <v>0</v>
      </c>
      <c r="N134" s="432">
        <f t="shared" si="90"/>
        <v>0</v>
      </c>
      <c r="O134" s="432">
        <f t="shared" si="91"/>
        <v>0</v>
      </c>
      <c r="P134" s="432">
        <f t="shared" si="92"/>
        <v>0</v>
      </c>
      <c r="Q134" s="432">
        <f t="shared" si="93"/>
        <v>0</v>
      </c>
      <c r="R134" s="432">
        <f t="shared" si="94"/>
        <v>0</v>
      </c>
      <c r="S134" s="432">
        <f t="shared" si="95"/>
        <v>0</v>
      </c>
      <c r="T134" s="432">
        <f t="shared" si="96"/>
        <v>0</v>
      </c>
      <c r="U134" s="432">
        <f t="shared" si="97"/>
        <v>0</v>
      </c>
      <c r="V134" s="432">
        <f t="shared" si="98"/>
        <v>0</v>
      </c>
      <c r="W134" s="432">
        <f t="shared" si="99"/>
        <v>0</v>
      </c>
      <c r="X134" s="460">
        <f>L134/$L$136</f>
        <v>0</v>
      </c>
    </row>
    <row r="135" spans="9:25" x14ac:dyDescent="0.35">
      <c r="I135" s="45" t="s">
        <v>167</v>
      </c>
      <c r="K135" s="432">
        <f t="shared" si="87"/>
        <v>0</v>
      </c>
      <c r="L135" s="432">
        <f t="shared" si="88"/>
        <v>0</v>
      </c>
      <c r="M135" s="432">
        <f t="shared" si="89"/>
        <v>0</v>
      </c>
      <c r="N135" s="432">
        <f t="shared" si="90"/>
        <v>0</v>
      </c>
      <c r="O135" s="432">
        <f t="shared" si="91"/>
        <v>0</v>
      </c>
      <c r="P135" s="432">
        <f t="shared" si="92"/>
        <v>0</v>
      </c>
      <c r="Q135" s="432">
        <f t="shared" si="93"/>
        <v>0</v>
      </c>
      <c r="R135" s="432">
        <f t="shared" si="94"/>
        <v>0</v>
      </c>
      <c r="S135" s="432">
        <f t="shared" si="95"/>
        <v>0</v>
      </c>
      <c r="T135" s="432">
        <f t="shared" si="96"/>
        <v>0</v>
      </c>
      <c r="U135" s="432">
        <f t="shared" si="97"/>
        <v>0</v>
      </c>
      <c r="V135" s="432">
        <f t="shared" si="98"/>
        <v>0</v>
      </c>
      <c r="W135" s="432">
        <f t="shared" si="99"/>
        <v>0</v>
      </c>
      <c r="X135" s="460">
        <f>L135/$L$136</f>
        <v>0</v>
      </c>
    </row>
    <row r="136" spans="9:25" ht="13.5" customHeight="1" thickBot="1" x14ac:dyDescent="0.45">
      <c r="I136" s="454"/>
      <c r="K136" s="797">
        <f t="shared" ref="K136:W136" si="101">SUM(K127:K135)</f>
        <v>2422</v>
      </c>
      <c r="L136" s="797">
        <f t="shared" si="101"/>
        <v>3078.1000000000004</v>
      </c>
      <c r="M136" s="797">
        <f t="shared" si="101"/>
        <v>1866.63</v>
      </c>
      <c r="N136" s="797">
        <f t="shared" si="101"/>
        <v>5388.54</v>
      </c>
      <c r="O136" s="797">
        <f t="shared" si="101"/>
        <v>4515.34</v>
      </c>
      <c r="P136" s="797">
        <f t="shared" si="101"/>
        <v>2123.48</v>
      </c>
      <c r="Q136" s="797">
        <f t="shared" si="101"/>
        <v>1272.5</v>
      </c>
      <c r="R136" s="797">
        <f t="shared" si="101"/>
        <v>3673.58</v>
      </c>
      <c r="S136" s="797">
        <f t="shared" si="101"/>
        <v>3203.46</v>
      </c>
      <c r="T136" s="797">
        <f t="shared" si="101"/>
        <v>7757.34</v>
      </c>
      <c r="U136" s="797">
        <f t="shared" si="101"/>
        <v>4832.82</v>
      </c>
      <c r="V136" s="797">
        <f t="shared" si="101"/>
        <v>2657</v>
      </c>
      <c r="W136" s="797">
        <f t="shared" si="101"/>
        <v>42790.790000000008</v>
      </c>
      <c r="X136" s="454"/>
    </row>
    <row r="137" spans="9:25" ht="13.15" customHeight="1" thickTop="1" x14ac:dyDescent="0.35">
      <c r="I137" s="454"/>
      <c r="K137" s="434">
        <f t="shared" ref="K137:W137" si="102">K136-K18</f>
        <v>0</v>
      </c>
      <c r="L137" s="434">
        <f t="shared" si="102"/>
        <v>0</v>
      </c>
      <c r="M137" s="434">
        <f t="shared" si="102"/>
        <v>0</v>
      </c>
      <c r="N137" s="434">
        <f t="shared" si="102"/>
        <v>0</v>
      </c>
      <c r="O137" s="434">
        <f t="shared" si="102"/>
        <v>0</v>
      </c>
      <c r="P137" s="434">
        <f t="shared" si="102"/>
        <v>0</v>
      </c>
      <c r="Q137" s="434">
        <f t="shared" si="102"/>
        <v>0</v>
      </c>
      <c r="R137" s="434">
        <f t="shared" si="102"/>
        <v>0</v>
      </c>
      <c r="S137" s="434">
        <f t="shared" si="102"/>
        <v>0</v>
      </c>
      <c r="T137" s="434">
        <f t="shared" si="102"/>
        <v>0</v>
      </c>
      <c r="U137" s="434">
        <f t="shared" si="102"/>
        <v>0</v>
      </c>
      <c r="V137" s="434">
        <f t="shared" si="102"/>
        <v>0</v>
      </c>
      <c r="W137" s="434">
        <f t="shared" si="102"/>
        <v>0</v>
      </c>
      <c r="X137" s="454"/>
    </row>
    <row r="138" spans="9:25" ht="13.15" customHeight="1" x14ac:dyDescent="0.4">
      <c r="I138" s="556" t="s">
        <v>168</v>
      </c>
      <c r="K138" s="577" t="s">
        <v>142</v>
      </c>
      <c r="L138" s="577" t="s">
        <v>143</v>
      </c>
      <c r="M138" s="577" t="s">
        <v>144</v>
      </c>
      <c r="N138" s="577" t="s">
        <v>145</v>
      </c>
      <c r="O138" s="577" t="s">
        <v>146</v>
      </c>
      <c r="P138" s="577" t="s">
        <v>147</v>
      </c>
      <c r="Q138" s="577" t="s">
        <v>148</v>
      </c>
      <c r="R138" s="577" t="s">
        <v>149</v>
      </c>
      <c r="S138" s="577" t="s">
        <v>150</v>
      </c>
      <c r="T138" s="577" t="s">
        <v>151</v>
      </c>
      <c r="U138" s="577" t="s">
        <v>152</v>
      </c>
      <c r="V138" s="577" t="s">
        <v>153</v>
      </c>
      <c r="W138" s="577" t="s">
        <v>19</v>
      </c>
      <c r="X138" s="454"/>
    </row>
    <row r="139" spans="9:25" x14ac:dyDescent="0.35">
      <c r="I139" s="613" t="s">
        <v>169</v>
      </c>
      <c r="J139" s="1046">
        <v>1.6E-2</v>
      </c>
      <c r="K139" s="567">
        <f t="shared" ref="K139:V139" si="103">K127*$J139</f>
        <v>35.231999999999999</v>
      </c>
      <c r="L139" s="567">
        <f t="shared" si="103"/>
        <v>17.166400000000003</v>
      </c>
      <c r="M139" s="567">
        <f t="shared" si="103"/>
        <v>21.76</v>
      </c>
      <c r="N139" s="567">
        <f t="shared" si="103"/>
        <v>62.160000000000004</v>
      </c>
      <c r="O139" s="567">
        <f t="shared" si="103"/>
        <v>72.48</v>
      </c>
      <c r="P139" s="567">
        <f t="shared" si="103"/>
        <v>28</v>
      </c>
      <c r="Q139" s="567">
        <f t="shared" si="103"/>
        <v>19.400000000000002</v>
      </c>
      <c r="R139" s="567">
        <f t="shared" si="103"/>
        <v>38.304000000000002</v>
      </c>
      <c r="S139" s="567">
        <f t="shared" si="103"/>
        <v>39.903199999999998</v>
      </c>
      <c r="T139" s="567">
        <f t="shared" si="103"/>
        <v>38.910400000000003</v>
      </c>
      <c r="U139" s="567">
        <f t="shared" si="103"/>
        <v>42.271999999999998</v>
      </c>
      <c r="V139" s="567">
        <f t="shared" si="103"/>
        <v>32.752000000000002</v>
      </c>
      <c r="W139" s="432">
        <f t="shared" ref="W139:W144" si="104">SUM(K139:V139)</f>
        <v>448.33999999999992</v>
      </c>
      <c r="X139" s="454"/>
    </row>
    <row r="140" spans="9:25" x14ac:dyDescent="0.35">
      <c r="I140" s="613" t="s">
        <v>170</v>
      </c>
      <c r="K140" s="567">
        <f t="shared" ref="K140:V140" si="105">K128*3.5%</f>
        <v>3.5000000000000004</v>
      </c>
      <c r="L140" s="567">
        <f t="shared" si="105"/>
        <v>43.033200000000001</v>
      </c>
      <c r="M140" s="567">
        <f t="shared" si="105"/>
        <v>7.9320500000000003</v>
      </c>
      <c r="N140" s="567">
        <f t="shared" si="105"/>
        <v>19.388250000000003</v>
      </c>
      <c r="O140" s="567">
        <f t="shared" si="105"/>
        <v>1.2369000000000003</v>
      </c>
      <c r="P140" s="567">
        <f t="shared" si="105"/>
        <v>2.6250000000000004</v>
      </c>
      <c r="Q140" s="567">
        <f t="shared" si="105"/>
        <v>1.05</v>
      </c>
      <c r="R140" s="567">
        <f t="shared" si="105"/>
        <v>22.238300000000002</v>
      </c>
      <c r="S140" s="567">
        <f t="shared" si="105"/>
        <v>20.632850000000001</v>
      </c>
      <c r="T140" s="567">
        <f t="shared" si="105"/>
        <v>0</v>
      </c>
      <c r="U140" s="567">
        <f t="shared" si="105"/>
        <v>0.40670000000000001</v>
      </c>
      <c r="V140" s="567">
        <f t="shared" si="105"/>
        <v>14.875000000000002</v>
      </c>
      <c r="W140" s="432">
        <f t="shared" si="104"/>
        <v>136.91825000000003</v>
      </c>
      <c r="X140" s="454"/>
    </row>
    <row r="141" spans="9:25" x14ac:dyDescent="0.35">
      <c r="I141" s="613" t="s">
        <v>167</v>
      </c>
      <c r="K141" s="567">
        <f t="shared" ref="K141:V141" si="106">K135*3.5%</f>
        <v>0</v>
      </c>
      <c r="L141" s="567">
        <f t="shared" si="106"/>
        <v>0</v>
      </c>
      <c r="M141" s="567">
        <f t="shared" si="106"/>
        <v>0</v>
      </c>
      <c r="N141" s="567">
        <f t="shared" si="106"/>
        <v>0</v>
      </c>
      <c r="O141" s="567">
        <f t="shared" si="106"/>
        <v>0</v>
      </c>
      <c r="P141" s="567">
        <f t="shared" si="106"/>
        <v>0</v>
      </c>
      <c r="Q141" s="567">
        <f t="shared" si="106"/>
        <v>0</v>
      </c>
      <c r="R141" s="567">
        <f t="shared" si="106"/>
        <v>0</v>
      </c>
      <c r="S141" s="567">
        <f t="shared" si="106"/>
        <v>0</v>
      </c>
      <c r="T141" s="567">
        <f t="shared" si="106"/>
        <v>0</v>
      </c>
      <c r="U141" s="567">
        <f t="shared" si="106"/>
        <v>0</v>
      </c>
      <c r="V141" s="567">
        <f t="shared" si="106"/>
        <v>0</v>
      </c>
      <c r="W141" s="586">
        <f t="shared" si="104"/>
        <v>0</v>
      </c>
      <c r="X141" s="454"/>
    </row>
    <row r="142" spans="9:25" ht="13.5" customHeight="1" thickBot="1" x14ac:dyDescent="0.45">
      <c r="I142" s="818" t="s">
        <v>171</v>
      </c>
      <c r="J142" s="819"/>
      <c r="K142" s="818">
        <f t="shared" ref="K142:V142" si="107">SUM(K138:K141)</f>
        <v>38.731999999999999</v>
      </c>
      <c r="L142" s="818">
        <f t="shared" si="107"/>
        <v>60.199600000000004</v>
      </c>
      <c r="M142" s="818">
        <f t="shared" si="107"/>
        <v>29.692050000000002</v>
      </c>
      <c r="N142" s="818">
        <f t="shared" si="107"/>
        <v>81.54825000000001</v>
      </c>
      <c r="O142" s="818">
        <f t="shared" si="107"/>
        <v>73.71690000000001</v>
      </c>
      <c r="P142" s="818">
        <f t="shared" si="107"/>
        <v>30.625</v>
      </c>
      <c r="Q142" s="818">
        <f t="shared" si="107"/>
        <v>20.450000000000003</v>
      </c>
      <c r="R142" s="818">
        <f t="shared" si="107"/>
        <v>60.542300000000004</v>
      </c>
      <c r="S142" s="818">
        <f t="shared" si="107"/>
        <v>60.536050000000003</v>
      </c>
      <c r="T142" s="818">
        <f t="shared" si="107"/>
        <v>38.910400000000003</v>
      </c>
      <c r="U142" s="818">
        <f t="shared" si="107"/>
        <v>42.678699999999999</v>
      </c>
      <c r="V142" s="818">
        <f t="shared" si="107"/>
        <v>47.627000000000002</v>
      </c>
      <c r="W142" s="820">
        <f t="shared" si="104"/>
        <v>585.25824999999998</v>
      </c>
      <c r="X142" s="454"/>
    </row>
    <row r="143" spans="9:25" ht="13.15" customHeight="1" x14ac:dyDescent="0.4">
      <c r="I143" s="454"/>
      <c r="K143" s="454"/>
      <c r="L143" s="454"/>
      <c r="M143" s="454"/>
      <c r="N143" s="454"/>
      <c r="O143" s="454"/>
      <c r="P143" s="454"/>
      <c r="Q143" s="454"/>
      <c r="R143" s="454"/>
      <c r="S143" s="454"/>
      <c r="T143" s="454"/>
      <c r="U143" s="454"/>
      <c r="V143" s="454"/>
      <c r="W143" s="461">
        <f t="shared" si="104"/>
        <v>0</v>
      </c>
      <c r="X143" s="454"/>
      <c r="Y143" s="466"/>
    </row>
    <row r="144" spans="9:25" ht="13.5" customHeight="1" thickBot="1" x14ac:dyDescent="0.45">
      <c r="I144" s="561" t="s">
        <v>172</v>
      </c>
      <c r="K144" s="797">
        <f t="shared" ref="K144:V144" si="108">K136-K142</f>
        <v>2383.268</v>
      </c>
      <c r="L144" s="797">
        <f t="shared" si="108"/>
        <v>3017.9004000000004</v>
      </c>
      <c r="M144" s="797">
        <f t="shared" si="108"/>
        <v>1836.93795</v>
      </c>
      <c r="N144" s="797">
        <f t="shared" si="108"/>
        <v>5306.9917500000001</v>
      </c>
      <c r="O144" s="797">
        <f t="shared" si="108"/>
        <v>4441.6230999999998</v>
      </c>
      <c r="P144" s="797">
        <f t="shared" si="108"/>
        <v>2092.855</v>
      </c>
      <c r="Q144" s="797">
        <f t="shared" si="108"/>
        <v>1252.05</v>
      </c>
      <c r="R144" s="797">
        <f t="shared" si="108"/>
        <v>3613.0376999999999</v>
      </c>
      <c r="S144" s="797">
        <f t="shared" si="108"/>
        <v>3142.9239499999999</v>
      </c>
      <c r="T144" s="797">
        <f t="shared" si="108"/>
        <v>7718.4296000000004</v>
      </c>
      <c r="U144" s="797">
        <f t="shared" si="108"/>
        <v>4790.1412999999993</v>
      </c>
      <c r="V144" s="797">
        <f t="shared" si="108"/>
        <v>2609.373</v>
      </c>
      <c r="W144" s="798">
        <f t="shared" si="104"/>
        <v>42205.531750000002</v>
      </c>
      <c r="X144" s="454"/>
    </row>
    <row r="145" spans="9:24" ht="13.15" customHeight="1" thickTop="1" x14ac:dyDescent="0.35">
      <c r="I145" s="454"/>
      <c r="K145" s="454"/>
      <c r="L145" s="454"/>
      <c r="M145" s="454"/>
      <c r="N145" s="454"/>
      <c r="O145" s="454"/>
      <c r="P145" s="454"/>
      <c r="Q145" s="454"/>
      <c r="R145" s="454"/>
      <c r="S145" s="454"/>
      <c r="T145" s="454"/>
      <c r="U145" s="454"/>
      <c r="V145" s="454"/>
      <c r="W145" s="454"/>
      <c r="X145" s="454"/>
    </row>
    <row r="146" spans="9:24" x14ac:dyDescent="0.35">
      <c r="K146" s="454"/>
      <c r="L146" s="454"/>
      <c r="M146" s="454"/>
      <c r="N146" s="454"/>
      <c r="O146" s="454"/>
      <c r="P146" s="454"/>
      <c r="Q146" s="454"/>
      <c r="R146" s="454"/>
      <c r="S146" s="454"/>
      <c r="T146" s="454"/>
      <c r="U146" s="454"/>
      <c r="V146" s="454"/>
      <c r="W146" s="454"/>
      <c r="X146" s="454"/>
    </row>
    <row r="147" spans="9:24" ht="13.15" customHeight="1" x14ac:dyDescent="0.4">
      <c r="I147" s="556" t="s">
        <v>173</v>
      </c>
      <c r="K147" s="577" t="s">
        <v>142</v>
      </c>
      <c r="L147" s="577" t="s">
        <v>143</v>
      </c>
      <c r="M147" s="577" t="s">
        <v>144</v>
      </c>
      <c r="N147" s="577" t="s">
        <v>145</v>
      </c>
      <c r="O147" s="577" t="s">
        <v>146</v>
      </c>
      <c r="P147" s="577" t="s">
        <v>147</v>
      </c>
      <c r="Q147" s="577" t="s">
        <v>148</v>
      </c>
      <c r="R147" s="577" t="s">
        <v>149</v>
      </c>
      <c r="S147" s="577" t="s">
        <v>150</v>
      </c>
      <c r="T147" s="577" t="s">
        <v>151</v>
      </c>
      <c r="U147" s="577" t="s">
        <v>152</v>
      </c>
      <c r="V147" s="577" t="s">
        <v>153</v>
      </c>
      <c r="W147" s="577" t="s">
        <v>19</v>
      </c>
      <c r="X147" s="423" t="s">
        <v>158</v>
      </c>
    </row>
    <row r="148" spans="9:24" x14ac:dyDescent="0.35">
      <c r="I148" s="426" t="s">
        <v>174</v>
      </c>
      <c r="K148" s="432">
        <f t="shared" ref="K148:K157" si="109">SUMIFS($E$205:$E$513,$A$205:$A$513,"&gt;31/12/2023",$A$205:$A$513,"&lt;1/2/2024",$G$205:$G$513,$I148)</f>
        <v>1547</v>
      </c>
      <c r="L148" s="432">
        <f t="shared" ref="L148:L157" si="110">SUMIFS($E$205:$E$513,$A$205:$A$513,"&gt;31/1/2024",$A$205:$A$513,"&lt;1/3/2024",$G$205:$G$513,$I148)</f>
        <v>1253</v>
      </c>
      <c r="M148" s="432">
        <f t="shared" ref="M148:M157" si="111">SUMIFS($E$205:$E$513,$A$205:$A$513,"&gt;28/2/2024",$A$205:$A$513,"&lt;1/4/2024",$G$205:$G$513,$I148)</f>
        <v>875</v>
      </c>
      <c r="N148" s="432">
        <f t="shared" ref="N148:N157" si="112">SUMIFS($E$205:$E$513,$A$205:$A$513,"&gt;31/3/2024",$A$205:$A$513,"&lt;1/5/2024",$G$205:$G$513,$I148)</f>
        <v>2308.9499999999998</v>
      </c>
      <c r="O148" s="432">
        <f t="shared" ref="O148:O157" si="113">SUMIFS($E$205:$E$513,$A$205:$A$513,"&gt;30/4/2024",$A$205:$A$513,"&lt;1/6/2024",$G$205:$G$513,$I148)</f>
        <v>4050</v>
      </c>
      <c r="P148" s="432">
        <f t="shared" ref="P148:P157" si="114">SUMIFS($E$205:$E$513,$A$205:$A$513,"&gt;31/5/2024",$A$205:$A$513,"&lt;1/7/2024",$G$205:$G$513,$I148)</f>
        <v>1655</v>
      </c>
      <c r="Q148" s="432">
        <f t="shared" ref="Q148:Q157" si="115">SUMIFS($E$205:$E$513,$A$205:$A$513,"&gt;30/6/2024",$A$205:$A$513,"&lt;1/8/2024",$G$205:$G$513,$I148)</f>
        <v>855</v>
      </c>
      <c r="R148" s="432">
        <f t="shared" ref="R148:R157" si="116">SUMIFS($E$205:$E$513,$A$205:$A$513,"&gt;31/7/2024",$A$205:$A$513,"&lt;1/9/2024",$G$205:$G$513,$I148)</f>
        <v>1544</v>
      </c>
      <c r="S148" s="432">
        <f t="shared" ref="S148:S157" si="117">SUMIFS($E$205:$E$513,$A$205:$A$513,"&gt;31/8/2024",$A$205:$A$513,"&lt;1/10/2024",$G$205:$G$513,$I148)</f>
        <v>1934.95</v>
      </c>
      <c r="T148" s="432">
        <f t="shared" ref="T148:T157" si="118">SUMIFS($E$205:$E$513,$A$205:$A$513,"&gt;30/9/2024",$A$205:$A$513,"&lt;1/11/2024",$G$205:$G$513,$I148)</f>
        <v>6680</v>
      </c>
      <c r="U148" s="432">
        <f t="shared" ref="U148:U157" si="119">SUMIFS($E$205:$E$513,$A$205:$A$513,"&gt;31/10/2024",$A$205:$A$513,"&lt;1/12/2024",$G$205:$G$513,$I148)</f>
        <v>1697</v>
      </c>
      <c r="V148" s="432">
        <f t="shared" ref="V148:V157" si="120">SUMIFS($E$205:$E$513,$A$205:$A$513,"&gt;30/11/2024",$A$205:$A$513,"&lt;1/1/2025",$G$205:$G$513,$I148)</f>
        <v>1765</v>
      </c>
      <c r="W148" s="432">
        <f t="shared" ref="W148:W157" si="121">SUM(K148:V148)</f>
        <v>26164.9</v>
      </c>
      <c r="X148" s="460">
        <f t="shared" ref="X148:X158" si="122">IFERROR(W148/$W$158,0)</f>
        <v>0.61146101766291305</v>
      </c>
    </row>
    <row r="149" spans="9:24" x14ac:dyDescent="0.35">
      <c r="I149" s="426" t="s">
        <v>175</v>
      </c>
      <c r="K149" s="432">
        <f t="shared" si="109"/>
        <v>875</v>
      </c>
      <c r="L149" s="432">
        <f t="shared" si="110"/>
        <v>1113.9000000000001</v>
      </c>
      <c r="M149" s="432">
        <f t="shared" si="111"/>
        <v>964</v>
      </c>
      <c r="N149" s="432">
        <f t="shared" si="112"/>
        <v>2810.19</v>
      </c>
      <c r="O149" s="432">
        <f t="shared" si="113"/>
        <v>430</v>
      </c>
      <c r="P149" s="432">
        <f t="shared" si="114"/>
        <v>325</v>
      </c>
      <c r="Q149" s="432">
        <f t="shared" si="115"/>
        <v>417.5</v>
      </c>
      <c r="R149" s="432">
        <f t="shared" si="116"/>
        <v>2005</v>
      </c>
      <c r="S149" s="432">
        <f t="shared" si="117"/>
        <v>870</v>
      </c>
      <c r="T149" s="432">
        <f t="shared" si="118"/>
        <v>176.94</v>
      </c>
      <c r="U149" s="432">
        <f t="shared" si="119"/>
        <v>2856.62</v>
      </c>
      <c r="V149" s="432">
        <f t="shared" si="120"/>
        <v>892</v>
      </c>
      <c r="W149" s="432">
        <f t="shared" si="121"/>
        <v>13736.150000000001</v>
      </c>
      <c r="X149" s="460">
        <f t="shared" si="122"/>
        <v>0.32100716065302842</v>
      </c>
    </row>
    <row r="150" spans="9:24" x14ac:dyDescent="0.35">
      <c r="I150" s="45" t="s">
        <v>126</v>
      </c>
      <c r="K150" s="432">
        <f t="shared" si="109"/>
        <v>0</v>
      </c>
      <c r="L150" s="432">
        <f t="shared" si="110"/>
        <v>0</v>
      </c>
      <c r="M150" s="432">
        <f t="shared" si="111"/>
        <v>0</v>
      </c>
      <c r="N150" s="432">
        <f t="shared" si="112"/>
        <v>0</v>
      </c>
      <c r="O150" s="432">
        <f t="shared" si="113"/>
        <v>0</v>
      </c>
      <c r="P150" s="432">
        <f t="shared" si="114"/>
        <v>0</v>
      </c>
      <c r="Q150" s="432">
        <f t="shared" si="115"/>
        <v>0</v>
      </c>
      <c r="R150" s="432">
        <f t="shared" si="116"/>
        <v>0</v>
      </c>
      <c r="S150" s="432">
        <f t="shared" si="117"/>
        <v>0</v>
      </c>
      <c r="T150" s="432">
        <f t="shared" si="118"/>
        <v>0</v>
      </c>
      <c r="U150" s="432">
        <f t="shared" si="119"/>
        <v>0</v>
      </c>
      <c r="V150" s="432">
        <f t="shared" si="120"/>
        <v>0</v>
      </c>
      <c r="W150" s="432">
        <f t="shared" si="121"/>
        <v>0</v>
      </c>
      <c r="X150" s="460">
        <f t="shared" si="122"/>
        <v>0</v>
      </c>
    </row>
    <row r="151" spans="9:24" x14ac:dyDescent="0.35">
      <c r="I151" s="45" t="s">
        <v>176</v>
      </c>
      <c r="K151" s="432">
        <f t="shared" si="109"/>
        <v>0</v>
      </c>
      <c r="L151" s="432">
        <f t="shared" si="110"/>
        <v>0</v>
      </c>
      <c r="M151" s="432">
        <f t="shared" si="111"/>
        <v>0</v>
      </c>
      <c r="N151" s="432">
        <f t="shared" si="112"/>
        <v>0</v>
      </c>
      <c r="O151" s="432">
        <f t="shared" si="113"/>
        <v>0</v>
      </c>
      <c r="P151" s="432">
        <f t="shared" si="114"/>
        <v>25</v>
      </c>
      <c r="Q151" s="432">
        <f t="shared" si="115"/>
        <v>0</v>
      </c>
      <c r="R151" s="432">
        <f t="shared" si="116"/>
        <v>0</v>
      </c>
      <c r="S151" s="432">
        <f t="shared" si="117"/>
        <v>0</v>
      </c>
      <c r="T151" s="432">
        <f t="shared" si="118"/>
        <v>50</v>
      </c>
      <c r="U151" s="432">
        <f t="shared" si="119"/>
        <v>200</v>
      </c>
      <c r="V151" s="432">
        <f t="shared" si="120"/>
        <v>0</v>
      </c>
      <c r="W151" s="432">
        <f t="shared" si="121"/>
        <v>275</v>
      </c>
      <c r="X151" s="460">
        <f t="shared" si="122"/>
        <v>6.4266165686588167E-3</v>
      </c>
    </row>
    <row r="152" spans="9:24" x14ac:dyDescent="0.35">
      <c r="I152" s="426" t="s">
        <v>177</v>
      </c>
      <c r="K152" s="432">
        <f t="shared" si="109"/>
        <v>0</v>
      </c>
      <c r="L152" s="432">
        <f t="shared" si="110"/>
        <v>0</v>
      </c>
      <c r="M152" s="432">
        <f t="shared" si="111"/>
        <v>0</v>
      </c>
      <c r="N152" s="432">
        <f t="shared" si="112"/>
        <v>0</v>
      </c>
      <c r="O152" s="432">
        <f t="shared" si="113"/>
        <v>0</v>
      </c>
      <c r="P152" s="432">
        <f t="shared" si="114"/>
        <v>0</v>
      </c>
      <c r="Q152" s="432">
        <f t="shared" si="115"/>
        <v>0</v>
      </c>
      <c r="R152" s="432">
        <f t="shared" si="116"/>
        <v>0</v>
      </c>
      <c r="S152" s="432">
        <f t="shared" si="117"/>
        <v>249</v>
      </c>
      <c r="T152" s="432">
        <f t="shared" si="118"/>
        <v>572</v>
      </c>
      <c r="U152" s="432">
        <f t="shared" si="119"/>
        <v>0</v>
      </c>
      <c r="V152" s="432">
        <f t="shared" si="120"/>
        <v>0</v>
      </c>
      <c r="W152" s="432">
        <f t="shared" si="121"/>
        <v>821</v>
      </c>
      <c r="X152" s="460">
        <f t="shared" si="122"/>
        <v>1.9186371646795958E-2</v>
      </c>
    </row>
    <row r="153" spans="9:24" x14ac:dyDescent="0.35">
      <c r="I153" s="45" t="s">
        <v>179</v>
      </c>
      <c r="K153" s="432">
        <f t="shared" si="109"/>
        <v>0</v>
      </c>
      <c r="L153" s="432">
        <f t="shared" si="110"/>
        <v>0</v>
      </c>
      <c r="M153" s="432">
        <f t="shared" si="111"/>
        <v>0</v>
      </c>
      <c r="N153" s="432">
        <f t="shared" si="112"/>
        <v>0</v>
      </c>
      <c r="O153" s="432">
        <f t="shared" si="113"/>
        <v>0</v>
      </c>
      <c r="P153" s="432">
        <f t="shared" si="114"/>
        <v>0</v>
      </c>
      <c r="Q153" s="432">
        <f t="shared" si="115"/>
        <v>0</v>
      </c>
      <c r="R153" s="432">
        <f t="shared" si="116"/>
        <v>0</v>
      </c>
      <c r="S153" s="432">
        <f t="shared" si="117"/>
        <v>0</v>
      </c>
      <c r="T153" s="432">
        <f t="shared" si="118"/>
        <v>0</v>
      </c>
      <c r="U153" s="432">
        <f t="shared" si="119"/>
        <v>0</v>
      </c>
      <c r="V153" s="432">
        <f t="shared" si="120"/>
        <v>0</v>
      </c>
      <c r="W153" s="432">
        <f t="shared" si="121"/>
        <v>0</v>
      </c>
      <c r="X153" s="460">
        <f t="shared" si="122"/>
        <v>0</v>
      </c>
    </row>
    <row r="154" spans="9:24" x14ac:dyDescent="0.35">
      <c r="I154" s="45" t="s">
        <v>87</v>
      </c>
      <c r="K154" s="432">
        <f t="shared" si="109"/>
        <v>0</v>
      </c>
      <c r="L154" s="432">
        <f t="shared" si="110"/>
        <v>0</v>
      </c>
      <c r="M154" s="432">
        <f t="shared" si="111"/>
        <v>0</v>
      </c>
      <c r="N154" s="432">
        <f t="shared" si="112"/>
        <v>0</v>
      </c>
      <c r="O154" s="432">
        <f t="shared" si="113"/>
        <v>0</v>
      </c>
      <c r="P154" s="432">
        <f t="shared" si="114"/>
        <v>0</v>
      </c>
      <c r="Q154" s="432">
        <f t="shared" si="115"/>
        <v>0</v>
      </c>
      <c r="R154" s="432">
        <f t="shared" si="116"/>
        <v>0</v>
      </c>
      <c r="S154" s="432">
        <f t="shared" si="117"/>
        <v>0</v>
      </c>
      <c r="T154" s="432">
        <f t="shared" si="118"/>
        <v>0</v>
      </c>
      <c r="U154" s="432">
        <f t="shared" si="119"/>
        <v>0</v>
      </c>
      <c r="V154" s="432">
        <f t="shared" si="120"/>
        <v>0</v>
      </c>
      <c r="W154" s="432">
        <f t="shared" si="121"/>
        <v>0</v>
      </c>
      <c r="X154" s="460">
        <f t="shared" si="122"/>
        <v>0</v>
      </c>
    </row>
    <row r="155" spans="9:24" x14ac:dyDescent="0.35">
      <c r="I155" s="45" t="s">
        <v>89</v>
      </c>
      <c r="K155" s="432">
        <f t="shared" si="109"/>
        <v>0</v>
      </c>
      <c r="L155" s="432">
        <f t="shared" si="110"/>
        <v>15.52</v>
      </c>
      <c r="M155" s="432">
        <f t="shared" si="111"/>
        <v>27.63</v>
      </c>
      <c r="N155" s="432">
        <f t="shared" si="112"/>
        <v>11</v>
      </c>
      <c r="O155" s="432">
        <f t="shared" si="113"/>
        <v>35.340000000000003</v>
      </c>
      <c r="P155" s="432">
        <f t="shared" si="114"/>
        <v>0</v>
      </c>
      <c r="Q155" s="432">
        <f t="shared" si="115"/>
        <v>0</v>
      </c>
      <c r="R155" s="432">
        <f t="shared" si="116"/>
        <v>45.38</v>
      </c>
      <c r="S155" s="432">
        <f t="shared" si="117"/>
        <v>29.51</v>
      </c>
      <c r="T155" s="432">
        <f t="shared" si="118"/>
        <v>0</v>
      </c>
      <c r="U155" s="432">
        <f t="shared" si="119"/>
        <v>0</v>
      </c>
      <c r="V155" s="432">
        <f t="shared" si="120"/>
        <v>0</v>
      </c>
      <c r="W155" s="432">
        <f t="shared" si="121"/>
        <v>164.38</v>
      </c>
      <c r="X155" s="460">
        <f t="shared" si="122"/>
        <v>3.8414808420223134E-3</v>
      </c>
    </row>
    <row r="156" spans="9:24" x14ac:dyDescent="0.35">
      <c r="I156" s="45" t="s">
        <v>180</v>
      </c>
      <c r="K156" s="432">
        <f t="shared" si="109"/>
        <v>0</v>
      </c>
      <c r="L156" s="432">
        <f t="shared" si="110"/>
        <v>580</v>
      </c>
      <c r="M156" s="432">
        <f t="shared" si="111"/>
        <v>0</v>
      </c>
      <c r="N156" s="432">
        <f t="shared" si="112"/>
        <v>258.39999999999998</v>
      </c>
      <c r="O156" s="432">
        <f t="shared" si="113"/>
        <v>0</v>
      </c>
      <c r="P156" s="432">
        <f t="shared" si="114"/>
        <v>0</v>
      </c>
      <c r="Q156" s="432">
        <f t="shared" si="115"/>
        <v>0</v>
      </c>
      <c r="R156" s="432">
        <f t="shared" si="116"/>
        <v>79.2</v>
      </c>
      <c r="S156" s="432">
        <f t="shared" si="117"/>
        <v>120</v>
      </c>
      <c r="T156" s="432">
        <f t="shared" si="118"/>
        <v>278.39999999999998</v>
      </c>
      <c r="U156" s="432">
        <f t="shared" si="119"/>
        <v>79.2</v>
      </c>
      <c r="V156" s="432">
        <f t="shared" si="120"/>
        <v>0</v>
      </c>
      <c r="W156" s="432">
        <f t="shared" si="121"/>
        <v>1395.2</v>
      </c>
      <c r="X156" s="460">
        <f t="shared" si="122"/>
        <v>3.2605147042155565E-2</v>
      </c>
    </row>
    <row r="157" spans="9:24" x14ac:dyDescent="0.35">
      <c r="I157" s="426" t="s">
        <v>181</v>
      </c>
      <c r="K157" s="432">
        <f t="shared" si="109"/>
        <v>0</v>
      </c>
      <c r="L157" s="432">
        <f t="shared" si="110"/>
        <v>115.68</v>
      </c>
      <c r="M157" s="432">
        <f t="shared" si="111"/>
        <v>0</v>
      </c>
      <c r="N157" s="432">
        <f t="shared" si="112"/>
        <v>0</v>
      </c>
      <c r="O157" s="432">
        <f t="shared" si="113"/>
        <v>0</v>
      </c>
      <c r="P157" s="432">
        <f t="shared" si="114"/>
        <v>118.48</v>
      </c>
      <c r="Q157" s="432">
        <f t="shared" si="115"/>
        <v>0</v>
      </c>
      <c r="R157" s="432">
        <f t="shared" si="116"/>
        <v>0</v>
      </c>
      <c r="S157" s="432">
        <f t="shared" si="117"/>
        <v>0</v>
      </c>
      <c r="T157" s="432">
        <f t="shared" si="118"/>
        <v>0</v>
      </c>
      <c r="U157" s="432">
        <f t="shared" si="119"/>
        <v>0</v>
      </c>
      <c r="V157" s="432">
        <f t="shared" si="120"/>
        <v>0</v>
      </c>
      <c r="W157" s="432">
        <f t="shared" si="121"/>
        <v>234.16000000000003</v>
      </c>
      <c r="X157" s="460">
        <f t="shared" si="122"/>
        <v>5.4722055844259945E-3</v>
      </c>
    </row>
    <row r="158" spans="9:24" ht="13.15" customHeight="1" x14ac:dyDescent="0.4">
      <c r="I158" s="454"/>
      <c r="K158" s="444">
        <f t="shared" ref="K158:W158" si="123">SUM(K148:K157)</f>
        <v>2422</v>
      </c>
      <c r="L158" s="444">
        <f t="shared" si="123"/>
        <v>3078.1</v>
      </c>
      <c r="M158" s="444">
        <f t="shared" si="123"/>
        <v>1866.63</v>
      </c>
      <c r="N158" s="444">
        <f t="shared" si="123"/>
        <v>5388.5399999999991</v>
      </c>
      <c r="O158" s="444">
        <f t="shared" si="123"/>
        <v>4515.34</v>
      </c>
      <c r="P158" s="444">
        <f t="shared" si="123"/>
        <v>2123.48</v>
      </c>
      <c r="Q158" s="444">
        <f t="shared" si="123"/>
        <v>1272.5</v>
      </c>
      <c r="R158" s="444">
        <f t="shared" si="123"/>
        <v>3673.58</v>
      </c>
      <c r="S158" s="444">
        <f t="shared" si="123"/>
        <v>3203.46</v>
      </c>
      <c r="T158" s="444">
        <f t="shared" si="123"/>
        <v>7757.3399999999992</v>
      </c>
      <c r="U158" s="444">
        <f t="shared" si="123"/>
        <v>4832.82</v>
      </c>
      <c r="V158" s="444">
        <f t="shared" si="123"/>
        <v>2657</v>
      </c>
      <c r="W158" s="444">
        <f t="shared" si="123"/>
        <v>42790.79</v>
      </c>
      <c r="X158" s="460">
        <f t="shared" si="122"/>
        <v>1</v>
      </c>
    </row>
    <row r="159" spans="9:24" x14ac:dyDescent="0.35">
      <c r="J159" s="454"/>
      <c r="K159" s="454">
        <f t="shared" ref="K159:W159" si="124">K136-K158</f>
        <v>0</v>
      </c>
      <c r="L159" s="454">
        <f t="shared" si="124"/>
        <v>0</v>
      </c>
      <c r="M159" s="454">
        <f t="shared" si="124"/>
        <v>0</v>
      </c>
      <c r="N159" s="454">
        <f t="shared" si="124"/>
        <v>0</v>
      </c>
      <c r="O159" s="454">
        <f t="shared" si="124"/>
        <v>0</v>
      </c>
      <c r="P159" s="454">
        <f t="shared" si="124"/>
        <v>0</v>
      </c>
      <c r="Q159" s="454">
        <f t="shared" si="124"/>
        <v>0</v>
      </c>
      <c r="R159" s="454">
        <f t="shared" si="124"/>
        <v>0</v>
      </c>
      <c r="S159" s="454">
        <f t="shared" si="124"/>
        <v>0</v>
      </c>
      <c r="T159" s="454">
        <f t="shared" si="124"/>
        <v>0</v>
      </c>
      <c r="U159" s="454">
        <f t="shared" si="124"/>
        <v>0</v>
      </c>
      <c r="V159" s="454">
        <f t="shared" si="124"/>
        <v>0</v>
      </c>
      <c r="W159" s="454">
        <f t="shared" si="124"/>
        <v>0</v>
      </c>
      <c r="X159" s="454"/>
    </row>
    <row r="160" spans="9:24" ht="13.15" customHeight="1" x14ac:dyDescent="0.4">
      <c r="I160" s="556" t="s">
        <v>182</v>
      </c>
      <c r="K160" s="577" t="s">
        <v>142</v>
      </c>
      <c r="L160" s="577" t="s">
        <v>143</v>
      </c>
      <c r="M160" s="577" t="s">
        <v>144</v>
      </c>
      <c r="N160" s="577" t="s">
        <v>145</v>
      </c>
      <c r="O160" s="577" t="s">
        <v>146</v>
      </c>
      <c r="P160" s="577" t="s">
        <v>147</v>
      </c>
      <c r="Q160" s="577" t="s">
        <v>148</v>
      </c>
      <c r="R160" s="577" t="s">
        <v>149</v>
      </c>
      <c r="S160" s="577" t="s">
        <v>150</v>
      </c>
      <c r="T160" s="577" t="s">
        <v>151</v>
      </c>
      <c r="U160" s="577" t="s">
        <v>152</v>
      </c>
      <c r="V160" s="577" t="s">
        <v>153</v>
      </c>
      <c r="W160" s="577" t="s">
        <v>19</v>
      </c>
      <c r="X160" s="423" t="s">
        <v>158</v>
      </c>
    </row>
    <row r="161" spans="9:24" ht="13.15" customHeight="1" x14ac:dyDescent="0.4">
      <c r="I161" s="444" t="s">
        <v>183</v>
      </c>
      <c r="K161" s="454">
        <f t="shared" ref="K161:V161" si="125">SUM(K158-K149)</f>
        <v>1547</v>
      </c>
      <c r="L161" s="454">
        <f t="shared" si="125"/>
        <v>1964.1999999999998</v>
      </c>
      <c r="M161" s="454">
        <f t="shared" si="125"/>
        <v>902.63000000000011</v>
      </c>
      <c r="N161" s="454">
        <f t="shared" si="125"/>
        <v>2578.349999999999</v>
      </c>
      <c r="O161" s="454">
        <f t="shared" si="125"/>
        <v>4085.34</v>
      </c>
      <c r="P161" s="454">
        <f t="shared" si="125"/>
        <v>1798.48</v>
      </c>
      <c r="Q161" s="454">
        <f t="shared" si="125"/>
        <v>855</v>
      </c>
      <c r="R161" s="454">
        <f t="shared" si="125"/>
        <v>1668.58</v>
      </c>
      <c r="S161" s="454">
        <f t="shared" si="125"/>
        <v>2333.46</v>
      </c>
      <c r="T161" s="454">
        <f t="shared" si="125"/>
        <v>7580.4</v>
      </c>
      <c r="U161" s="454">
        <f t="shared" si="125"/>
        <v>1976.1999999999998</v>
      </c>
      <c r="V161" s="454">
        <f t="shared" si="125"/>
        <v>1765</v>
      </c>
      <c r="W161" s="554">
        <f>SUM(K161:V161)</f>
        <v>29054.639999999996</v>
      </c>
      <c r="X161" s="475">
        <f>W161/W163</f>
        <v>0.67899283934697163</v>
      </c>
    </row>
    <row r="162" spans="9:24" ht="13.15" customHeight="1" x14ac:dyDescent="0.4">
      <c r="I162" s="444" t="s">
        <v>184</v>
      </c>
      <c r="K162" s="454">
        <f t="shared" ref="K162:V162" si="126">K149</f>
        <v>875</v>
      </c>
      <c r="L162" s="454">
        <f t="shared" si="126"/>
        <v>1113.9000000000001</v>
      </c>
      <c r="M162" s="454">
        <f t="shared" si="126"/>
        <v>964</v>
      </c>
      <c r="N162" s="454">
        <f t="shared" si="126"/>
        <v>2810.19</v>
      </c>
      <c r="O162" s="454">
        <f t="shared" si="126"/>
        <v>430</v>
      </c>
      <c r="P162" s="454">
        <f t="shared" si="126"/>
        <v>325</v>
      </c>
      <c r="Q162" s="454">
        <f t="shared" si="126"/>
        <v>417.5</v>
      </c>
      <c r="R162" s="454">
        <f t="shared" si="126"/>
        <v>2005</v>
      </c>
      <c r="S162" s="454">
        <f t="shared" si="126"/>
        <v>870</v>
      </c>
      <c r="T162" s="454">
        <f t="shared" si="126"/>
        <v>176.94</v>
      </c>
      <c r="U162" s="454">
        <f t="shared" si="126"/>
        <v>2856.62</v>
      </c>
      <c r="V162" s="454">
        <f t="shared" si="126"/>
        <v>892</v>
      </c>
      <c r="W162" s="562">
        <f>SUM(K162:V162)</f>
        <v>13736.150000000001</v>
      </c>
      <c r="X162" s="475">
        <f>W162/W163</f>
        <v>0.32100716065302848</v>
      </c>
    </row>
    <row r="163" spans="9:24" ht="13.15" customHeight="1" x14ac:dyDescent="0.4">
      <c r="I163" s="444"/>
      <c r="K163" s="563">
        <f t="shared" ref="K163:W163" si="127">K161+K162</f>
        <v>2422</v>
      </c>
      <c r="L163" s="563">
        <f t="shared" si="127"/>
        <v>3078.1</v>
      </c>
      <c r="M163" s="563">
        <f t="shared" si="127"/>
        <v>1866.63</v>
      </c>
      <c r="N163" s="563">
        <f t="shared" si="127"/>
        <v>5388.5399999999991</v>
      </c>
      <c r="O163" s="563">
        <f t="shared" si="127"/>
        <v>4515.34</v>
      </c>
      <c r="P163" s="563">
        <f t="shared" si="127"/>
        <v>2123.48</v>
      </c>
      <c r="Q163" s="563">
        <f t="shared" si="127"/>
        <v>1272.5</v>
      </c>
      <c r="R163" s="563">
        <f t="shared" si="127"/>
        <v>3673.58</v>
      </c>
      <c r="S163" s="563">
        <f t="shared" si="127"/>
        <v>3203.46</v>
      </c>
      <c r="T163" s="563">
        <f t="shared" si="127"/>
        <v>7757.3399999999992</v>
      </c>
      <c r="U163" s="563">
        <f t="shared" si="127"/>
        <v>4832.82</v>
      </c>
      <c r="V163" s="563">
        <f t="shared" si="127"/>
        <v>2657</v>
      </c>
      <c r="W163" s="563">
        <f t="shared" si="127"/>
        <v>42790.789999999994</v>
      </c>
      <c r="X163" s="564"/>
    </row>
    <row r="164" spans="9:24" x14ac:dyDescent="0.35">
      <c r="J164" s="454"/>
      <c r="K164" s="454"/>
      <c r="L164" s="454"/>
      <c r="M164" s="454"/>
      <c r="N164" s="454"/>
      <c r="O164" s="454"/>
      <c r="P164" s="454"/>
      <c r="Q164" s="454"/>
      <c r="R164" s="454"/>
      <c r="S164" s="454"/>
      <c r="T164" s="454"/>
      <c r="U164" s="454"/>
      <c r="V164" s="454"/>
      <c r="W164" s="454"/>
      <c r="X164" s="454"/>
    </row>
    <row r="165" spans="9:24" ht="13.15" customHeight="1" x14ac:dyDescent="0.4">
      <c r="I165" s="556" t="s">
        <v>185</v>
      </c>
      <c r="K165" s="577" t="s">
        <v>142</v>
      </c>
      <c r="L165" s="577" t="s">
        <v>143</v>
      </c>
      <c r="M165" s="577" t="s">
        <v>144</v>
      </c>
      <c r="N165" s="577" t="s">
        <v>145</v>
      </c>
      <c r="O165" s="577" t="s">
        <v>146</v>
      </c>
      <c r="P165" s="577" t="s">
        <v>147</v>
      </c>
      <c r="Q165" s="577" t="s">
        <v>148</v>
      </c>
      <c r="R165" s="577" t="s">
        <v>149</v>
      </c>
      <c r="S165" s="577" t="s">
        <v>150</v>
      </c>
      <c r="T165" s="577" t="s">
        <v>151</v>
      </c>
      <c r="U165" s="577" t="s">
        <v>152</v>
      </c>
      <c r="V165" s="577" t="s">
        <v>153</v>
      </c>
      <c r="W165" s="577" t="s">
        <v>19</v>
      </c>
      <c r="X165" s="423" t="s">
        <v>158</v>
      </c>
    </row>
    <row r="166" spans="9:24" ht="13.15" customHeight="1" x14ac:dyDescent="0.4">
      <c r="I166" s="444" t="s">
        <v>183</v>
      </c>
      <c r="K166" s="454">
        <f t="shared" ref="K166:V166" si="128">K93-K167</f>
        <v>16</v>
      </c>
      <c r="L166" s="454">
        <f t="shared" si="128"/>
        <v>24</v>
      </c>
      <c r="M166" s="454">
        <f t="shared" si="128"/>
        <v>6</v>
      </c>
      <c r="N166" s="454">
        <f t="shared" si="128"/>
        <v>20</v>
      </c>
      <c r="O166" s="454">
        <f t="shared" si="128"/>
        <v>13</v>
      </c>
      <c r="P166" s="454">
        <f t="shared" si="128"/>
        <v>13</v>
      </c>
      <c r="Q166" s="454">
        <f t="shared" si="128"/>
        <v>12</v>
      </c>
      <c r="R166" s="454">
        <f t="shared" si="128"/>
        <v>12</v>
      </c>
      <c r="S166" s="454">
        <f t="shared" si="128"/>
        <v>13</v>
      </c>
      <c r="T166" s="454">
        <f t="shared" si="128"/>
        <v>16</v>
      </c>
      <c r="U166" s="454">
        <f t="shared" si="128"/>
        <v>11</v>
      </c>
      <c r="V166" s="454">
        <f t="shared" si="128"/>
        <v>16</v>
      </c>
      <c r="W166" s="554">
        <f>SUM(K166:V166)</f>
        <v>172</v>
      </c>
      <c r="X166" s="475">
        <f>W166/W168</f>
        <v>0.57912457912457915</v>
      </c>
    </row>
    <row r="167" spans="9:24" ht="13.15" customHeight="1" x14ac:dyDescent="0.4">
      <c r="I167" s="561" t="s">
        <v>175</v>
      </c>
      <c r="K167" s="454">
        <f>COUNTIFS($A$205:$A$513,"&gt;31/12/2023",$A$205:$A$513,"&lt;1/2/2024",$G$205:$G$513,"Existing")</f>
        <v>16</v>
      </c>
      <c r="L167" s="432">
        <f>COUNTIFS($A$205:$A$513,"&gt;31/1/2024",$A$205:$A$513,"&lt;1/3/2024",$G$205:$G$513,$I167)</f>
        <v>16</v>
      </c>
      <c r="M167" s="432">
        <f>COUNTIFS($A$205:$A$513,"&gt;28/2/2024",$A$205:$A$513,"&lt;1/4/2024",$G$205:$G$513,$I167)</f>
        <v>17</v>
      </c>
      <c r="N167" s="432">
        <f>COUNTIFS($A$205:$A$513,"&gt;31/3/2024",$A$205:$A$513,"&lt;1/5/2024",$G$205:$G$513,$I167)</f>
        <v>26</v>
      </c>
      <c r="O167" s="432">
        <f>COUNTIFS($A$205:$A$513,"&gt;30/4/2024",$A$205:$A$513,"&lt;1/6/2024",$G$205:$G$513,$I167)</f>
        <v>8</v>
      </c>
      <c r="P167" s="432">
        <f>COUNTIFS($A$205:$A$513,"&gt;31/5/2024",$A$205:$A$513,"&lt;1/7/2024",$G$205:$G$513,$I167)</f>
        <v>3</v>
      </c>
      <c r="Q167" s="432">
        <f>COUNTIFS($A$205:$A$513,"&gt;30/6/2024",$A$205:$A$513,"&lt;1/8/2024",$G$205:$G$513,$I167)</f>
        <v>6</v>
      </c>
      <c r="R167" s="432">
        <f>COUNTIFS($A$205:$A$513,"&gt;31/7/2024",$A$205:$A$513,"&lt;1/9/2024",$G$205:$G$513,$I167)</f>
        <v>13</v>
      </c>
      <c r="S167" s="432">
        <f>COUNTIFS($A$205:$A$513,"&gt;31/8/2024",$A$205:$A$513,"&lt;1/10/2024",$G$205:$G$513,$I167)</f>
        <v>6</v>
      </c>
      <c r="T167" s="432">
        <f>COUNTIFS($A$205:$A$513,"&gt;30/9/2024",$A$205:$A$513,"&lt;1/11/2024",$G$205:$G$513,$I167)</f>
        <v>6</v>
      </c>
      <c r="U167" s="432">
        <f>COUNTIFS($A$205:$A$513,"&gt;31/10/2024",$A$205:$A$513,"&lt;1/12/2024",$G$205:$G$513,$I167)</f>
        <v>8</v>
      </c>
      <c r="V167" s="432">
        <f>COUNTIFS($A$205:$A$513,"&gt;30/11/2024",$A$205:$A$513,"&lt;1/1/2024",$G$205:$G$513,$I167)</f>
        <v>0</v>
      </c>
      <c r="W167" s="554">
        <f>SUM(K167:V167)</f>
        <v>125</v>
      </c>
      <c r="X167" s="475">
        <f>W167/$W$168</f>
        <v>0.4208754208754209</v>
      </c>
    </row>
    <row r="168" spans="9:24" ht="13.15" customHeight="1" x14ac:dyDescent="0.4">
      <c r="J168" s="454"/>
      <c r="K168" s="563">
        <f t="shared" ref="K168:W168" si="129">K166+K167</f>
        <v>32</v>
      </c>
      <c r="L168" s="563">
        <f t="shared" si="129"/>
        <v>40</v>
      </c>
      <c r="M168" s="563">
        <f t="shared" si="129"/>
        <v>23</v>
      </c>
      <c r="N168" s="563">
        <f t="shared" si="129"/>
        <v>46</v>
      </c>
      <c r="O168" s="563">
        <f t="shared" si="129"/>
        <v>21</v>
      </c>
      <c r="P168" s="563">
        <f t="shared" si="129"/>
        <v>16</v>
      </c>
      <c r="Q168" s="563">
        <f t="shared" si="129"/>
        <v>18</v>
      </c>
      <c r="R168" s="563">
        <f t="shared" si="129"/>
        <v>25</v>
      </c>
      <c r="S168" s="563">
        <f t="shared" si="129"/>
        <v>19</v>
      </c>
      <c r="T168" s="563">
        <f t="shared" si="129"/>
        <v>22</v>
      </c>
      <c r="U168" s="563">
        <f t="shared" si="129"/>
        <v>19</v>
      </c>
      <c r="V168" s="563">
        <f t="shared" si="129"/>
        <v>16</v>
      </c>
      <c r="W168" s="563">
        <f t="shared" si="129"/>
        <v>297</v>
      </c>
      <c r="X168" s="564"/>
    </row>
    <row r="169" spans="9:24" ht="13.15" customHeight="1" x14ac:dyDescent="0.4">
      <c r="J169" s="454"/>
      <c r="K169" s="613">
        <f t="shared" ref="K169:W169" si="130">K93-K168</f>
        <v>0</v>
      </c>
      <c r="L169" s="613">
        <f t="shared" si="130"/>
        <v>0</v>
      </c>
      <c r="M169" s="613">
        <f t="shared" si="130"/>
        <v>0</v>
      </c>
      <c r="N169" s="613">
        <f t="shared" si="130"/>
        <v>0</v>
      </c>
      <c r="O169" s="613">
        <f t="shared" si="130"/>
        <v>0</v>
      </c>
      <c r="P169" s="613">
        <f t="shared" si="130"/>
        <v>0</v>
      </c>
      <c r="Q169" s="613">
        <f t="shared" si="130"/>
        <v>0</v>
      </c>
      <c r="R169" s="613">
        <f t="shared" si="130"/>
        <v>0</v>
      </c>
      <c r="S169" s="613">
        <f t="shared" si="130"/>
        <v>0</v>
      </c>
      <c r="T169" s="613">
        <f t="shared" si="130"/>
        <v>0</v>
      </c>
      <c r="U169" s="613">
        <f t="shared" si="130"/>
        <v>0</v>
      </c>
      <c r="V169" s="613">
        <f t="shared" si="130"/>
        <v>0</v>
      </c>
      <c r="W169" s="613">
        <f t="shared" si="130"/>
        <v>0</v>
      </c>
      <c r="X169" s="475"/>
    </row>
    <row r="170" spans="9:24" ht="13.15" customHeight="1" x14ac:dyDescent="0.4">
      <c r="I170" s="556" t="s">
        <v>186</v>
      </c>
      <c r="K170" s="577" t="s">
        <v>142</v>
      </c>
      <c r="L170" s="577" t="s">
        <v>143</v>
      </c>
      <c r="M170" s="577" t="s">
        <v>144</v>
      </c>
      <c r="N170" s="577" t="s">
        <v>145</v>
      </c>
      <c r="O170" s="577" t="s">
        <v>146</v>
      </c>
      <c r="P170" s="577" t="s">
        <v>147</v>
      </c>
      <c r="Q170" s="577" t="s">
        <v>148</v>
      </c>
      <c r="R170" s="577" t="s">
        <v>149</v>
      </c>
      <c r="S170" s="577" t="s">
        <v>150</v>
      </c>
      <c r="T170" s="577" t="s">
        <v>151</v>
      </c>
      <c r="U170" s="577" t="s">
        <v>152</v>
      </c>
      <c r="V170" s="577" t="s">
        <v>153</v>
      </c>
      <c r="W170" s="577" t="s">
        <v>19</v>
      </c>
      <c r="X170" s="423" t="s">
        <v>158</v>
      </c>
    </row>
    <row r="171" spans="9:24" ht="13.15" customHeight="1" x14ac:dyDescent="0.4">
      <c r="I171" s="444" t="s">
        <v>183</v>
      </c>
      <c r="K171" s="454">
        <f t="shared" ref="K171:V171" si="131">IFERROR(K161/K166,0)</f>
        <v>96.6875</v>
      </c>
      <c r="L171" s="454">
        <f t="shared" si="131"/>
        <v>81.841666666666654</v>
      </c>
      <c r="M171" s="454">
        <f t="shared" si="131"/>
        <v>150.43833333333336</v>
      </c>
      <c r="N171" s="454">
        <f t="shared" si="131"/>
        <v>128.91749999999996</v>
      </c>
      <c r="O171" s="454">
        <f t="shared" si="131"/>
        <v>314.2569230769231</v>
      </c>
      <c r="P171" s="454">
        <f t="shared" si="131"/>
        <v>138.34461538461539</v>
      </c>
      <c r="Q171" s="454">
        <f t="shared" si="131"/>
        <v>71.25</v>
      </c>
      <c r="R171" s="454">
        <f t="shared" si="131"/>
        <v>139.04833333333332</v>
      </c>
      <c r="S171" s="454">
        <f t="shared" si="131"/>
        <v>179.49692307692308</v>
      </c>
      <c r="T171" s="454">
        <f t="shared" si="131"/>
        <v>473.77499999999998</v>
      </c>
      <c r="U171" s="454">
        <f t="shared" si="131"/>
        <v>179.65454545454543</v>
      </c>
      <c r="V171" s="454">
        <f t="shared" si="131"/>
        <v>110.3125</v>
      </c>
      <c r="W171" s="554">
        <f>AVERAGE(K171:V171)</f>
        <v>172.00198669386168</v>
      </c>
      <c r="X171" s="475">
        <f>W171/W173</f>
        <v>0.63108702338784062</v>
      </c>
    </row>
    <row r="172" spans="9:24" ht="13.15" customHeight="1" x14ac:dyDescent="0.4">
      <c r="I172" s="444" t="s">
        <v>184</v>
      </c>
      <c r="K172" s="454">
        <f t="shared" ref="K172:V172" si="132">IFERROR(K162/K167,0)</f>
        <v>54.6875</v>
      </c>
      <c r="L172" s="454">
        <f t="shared" si="132"/>
        <v>69.618750000000006</v>
      </c>
      <c r="M172" s="454">
        <f t="shared" si="132"/>
        <v>56.705882352941174</v>
      </c>
      <c r="N172" s="454">
        <f t="shared" si="132"/>
        <v>108.08423076923077</v>
      </c>
      <c r="O172" s="454">
        <f t="shared" si="132"/>
        <v>53.75</v>
      </c>
      <c r="P172" s="454">
        <f t="shared" si="132"/>
        <v>108.33333333333333</v>
      </c>
      <c r="Q172" s="454">
        <f t="shared" si="132"/>
        <v>69.583333333333329</v>
      </c>
      <c r="R172" s="454">
        <f t="shared" si="132"/>
        <v>154.23076923076923</v>
      </c>
      <c r="S172" s="454">
        <f t="shared" si="132"/>
        <v>145</v>
      </c>
      <c r="T172" s="454">
        <f t="shared" si="132"/>
        <v>29.49</v>
      </c>
      <c r="U172" s="454">
        <f t="shared" si="132"/>
        <v>357.07749999999999</v>
      </c>
      <c r="V172" s="454">
        <f t="shared" si="132"/>
        <v>0</v>
      </c>
      <c r="W172" s="554">
        <f>AVERAGE(K172:V172)</f>
        <v>100.54677491830064</v>
      </c>
      <c r="X172" s="475">
        <f>W172/$W$173</f>
        <v>0.36891297661215938</v>
      </c>
    </row>
    <row r="173" spans="9:24" ht="13.15" customHeight="1" x14ac:dyDescent="0.4">
      <c r="J173" s="454"/>
      <c r="K173" s="563">
        <f t="shared" ref="K173:W173" si="133">K171+K172</f>
        <v>151.375</v>
      </c>
      <c r="L173" s="563">
        <f t="shared" si="133"/>
        <v>151.46041666666667</v>
      </c>
      <c r="M173" s="563">
        <f t="shared" si="133"/>
        <v>207.14421568627455</v>
      </c>
      <c r="N173" s="563">
        <f t="shared" si="133"/>
        <v>237.00173076923073</v>
      </c>
      <c r="O173" s="563">
        <f t="shared" si="133"/>
        <v>368.0069230769231</v>
      </c>
      <c r="P173" s="563">
        <f t="shared" si="133"/>
        <v>246.67794871794871</v>
      </c>
      <c r="Q173" s="563">
        <f t="shared" si="133"/>
        <v>140.83333333333331</v>
      </c>
      <c r="R173" s="563">
        <f t="shared" si="133"/>
        <v>293.27910256410257</v>
      </c>
      <c r="S173" s="563">
        <f t="shared" si="133"/>
        <v>324.49692307692305</v>
      </c>
      <c r="T173" s="563">
        <f t="shared" si="133"/>
        <v>503.26499999999999</v>
      </c>
      <c r="U173" s="563">
        <f t="shared" si="133"/>
        <v>536.73204545454541</v>
      </c>
      <c r="V173" s="563">
        <f t="shared" si="133"/>
        <v>110.3125</v>
      </c>
      <c r="W173" s="563">
        <f t="shared" si="133"/>
        <v>272.54876161216231</v>
      </c>
      <c r="X173" s="564"/>
    </row>
    <row r="201" spans="1:10" ht="13.15" customHeight="1" x14ac:dyDescent="0.4">
      <c r="E201" s="605">
        <f>SUM(E205:E513)</f>
        <v>42790.789999999986</v>
      </c>
    </row>
    <row r="202" spans="1:10" ht="13.9" customHeight="1" x14ac:dyDescent="0.4">
      <c r="A202" s="482" t="s">
        <v>187</v>
      </c>
      <c r="B202" s="459" t="s">
        <v>188</v>
      </c>
      <c r="C202" s="459" t="s">
        <v>189</v>
      </c>
      <c r="D202" s="459" t="s">
        <v>190</v>
      </c>
      <c r="E202" s="483" t="s">
        <v>74</v>
      </c>
      <c r="F202" s="459" t="s">
        <v>75</v>
      </c>
      <c r="G202" s="459" t="s">
        <v>191</v>
      </c>
      <c r="I202" s="647" t="s">
        <v>192</v>
      </c>
      <c r="J202" s="647" t="s">
        <v>193</v>
      </c>
    </row>
    <row r="205" spans="1:10" ht="13.5" customHeight="1" x14ac:dyDescent="0.35">
      <c r="A205" s="838"/>
      <c r="B205" s="839"/>
      <c r="C205" s="840"/>
      <c r="D205" s="839"/>
      <c r="E205" s="841"/>
      <c r="F205" s="839"/>
      <c r="G205" s="839"/>
    </row>
    <row r="206" spans="1:10" ht="13.5" customHeight="1" x14ac:dyDescent="0.35">
      <c r="A206" s="838">
        <v>45656</v>
      </c>
      <c r="B206" s="839" t="s">
        <v>1043</v>
      </c>
      <c r="C206" s="840" t="s">
        <v>569</v>
      </c>
      <c r="D206" s="839" t="s">
        <v>159</v>
      </c>
      <c r="E206" s="841">
        <v>25</v>
      </c>
      <c r="F206" s="839" t="s">
        <v>1004</v>
      </c>
      <c r="G206" s="839" t="s">
        <v>175</v>
      </c>
      <c r="I206" t="s">
        <v>201</v>
      </c>
      <c r="J206" t="s">
        <v>202</v>
      </c>
    </row>
    <row r="207" spans="1:10" ht="13.5" customHeight="1" x14ac:dyDescent="0.35">
      <c r="A207" s="838">
        <v>45655</v>
      </c>
      <c r="B207" s="839" t="s">
        <v>1044</v>
      </c>
      <c r="C207" s="840" t="s">
        <v>31</v>
      </c>
      <c r="D207" s="839" t="s">
        <v>160</v>
      </c>
      <c r="E207" s="841">
        <v>250</v>
      </c>
      <c r="F207" s="839" t="s">
        <v>230</v>
      </c>
      <c r="G207" s="839" t="s">
        <v>174</v>
      </c>
      <c r="I207" t="s">
        <v>231</v>
      </c>
      <c r="J207" t="s">
        <v>232</v>
      </c>
    </row>
    <row r="208" spans="1:10" ht="13.5" customHeight="1" x14ac:dyDescent="0.35">
      <c r="A208" s="838">
        <v>45650</v>
      </c>
      <c r="B208" s="839" t="s">
        <v>1045</v>
      </c>
      <c r="C208" s="840" t="s">
        <v>50</v>
      </c>
      <c r="D208" s="839" t="s">
        <v>159</v>
      </c>
      <c r="E208" s="841">
        <v>300</v>
      </c>
      <c r="F208" s="839" t="s">
        <v>734</v>
      </c>
      <c r="G208" s="839" t="s">
        <v>174</v>
      </c>
      <c r="I208" t="s">
        <v>210</v>
      </c>
      <c r="J208" t="s">
        <v>211</v>
      </c>
    </row>
    <row r="209" spans="1:10" ht="13.5" customHeight="1" x14ac:dyDescent="0.35">
      <c r="A209" s="838">
        <v>45648</v>
      </c>
      <c r="B209" s="839" t="s">
        <v>1046</v>
      </c>
      <c r="C209" s="840" t="s">
        <v>31</v>
      </c>
      <c r="D209" s="839" t="s">
        <v>159</v>
      </c>
      <c r="E209" s="841">
        <v>15</v>
      </c>
      <c r="F209" s="839" t="s">
        <v>324</v>
      </c>
      <c r="G209" s="839" t="s">
        <v>175</v>
      </c>
      <c r="I209" t="s">
        <v>325</v>
      </c>
      <c r="J209" t="s">
        <v>226</v>
      </c>
    </row>
    <row r="210" spans="1:10" ht="13.5" customHeight="1" x14ac:dyDescent="0.35">
      <c r="A210" s="838">
        <v>45644</v>
      </c>
      <c r="B210" s="839" t="s">
        <v>1047</v>
      </c>
      <c r="C210" s="840" t="s">
        <v>50</v>
      </c>
      <c r="D210" s="839" t="s">
        <v>159</v>
      </c>
      <c r="E210" s="841">
        <v>300</v>
      </c>
      <c r="F210" s="839" t="s">
        <v>734</v>
      </c>
      <c r="G210" s="839" t="s">
        <v>174</v>
      </c>
      <c r="I210" t="s">
        <v>210</v>
      </c>
      <c r="J210" t="s">
        <v>211</v>
      </c>
    </row>
    <row r="211" spans="1:10" ht="13.5" customHeight="1" x14ac:dyDescent="0.35">
      <c r="A211" s="838">
        <v>45643</v>
      </c>
      <c r="B211" s="839" t="s">
        <v>1048</v>
      </c>
      <c r="C211" s="840" t="s">
        <v>59</v>
      </c>
      <c r="D211" s="839" t="s">
        <v>162</v>
      </c>
      <c r="E211" s="841">
        <v>185</v>
      </c>
      <c r="F211" s="839" t="s">
        <v>998</v>
      </c>
      <c r="G211" s="839" t="s">
        <v>175</v>
      </c>
      <c r="I211" t="s">
        <v>254</v>
      </c>
      <c r="J211" t="s">
        <v>255</v>
      </c>
    </row>
    <row r="212" spans="1:10" ht="13.5" customHeight="1" x14ac:dyDescent="0.35">
      <c r="A212" s="838">
        <v>45641</v>
      </c>
      <c r="B212" s="839" t="s">
        <v>999</v>
      </c>
      <c r="C212" s="840" t="s">
        <v>47</v>
      </c>
      <c r="D212" s="839" t="s">
        <v>159</v>
      </c>
      <c r="E212" s="841">
        <v>50</v>
      </c>
      <c r="F212" s="839" t="s">
        <v>859</v>
      </c>
      <c r="G212" s="839" t="s">
        <v>175</v>
      </c>
      <c r="I212" t="s">
        <v>268</v>
      </c>
      <c r="J212" t="s">
        <v>269</v>
      </c>
    </row>
    <row r="213" spans="1:10" ht="13.5" customHeight="1" x14ac:dyDescent="0.35">
      <c r="A213" s="838">
        <v>45642</v>
      </c>
      <c r="B213" s="839" t="s">
        <v>1049</v>
      </c>
      <c r="C213" s="840" t="s">
        <v>31</v>
      </c>
      <c r="D213" s="839" t="s">
        <v>160</v>
      </c>
      <c r="E213" s="841">
        <v>125</v>
      </c>
      <c r="F213" s="839" t="s">
        <v>230</v>
      </c>
      <c r="G213" s="839" t="s">
        <v>174</v>
      </c>
      <c r="I213" t="s">
        <v>231</v>
      </c>
      <c r="J213" t="s">
        <v>232</v>
      </c>
    </row>
    <row r="214" spans="1:10" ht="13.5" customHeight="1" x14ac:dyDescent="0.35">
      <c r="A214" s="838">
        <v>45634</v>
      </c>
      <c r="B214" s="839" t="s">
        <v>1050</v>
      </c>
      <c r="C214" s="840" t="s">
        <v>50</v>
      </c>
      <c r="D214" s="839" t="s">
        <v>159</v>
      </c>
      <c r="E214" s="841">
        <v>150</v>
      </c>
      <c r="F214" s="839" t="s">
        <v>734</v>
      </c>
      <c r="G214" s="839" t="s">
        <v>174</v>
      </c>
      <c r="I214" t="s">
        <v>210</v>
      </c>
      <c r="J214" t="s">
        <v>211</v>
      </c>
    </row>
    <row r="215" spans="1:10" ht="13.5" customHeight="1" x14ac:dyDescent="0.35">
      <c r="A215" s="838">
        <v>45634</v>
      </c>
      <c r="B215" s="839" t="s">
        <v>1051</v>
      </c>
      <c r="C215" s="840" t="s">
        <v>59</v>
      </c>
      <c r="D215" s="839" t="s">
        <v>159</v>
      </c>
      <c r="E215" s="841">
        <v>42</v>
      </c>
      <c r="F215" s="839" t="s">
        <v>1052</v>
      </c>
      <c r="G215" s="839" t="s">
        <v>175</v>
      </c>
      <c r="I215" t="s">
        <v>299</v>
      </c>
      <c r="J215" t="s">
        <v>255</v>
      </c>
    </row>
    <row r="216" spans="1:10" ht="13.5" customHeight="1" x14ac:dyDescent="0.35">
      <c r="A216" s="838">
        <v>45633</v>
      </c>
      <c r="B216" s="839" t="s">
        <v>1051</v>
      </c>
      <c r="C216" s="840" t="s">
        <v>59</v>
      </c>
      <c r="D216" s="839" t="s">
        <v>159</v>
      </c>
      <c r="E216" s="841">
        <v>350</v>
      </c>
      <c r="F216" s="839" t="s">
        <v>1052</v>
      </c>
      <c r="G216" s="839" t="s">
        <v>175</v>
      </c>
      <c r="I216" t="s">
        <v>299</v>
      </c>
      <c r="J216" t="s">
        <v>255</v>
      </c>
    </row>
    <row r="217" spans="1:10" ht="13.5" customHeight="1" x14ac:dyDescent="0.35">
      <c r="A217" s="838">
        <v>45630</v>
      </c>
      <c r="B217" s="839" t="s">
        <v>1053</v>
      </c>
      <c r="C217" s="840" t="s">
        <v>47</v>
      </c>
      <c r="D217" s="839" t="s">
        <v>159</v>
      </c>
      <c r="E217" s="841">
        <v>195</v>
      </c>
      <c r="F217" s="839" t="s">
        <v>1054</v>
      </c>
      <c r="G217" s="839" t="s">
        <v>174</v>
      </c>
      <c r="I217" t="s">
        <v>265</v>
      </c>
      <c r="J217" t="s">
        <v>206</v>
      </c>
    </row>
    <row r="218" spans="1:10" ht="13.5" customHeight="1" x14ac:dyDescent="0.35">
      <c r="A218" s="838">
        <v>45630</v>
      </c>
      <c r="B218" s="839" t="s">
        <v>1055</v>
      </c>
      <c r="C218" s="840" t="s">
        <v>50</v>
      </c>
      <c r="D218" s="839" t="s">
        <v>160</v>
      </c>
      <c r="E218" s="841">
        <v>50</v>
      </c>
      <c r="F218" s="839" t="s">
        <v>734</v>
      </c>
      <c r="G218" s="839" t="s">
        <v>174</v>
      </c>
      <c r="I218" t="s">
        <v>210</v>
      </c>
      <c r="J218" t="s">
        <v>211</v>
      </c>
    </row>
    <row r="219" spans="1:10" ht="13.5" customHeight="1" x14ac:dyDescent="0.35">
      <c r="A219" s="838">
        <v>45629</v>
      </c>
      <c r="B219" s="839" t="s">
        <v>309</v>
      </c>
      <c r="C219" s="840" t="s">
        <v>47</v>
      </c>
      <c r="D219" s="839" t="s">
        <v>159</v>
      </c>
      <c r="E219" s="841">
        <v>170</v>
      </c>
      <c r="F219" s="839" t="s">
        <v>1056</v>
      </c>
      <c r="G219" s="839" t="s">
        <v>175</v>
      </c>
      <c r="I219" t="s">
        <v>314</v>
      </c>
      <c r="J219" t="s">
        <v>269</v>
      </c>
    </row>
    <row r="220" spans="1:10" ht="13.5" customHeight="1" x14ac:dyDescent="0.35">
      <c r="A220" s="838">
        <v>45628</v>
      </c>
      <c r="B220" s="839" t="s">
        <v>1057</v>
      </c>
      <c r="C220" s="840" t="s">
        <v>28</v>
      </c>
      <c r="D220" s="839" t="s">
        <v>159</v>
      </c>
      <c r="E220" s="841">
        <v>395</v>
      </c>
      <c r="F220" s="839" t="s">
        <v>1058</v>
      </c>
      <c r="G220" s="839" t="s">
        <v>174</v>
      </c>
      <c r="I220" t="s">
        <v>678</v>
      </c>
      <c r="J220" t="s">
        <v>679</v>
      </c>
    </row>
    <row r="221" spans="1:10" ht="13.5" customHeight="1" x14ac:dyDescent="0.35">
      <c r="A221" s="838">
        <v>45627</v>
      </c>
      <c r="B221" s="839" t="s">
        <v>292</v>
      </c>
      <c r="C221" s="840" t="s">
        <v>44</v>
      </c>
      <c r="D221" s="839" t="s">
        <v>159</v>
      </c>
      <c r="E221" s="841">
        <v>55</v>
      </c>
      <c r="F221" s="839" t="s">
        <v>292</v>
      </c>
      <c r="G221" s="839" t="s">
        <v>175</v>
      </c>
      <c r="I221" t="s">
        <v>294</v>
      </c>
      <c r="J221" t="s">
        <v>295</v>
      </c>
    </row>
    <row r="222" spans="1:10" ht="13.5" customHeight="1" x14ac:dyDescent="0.35">
      <c r="A222" s="838"/>
      <c r="B222" s="839"/>
      <c r="C222" s="840"/>
      <c r="D222" s="839"/>
      <c r="E222" s="841"/>
      <c r="F222" s="839"/>
      <c r="G222" s="839"/>
    </row>
    <row r="223" spans="1:10" ht="13.5" customHeight="1" x14ac:dyDescent="0.35">
      <c r="A223" s="838">
        <v>45625</v>
      </c>
      <c r="B223" s="839" t="s">
        <v>1059</v>
      </c>
      <c r="C223" s="840" t="s">
        <v>31</v>
      </c>
      <c r="D223" s="839" t="s">
        <v>159</v>
      </c>
      <c r="E223" s="841">
        <v>150</v>
      </c>
      <c r="F223" s="839" t="s">
        <v>235</v>
      </c>
      <c r="G223" s="839" t="s">
        <v>174</v>
      </c>
      <c r="I223" t="s">
        <v>236</v>
      </c>
      <c r="J223" t="s">
        <v>232</v>
      </c>
    </row>
    <row r="224" spans="1:10" ht="13.5" customHeight="1" x14ac:dyDescent="0.35">
      <c r="A224" s="838">
        <v>45624</v>
      </c>
      <c r="B224" s="839" t="s">
        <v>999</v>
      </c>
      <c r="C224" s="840" t="s">
        <v>47</v>
      </c>
      <c r="D224" s="839" t="s">
        <v>159</v>
      </c>
      <c r="E224" s="841">
        <v>95</v>
      </c>
      <c r="F224" s="839" t="s">
        <v>1060</v>
      </c>
      <c r="G224" s="839" t="s">
        <v>175</v>
      </c>
      <c r="I224" t="s">
        <v>268</v>
      </c>
      <c r="J224" t="s">
        <v>269</v>
      </c>
    </row>
    <row r="225" spans="1:10" ht="13.5" customHeight="1" x14ac:dyDescent="0.35">
      <c r="A225" s="838">
        <v>45620</v>
      </c>
      <c r="B225" s="839" t="s">
        <v>1061</v>
      </c>
      <c r="C225" s="840" t="s">
        <v>47</v>
      </c>
      <c r="D225" s="839" t="s">
        <v>159</v>
      </c>
      <c r="E225" s="841">
        <v>360</v>
      </c>
      <c r="F225" s="839" t="s">
        <v>1062</v>
      </c>
      <c r="G225" s="839" t="s">
        <v>175</v>
      </c>
      <c r="I225" t="s">
        <v>774</v>
      </c>
      <c r="J225" t="s">
        <v>206</v>
      </c>
    </row>
    <row r="226" spans="1:10" ht="13.5" customHeight="1" x14ac:dyDescent="0.35">
      <c r="A226" s="838">
        <v>45618</v>
      </c>
      <c r="B226" s="839" t="s">
        <v>1063</v>
      </c>
      <c r="C226" s="840" t="s">
        <v>47</v>
      </c>
      <c r="D226" s="839" t="s">
        <v>159</v>
      </c>
      <c r="E226" s="841">
        <v>360</v>
      </c>
      <c r="F226" s="839" t="s">
        <v>1062</v>
      </c>
      <c r="G226" s="839" t="s">
        <v>174</v>
      </c>
      <c r="I226" t="s">
        <v>774</v>
      </c>
      <c r="J226" t="s">
        <v>206</v>
      </c>
    </row>
    <row r="227" spans="1:10" ht="13.5" customHeight="1" x14ac:dyDescent="0.35">
      <c r="A227" s="838">
        <v>45618</v>
      </c>
      <c r="B227" s="839" t="s">
        <v>1063</v>
      </c>
      <c r="C227" s="840" t="s">
        <v>31</v>
      </c>
      <c r="D227" s="839" t="s">
        <v>159</v>
      </c>
      <c r="E227" s="841">
        <v>125</v>
      </c>
      <c r="F227" s="839" t="s">
        <v>273</v>
      </c>
      <c r="G227" s="839" t="s">
        <v>174</v>
      </c>
      <c r="I227" t="s">
        <v>274</v>
      </c>
      <c r="J227" t="s">
        <v>232</v>
      </c>
    </row>
    <row r="228" spans="1:10" ht="13.5" customHeight="1" x14ac:dyDescent="0.35">
      <c r="A228" s="838">
        <v>45617</v>
      </c>
      <c r="B228" s="839" t="s">
        <v>1064</v>
      </c>
      <c r="C228" s="840" t="s">
        <v>50</v>
      </c>
      <c r="D228" s="839" t="s">
        <v>159</v>
      </c>
      <c r="E228" s="841">
        <v>100</v>
      </c>
      <c r="F228" s="839" t="s">
        <v>734</v>
      </c>
      <c r="G228" s="839" t="s">
        <v>174</v>
      </c>
      <c r="I228" t="s">
        <v>210</v>
      </c>
      <c r="J228" t="s">
        <v>211</v>
      </c>
    </row>
    <row r="229" spans="1:10" ht="13.5" customHeight="1" x14ac:dyDescent="0.35">
      <c r="A229" s="838">
        <v>45615</v>
      </c>
      <c r="B229" s="839" t="s">
        <v>309</v>
      </c>
      <c r="C229" s="840" t="s">
        <v>44</v>
      </c>
      <c r="D229" s="839" t="s">
        <v>159</v>
      </c>
      <c r="E229" s="841">
        <v>15</v>
      </c>
      <c r="F229" s="839" t="s">
        <v>293</v>
      </c>
      <c r="G229" s="839" t="s">
        <v>175</v>
      </c>
      <c r="I229" t="s">
        <v>294</v>
      </c>
      <c r="J229" t="s">
        <v>295</v>
      </c>
    </row>
    <row r="230" spans="1:10" ht="13.5" customHeight="1" x14ac:dyDescent="0.35">
      <c r="A230" s="838">
        <v>45614</v>
      </c>
      <c r="B230" s="839" t="s">
        <v>1027</v>
      </c>
      <c r="C230" s="840" t="s">
        <v>59</v>
      </c>
      <c r="D230" s="839" t="s">
        <v>162</v>
      </c>
      <c r="E230" s="841">
        <v>200</v>
      </c>
      <c r="F230" s="839" t="s">
        <v>1065</v>
      </c>
      <c r="G230" s="839" t="s">
        <v>176</v>
      </c>
      <c r="I230" t="s">
        <v>254</v>
      </c>
      <c r="J230" t="s">
        <v>255</v>
      </c>
    </row>
    <row r="231" spans="1:10" ht="13.5" customHeight="1" x14ac:dyDescent="0.35">
      <c r="A231" s="838">
        <v>45609</v>
      </c>
      <c r="B231" s="839" t="s">
        <v>1066</v>
      </c>
      <c r="C231" s="840" t="s">
        <v>47</v>
      </c>
      <c r="D231" s="839" t="s">
        <v>159</v>
      </c>
      <c r="E231" s="841">
        <v>120</v>
      </c>
      <c r="F231" s="839" t="s">
        <v>1067</v>
      </c>
      <c r="G231" s="839" t="s">
        <v>174</v>
      </c>
      <c r="I231" t="s">
        <v>205</v>
      </c>
      <c r="J231" t="s">
        <v>206</v>
      </c>
    </row>
    <row r="232" spans="1:10" ht="13.5" customHeight="1" x14ac:dyDescent="0.35">
      <c r="A232" s="838">
        <v>45607</v>
      </c>
      <c r="B232" s="839" t="s">
        <v>1068</v>
      </c>
      <c r="C232" s="840" t="s">
        <v>59</v>
      </c>
      <c r="D232" s="839" t="s">
        <v>159</v>
      </c>
      <c r="E232" s="841">
        <v>42</v>
      </c>
      <c r="F232" s="839" t="s">
        <v>1069</v>
      </c>
      <c r="G232" s="839" t="s">
        <v>174</v>
      </c>
      <c r="I232" t="s">
        <v>333</v>
      </c>
      <c r="J232" t="s">
        <v>286</v>
      </c>
    </row>
    <row r="233" spans="1:10" ht="13.5" customHeight="1" x14ac:dyDescent="0.35">
      <c r="A233" s="838">
        <v>45607</v>
      </c>
      <c r="B233" s="839" t="s">
        <v>1068</v>
      </c>
      <c r="C233" s="840" t="s">
        <v>59</v>
      </c>
      <c r="D233" s="839" t="s">
        <v>159</v>
      </c>
      <c r="E233" s="841">
        <v>350</v>
      </c>
      <c r="F233" s="839" t="s">
        <v>1052</v>
      </c>
      <c r="G233" s="839" t="s">
        <v>174</v>
      </c>
      <c r="I233" t="s">
        <v>299</v>
      </c>
      <c r="J233" t="s">
        <v>255</v>
      </c>
    </row>
    <row r="234" spans="1:10" ht="13.5" customHeight="1" x14ac:dyDescent="0.35">
      <c r="A234" s="838">
        <v>45604</v>
      </c>
      <c r="B234" s="839" t="s">
        <v>1070</v>
      </c>
      <c r="C234" s="840" t="s">
        <v>28</v>
      </c>
      <c r="D234" s="839" t="s">
        <v>159</v>
      </c>
      <c r="E234" s="841">
        <v>250</v>
      </c>
      <c r="F234" s="839" t="s">
        <v>1071</v>
      </c>
      <c r="G234" s="839" t="s">
        <v>174</v>
      </c>
      <c r="I234" t="s">
        <v>657</v>
      </c>
      <c r="J234" t="s">
        <v>197</v>
      </c>
    </row>
    <row r="235" spans="1:10" ht="13.5" customHeight="1" x14ac:dyDescent="0.35">
      <c r="A235" s="838">
        <v>45603</v>
      </c>
      <c r="B235" s="839" t="s">
        <v>1072</v>
      </c>
      <c r="C235" s="840" t="s">
        <v>31</v>
      </c>
      <c r="D235" s="839" t="s">
        <v>162</v>
      </c>
      <c r="E235" s="841">
        <v>79.2</v>
      </c>
      <c r="F235" s="839" t="s">
        <v>235</v>
      </c>
      <c r="G235" s="839" t="s">
        <v>180</v>
      </c>
      <c r="I235" t="s">
        <v>236</v>
      </c>
      <c r="J235" t="s">
        <v>232</v>
      </c>
    </row>
    <row r="236" spans="1:10" ht="13.5" customHeight="1" x14ac:dyDescent="0.35">
      <c r="A236" s="838">
        <v>45600</v>
      </c>
      <c r="B236" s="839" t="s">
        <v>1073</v>
      </c>
      <c r="C236" s="840" t="s">
        <v>50</v>
      </c>
      <c r="D236" s="839" t="s">
        <v>159</v>
      </c>
      <c r="E236" s="841">
        <v>200</v>
      </c>
      <c r="F236" s="839" t="s">
        <v>734</v>
      </c>
      <c r="G236" s="839" t="s">
        <v>174</v>
      </c>
      <c r="I236" t="s">
        <v>210</v>
      </c>
      <c r="J236" t="s">
        <v>211</v>
      </c>
    </row>
    <row r="237" spans="1:10" ht="13.5" customHeight="1" x14ac:dyDescent="0.35">
      <c r="A237" s="838">
        <v>45598</v>
      </c>
      <c r="B237" s="839" t="s">
        <v>1074</v>
      </c>
      <c r="C237" s="840" t="s">
        <v>56</v>
      </c>
      <c r="D237" s="839" t="s">
        <v>160</v>
      </c>
      <c r="E237" s="841">
        <v>11.62</v>
      </c>
      <c r="F237" s="839" t="s">
        <v>1074</v>
      </c>
      <c r="G237" s="839" t="s">
        <v>175</v>
      </c>
      <c r="I237" t="s">
        <v>333</v>
      </c>
      <c r="J237" t="s">
        <v>286</v>
      </c>
    </row>
    <row r="238" spans="1:10" ht="13.5" customHeight="1" x14ac:dyDescent="0.35">
      <c r="A238" s="838">
        <v>45597</v>
      </c>
      <c r="B238" s="839" t="s">
        <v>270</v>
      </c>
      <c r="C238" s="840" t="s">
        <v>47</v>
      </c>
      <c r="D238" s="839" t="s">
        <v>162</v>
      </c>
      <c r="E238" s="841">
        <v>1900</v>
      </c>
      <c r="F238" s="839" t="s">
        <v>1075</v>
      </c>
      <c r="G238" s="839" t="s">
        <v>175</v>
      </c>
      <c r="I238" t="s">
        <v>320</v>
      </c>
      <c r="J238" t="s">
        <v>304</v>
      </c>
    </row>
    <row r="239" spans="1:10" ht="13.5" customHeight="1" x14ac:dyDescent="0.35">
      <c r="A239" s="838">
        <v>45597</v>
      </c>
      <c r="B239" s="839" t="s">
        <v>309</v>
      </c>
      <c r="C239" s="840" t="s">
        <v>47</v>
      </c>
      <c r="D239" s="839" t="s">
        <v>159</v>
      </c>
      <c r="E239" s="841">
        <v>170</v>
      </c>
      <c r="F239" s="839" t="s">
        <v>1076</v>
      </c>
      <c r="G239" s="839" t="s">
        <v>175</v>
      </c>
      <c r="I239" t="s">
        <v>314</v>
      </c>
      <c r="J239" t="s">
        <v>269</v>
      </c>
    </row>
    <row r="240" spans="1:10" ht="13.5" customHeight="1" x14ac:dyDescent="0.35">
      <c r="A240" s="838">
        <v>45597</v>
      </c>
      <c r="B240" s="839" t="s">
        <v>1077</v>
      </c>
      <c r="C240" s="840" t="s">
        <v>37</v>
      </c>
      <c r="D240" s="839" t="s">
        <v>159</v>
      </c>
      <c r="E240" s="841">
        <v>250</v>
      </c>
      <c r="F240" s="839" t="s">
        <v>1078</v>
      </c>
      <c r="G240" s="839" t="s">
        <v>175</v>
      </c>
      <c r="I240" t="s">
        <v>353</v>
      </c>
      <c r="J240" t="s">
        <v>354</v>
      </c>
    </row>
    <row r="241" spans="1:10" ht="13.5" customHeight="1" x14ac:dyDescent="0.35">
      <c r="A241" s="838">
        <v>45597</v>
      </c>
      <c r="B241" s="839" t="s">
        <v>292</v>
      </c>
      <c r="C241" s="840" t="s">
        <v>44</v>
      </c>
      <c r="D241" s="839" t="s">
        <v>159</v>
      </c>
      <c r="E241" s="841">
        <v>55</v>
      </c>
      <c r="F241" s="839" t="s">
        <v>292</v>
      </c>
      <c r="G241" s="839" t="s">
        <v>175</v>
      </c>
      <c r="I241" t="s">
        <v>294</v>
      </c>
      <c r="J241" t="s">
        <v>295</v>
      </c>
    </row>
    <row r="242" spans="1:10" ht="13.5" customHeight="1" x14ac:dyDescent="0.35">
      <c r="A242" s="838"/>
      <c r="B242" s="839"/>
      <c r="C242" s="840"/>
      <c r="D242" s="839"/>
      <c r="E242" s="841"/>
      <c r="F242" s="839"/>
      <c r="G242" s="839"/>
    </row>
    <row r="243" spans="1:10" ht="13.5" customHeight="1" x14ac:dyDescent="0.35">
      <c r="A243" s="838">
        <v>45595</v>
      </c>
      <c r="B243" s="839" t="s">
        <v>1079</v>
      </c>
      <c r="C243" s="840" t="s">
        <v>31</v>
      </c>
      <c r="D243" s="839" t="s">
        <v>162</v>
      </c>
      <c r="E243" s="841">
        <v>158.4</v>
      </c>
      <c r="F243" s="839" t="s">
        <v>235</v>
      </c>
      <c r="G243" s="839" t="s">
        <v>180</v>
      </c>
      <c r="I243" t="s">
        <v>236</v>
      </c>
      <c r="J243" t="s">
        <v>232</v>
      </c>
    </row>
    <row r="244" spans="1:10" ht="13.5" customHeight="1" x14ac:dyDescent="0.35">
      <c r="A244" s="838">
        <v>45595</v>
      </c>
      <c r="B244" s="839" t="s">
        <v>1080</v>
      </c>
      <c r="C244" s="840" t="s">
        <v>31</v>
      </c>
      <c r="D244" s="839" t="s">
        <v>162</v>
      </c>
      <c r="E244" s="841">
        <v>120</v>
      </c>
      <c r="F244" s="839" t="s">
        <v>235</v>
      </c>
      <c r="G244" s="839" t="s">
        <v>180</v>
      </c>
      <c r="I244" t="s">
        <v>236</v>
      </c>
      <c r="J244" t="s">
        <v>232</v>
      </c>
    </row>
    <row r="245" spans="1:10" ht="13.5" customHeight="1" x14ac:dyDescent="0.35">
      <c r="A245" s="838">
        <v>45593</v>
      </c>
      <c r="B245" s="839" t="s">
        <v>1081</v>
      </c>
      <c r="C245" s="840" t="s">
        <v>35</v>
      </c>
      <c r="D245" s="839" t="s">
        <v>159</v>
      </c>
      <c r="E245" s="841">
        <v>895</v>
      </c>
      <c r="F245" s="839" t="s">
        <v>219</v>
      </c>
      <c r="G245" s="839" t="s">
        <v>174</v>
      </c>
      <c r="I245" t="s">
        <v>221</v>
      </c>
      <c r="J245" t="s">
        <v>222</v>
      </c>
    </row>
    <row r="246" spans="1:10" ht="13.5" customHeight="1" x14ac:dyDescent="0.35">
      <c r="A246" s="838">
        <v>45590</v>
      </c>
      <c r="B246" s="839" t="s">
        <v>1082</v>
      </c>
      <c r="C246" s="840" t="s">
        <v>569</v>
      </c>
      <c r="D246" s="839" t="s">
        <v>162</v>
      </c>
      <c r="E246" s="841">
        <v>47.04</v>
      </c>
      <c r="F246" s="839" t="s">
        <v>1083</v>
      </c>
      <c r="G246" s="839" t="s">
        <v>175</v>
      </c>
      <c r="I246" t="s">
        <v>333</v>
      </c>
      <c r="J246" t="s">
        <v>286</v>
      </c>
    </row>
    <row r="247" spans="1:10" ht="13.5" customHeight="1" x14ac:dyDescent="0.35">
      <c r="A247" s="838">
        <v>45591</v>
      </c>
      <c r="B247" s="839" t="s">
        <v>1009</v>
      </c>
      <c r="C247" s="840" t="s">
        <v>569</v>
      </c>
      <c r="D247" s="839" t="s">
        <v>159</v>
      </c>
      <c r="E247" s="841">
        <v>30</v>
      </c>
      <c r="F247" s="839" t="s">
        <v>753</v>
      </c>
      <c r="G247" s="839" t="s">
        <v>175</v>
      </c>
      <c r="I247" t="s">
        <v>725</v>
      </c>
      <c r="J247" t="s">
        <v>726</v>
      </c>
    </row>
    <row r="248" spans="1:10" ht="13.5" customHeight="1" x14ac:dyDescent="0.35">
      <c r="A248" s="838">
        <v>45591</v>
      </c>
      <c r="B248" s="839" t="s">
        <v>1084</v>
      </c>
      <c r="C248" s="840" t="s">
        <v>31</v>
      </c>
      <c r="D248" s="839" t="s">
        <v>159</v>
      </c>
      <c r="E248" s="841">
        <v>99</v>
      </c>
      <c r="F248" s="839" t="s">
        <v>177</v>
      </c>
      <c r="G248" s="839" t="s">
        <v>177</v>
      </c>
      <c r="I248" t="s">
        <v>210</v>
      </c>
      <c r="J248" t="s">
        <v>211</v>
      </c>
    </row>
    <row r="249" spans="1:10" ht="13.5" customHeight="1" x14ac:dyDescent="0.35">
      <c r="A249" s="838">
        <v>45589</v>
      </c>
      <c r="B249" s="839" t="s">
        <v>784</v>
      </c>
      <c r="C249" s="840" t="s">
        <v>31</v>
      </c>
      <c r="D249" s="839" t="s">
        <v>159</v>
      </c>
      <c r="E249" s="841">
        <v>19.899999999999999</v>
      </c>
      <c r="F249" s="839" t="s">
        <v>1085</v>
      </c>
      <c r="G249" s="839" t="s">
        <v>175</v>
      </c>
      <c r="I249" t="s">
        <v>325</v>
      </c>
      <c r="J249" t="s">
        <v>226</v>
      </c>
    </row>
    <row r="250" spans="1:10" ht="13.5" customHeight="1" x14ac:dyDescent="0.35">
      <c r="A250" s="838">
        <v>45588</v>
      </c>
      <c r="B250" s="839" t="s">
        <v>1086</v>
      </c>
      <c r="C250" s="840" t="s">
        <v>31</v>
      </c>
      <c r="D250" s="839" t="s">
        <v>159</v>
      </c>
      <c r="E250" s="841">
        <v>99</v>
      </c>
      <c r="F250" s="839" t="s">
        <v>177</v>
      </c>
      <c r="G250" s="839" t="s">
        <v>177</v>
      </c>
      <c r="I250" t="s">
        <v>210</v>
      </c>
      <c r="J250" t="s">
        <v>211</v>
      </c>
    </row>
    <row r="251" spans="1:10" ht="13.5" customHeight="1" x14ac:dyDescent="0.35">
      <c r="A251" s="838">
        <v>45588</v>
      </c>
      <c r="B251" s="839" t="s">
        <v>1086</v>
      </c>
      <c r="C251" s="840" t="s">
        <v>31</v>
      </c>
      <c r="D251" s="839" t="s">
        <v>159</v>
      </c>
      <c r="E251" s="841">
        <v>125</v>
      </c>
      <c r="F251" s="839" t="s">
        <v>1087</v>
      </c>
      <c r="G251" s="839" t="s">
        <v>177</v>
      </c>
      <c r="I251" t="s">
        <v>231</v>
      </c>
      <c r="J251" t="s">
        <v>232</v>
      </c>
    </row>
    <row r="252" spans="1:10" ht="13.5" customHeight="1" x14ac:dyDescent="0.35">
      <c r="A252" s="838">
        <v>45588</v>
      </c>
      <c r="B252" s="839" t="s">
        <v>990</v>
      </c>
      <c r="C252" s="840" t="s">
        <v>28</v>
      </c>
      <c r="D252" s="839" t="s">
        <v>159</v>
      </c>
      <c r="E252" s="841">
        <v>250</v>
      </c>
      <c r="F252" s="839" t="s">
        <v>1071</v>
      </c>
      <c r="G252" s="839" t="s">
        <v>174</v>
      </c>
      <c r="I252" t="s">
        <v>657</v>
      </c>
      <c r="J252" t="s">
        <v>197</v>
      </c>
    </row>
    <row r="253" spans="1:10" ht="13.5" customHeight="1" x14ac:dyDescent="0.35">
      <c r="A253" s="838">
        <v>45584</v>
      </c>
      <c r="B253" s="839" t="s">
        <v>1088</v>
      </c>
      <c r="C253" s="840" t="s">
        <v>44</v>
      </c>
      <c r="D253" s="839" t="s">
        <v>159</v>
      </c>
      <c r="E253" s="841">
        <v>15</v>
      </c>
      <c r="F253" s="839" t="s">
        <v>293</v>
      </c>
      <c r="G253" s="839" t="s">
        <v>175</v>
      </c>
      <c r="I253" t="s">
        <v>294</v>
      </c>
      <c r="J253" t="s">
        <v>295</v>
      </c>
    </row>
    <row r="254" spans="1:10" ht="13.5" customHeight="1" x14ac:dyDescent="0.35">
      <c r="A254" s="838">
        <v>45584</v>
      </c>
      <c r="B254" s="839" t="s">
        <v>1089</v>
      </c>
      <c r="C254" s="840" t="s">
        <v>50</v>
      </c>
      <c r="D254" s="839" t="s">
        <v>159</v>
      </c>
      <c r="E254" s="841">
        <v>10</v>
      </c>
      <c r="F254" s="839" t="s">
        <v>734</v>
      </c>
      <c r="G254" s="839" t="s">
        <v>174</v>
      </c>
      <c r="I254" t="s">
        <v>210</v>
      </c>
      <c r="J254" t="s">
        <v>211</v>
      </c>
    </row>
    <row r="255" spans="1:10" ht="13.5" customHeight="1" x14ac:dyDescent="0.35">
      <c r="A255" s="838">
        <v>45584</v>
      </c>
      <c r="B255" s="839" t="s">
        <v>1089</v>
      </c>
      <c r="C255" s="840" t="s">
        <v>50</v>
      </c>
      <c r="D255" s="839" t="s">
        <v>159</v>
      </c>
      <c r="E255" s="841">
        <v>30</v>
      </c>
      <c r="F255" s="839" t="s">
        <v>734</v>
      </c>
      <c r="G255" s="839" t="s">
        <v>174</v>
      </c>
      <c r="I255" t="s">
        <v>210</v>
      </c>
      <c r="J255" t="s">
        <v>211</v>
      </c>
    </row>
    <row r="256" spans="1:10" ht="13.5" customHeight="1" x14ac:dyDescent="0.35">
      <c r="A256" s="838">
        <v>45579</v>
      </c>
      <c r="B256" s="839" t="s">
        <v>1090</v>
      </c>
      <c r="C256" s="840" t="s">
        <v>31</v>
      </c>
      <c r="D256" s="839" t="s">
        <v>159</v>
      </c>
      <c r="E256" s="841">
        <v>99</v>
      </c>
      <c r="F256" s="839" t="s">
        <v>177</v>
      </c>
      <c r="G256" s="839" t="s">
        <v>177</v>
      </c>
      <c r="I256" t="s">
        <v>210</v>
      </c>
      <c r="J256" t="s">
        <v>211</v>
      </c>
    </row>
    <row r="257" spans="1:10" ht="13.5" customHeight="1" x14ac:dyDescent="0.35">
      <c r="A257" s="838">
        <v>45576</v>
      </c>
      <c r="B257" s="839" t="s">
        <v>1091</v>
      </c>
      <c r="C257" s="840" t="s">
        <v>47</v>
      </c>
      <c r="D257" s="839" t="s">
        <v>159</v>
      </c>
      <c r="E257" s="841">
        <v>120</v>
      </c>
      <c r="F257" s="839" t="s">
        <v>1092</v>
      </c>
      <c r="G257" s="839" t="s">
        <v>174</v>
      </c>
      <c r="I257" t="s">
        <v>265</v>
      </c>
      <c r="J257" t="s">
        <v>206</v>
      </c>
    </row>
    <row r="258" spans="1:10" ht="13.5" customHeight="1" x14ac:dyDescent="0.35">
      <c r="A258" s="838">
        <v>45574</v>
      </c>
      <c r="B258" s="839" t="s">
        <v>1093</v>
      </c>
      <c r="C258" s="840" t="s">
        <v>47</v>
      </c>
      <c r="D258" s="839" t="s">
        <v>159</v>
      </c>
      <c r="E258" s="841">
        <v>25</v>
      </c>
      <c r="F258" s="839" t="s">
        <v>1092</v>
      </c>
      <c r="G258" s="839" t="s">
        <v>175</v>
      </c>
      <c r="I258" t="s">
        <v>265</v>
      </c>
      <c r="J258" t="s">
        <v>206</v>
      </c>
    </row>
    <row r="259" spans="1:10" ht="13.5" customHeight="1" x14ac:dyDescent="0.35">
      <c r="A259" s="838">
        <v>45571</v>
      </c>
      <c r="B259" s="839" t="s">
        <v>1094</v>
      </c>
      <c r="C259" s="840" t="s">
        <v>31</v>
      </c>
      <c r="D259" s="839" t="s">
        <v>159</v>
      </c>
      <c r="E259" s="841">
        <v>150</v>
      </c>
      <c r="F259" s="839" t="s">
        <v>177</v>
      </c>
      <c r="G259" s="839" t="s">
        <v>177</v>
      </c>
      <c r="I259" t="s">
        <v>210</v>
      </c>
      <c r="J259" t="s">
        <v>211</v>
      </c>
    </row>
    <row r="260" spans="1:10" ht="13.5" customHeight="1" x14ac:dyDescent="0.35">
      <c r="A260" s="838">
        <v>45573</v>
      </c>
      <c r="B260" s="839" t="s">
        <v>1095</v>
      </c>
      <c r="C260" s="840" t="s">
        <v>59</v>
      </c>
      <c r="D260" s="839" t="s">
        <v>162</v>
      </c>
      <c r="E260" s="841">
        <v>5000</v>
      </c>
      <c r="F260" s="839" t="s">
        <v>1096</v>
      </c>
      <c r="G260" s="839" t="s">
        <v>174</v>
      </c>
      <c r="I260" t="s">
        <v>320</v>
      </c>
      <c r="J260" t="s">
        <v>304</v>
      </c>
    </row>
    <row r="261" spans="1:10" ht="13.5" customHeight="1" x14ac:dyDescent="0.35">
      <c r="A261" s="838">
        <v>45570</v>
      </c>
      <c r="B261" s="839" t="s">
        <v>1097</v>
      </c>
      <c r="C261" s="840" t="s">
        <v>31</v>
      </c>
      <c r="D261" s="839" t="s">
        <v>159</v>
      </c>
      <c r="E261" s="841">
        <v>50</v>
      </c>
      <c r="F261" s="839" t="s">
        <v>783</v>
      </c>
      <c r="G261" s="839" t="s">
        <v>176</v>
      </c>
      <c r="I261" t="s">
        <v>317</v>
      </c>
      <c r="J261" t="s">
        <v>226</v>
      </c>
    </row>
    <row r="262" spans="1:10" ht="13.5" customHeight="1" x14ac:dyDescent="0.35">
      <c r="A262" s="838">
        <v>45568</v>
      </c>
      <c r="B262" s="839" t="s">
        <v>1098</v>
      </c>
      <c r="C262" s="840" t="s">
        <v>47</v>
      </c>
      <c r="D262" s="839" t="s">
        <v>159</v>
      </c>
      <c r="E262" s="841">
        <v>360</v>
      </c>
      <c r="F262" s="839" t="s">
        <v>1099</v>
      </c>
      <c r="G262" s="839" t="s">
        <v>174</v>
      </c>
      <c r="I262" t="s">
        <v>774</v>
      </c>
      <c r="J262" t="s">
        <v>206</v>
      </c>
    </row>
    <row r="263" spans="1:10" ht="13.5" customHeight="1" x14ac:dyDescent="0.35">
      <c r="A263" s="838">
        <v>45567</v>
      </c>
      <c r="B263" s="839" t="s">
        <v>1100</v>
      </c>
      <c r="C263" s="840" t="s">
        <v>31</v>
      </c>
      <c r="D263" s="839" t="s">
        <v>159</v>
      </c>
      <c r="E263" s="841">
        <v>15</v>
      </c>
      <c r="F263" s="839" t="s">
        <v>324</v>
      </c>
      <c r="G263" s="839" t="s">
        <v>174</v>
      </c>
      <c r="I263" t="s">
        <v>325</v>
      </c>
      <c r="J263" t="s">
        <v>226</v>
      </c>
    </row>
    <row r="264" spans="1:10" ht="13.5" customHeight="1" x14ac:dyDescent="0.35">
      <c r="A264" s="838">
        <v>45566</v>
      </c>
      <c r="B264" s="839" t="s">
        <v>292</v>
      </c>
      <c r="C264" s="840" t="s">
        <v>44</v>
      </c>
      <c r="D264" s="839" t="s">
        <v>159</v>
      </c>
      <c r="E264" s="841">
        <v>40</v>
      </c>
      <c r="F264" s="839" t="s">
        <v>292</v>
      </c>
      <c r="G264" s="839" t="s">
        <v>175</v>
      </c>
      <c r="I264" t="s">
        <v>294</v>
      </c>
      <c r="J264" t="s">
        <v>295</v>
      </c>
    </row>
    <row r="265" spans="1:10" ht="13.5" customHeight="1" x14ac:dyDescent="0.35">
      <c r="A265" s="838"/>
      <c r="B265" s="839"/>
      <c r="C265" s="840"/>
      <c r="D265" s="839"/>
      <c r="E265" s="841"/>
      <c r="F265" s="839"/>
      <c r="G265" s="839"/>
    </row>
    <row r="266" spans="1:10" ht="13.5" customHeight="1" x14ac:dyDescent="0.35">
      <c r="A266" s="838">
        <v>45564</v>
      </c>
      <c r="B266" s="839" t="s">
        <v>310</v>
      </c>
      <c r="C266" s="840" t="s">
        <v>31</v>
      </c>
      <c r="D266" s="839" t="s">
        <v>159</v>
      </c>
      <c r="E266" s="841">
        <v>60</v>
      </c>
      <c r="F266" s="839" t="s">
        <v>1101</v>
      </c>
      <c r="G266" s="839" t="s">
        <v>174</v>
      </c>
      <c r="I266" t="s">
        <v>605</v>
      </c>
      <c r="J266" t="s">
        <v>226</v>
      </c>
    </row>
    <row r="267" spans="1:10" ht="13.5" customHeight="1" x14ac:dyDescent="0.35">
      <c r="A267" s="838">
        <v>45561</v>
      </c>
      <c r="B267" s="839" t="s">
        <v>977</v>
      </c>
      <c r="C267" s="840" t="s">
        <v>50</v>
      </c>
      <c r="D267" s="839" t="s">
        <v>160</v>
      </c>
      <c r="E267" s="841">
        <v>100</v>
      </c>
      <c r="F267" s="839" t="s">
        <v>734</v>
      </c>
      <c r="G267" s="839" t="s">
        <v>174</v>
      </c>
      <c r="I267" t="s">
        <v>210</v>
      </c>
      <c r="J267" t="s">
        <v>211</v>
      </c>
    </row>
    <row r="268" spans="1:10" ht="13.5" customHeight="1" x14ac:dyDescent="0.35">
      <c r="A268" s="838">
        <v>45559</v>
      </c>
      <c r="B268" s="839" t="s">
        <v>1102</v>
      </c>
      <c r="C268" s="840" t="s">
        <v>47</v>
      </c>
      <c r="D268" s="839" t="s">
        <v>160</v>
      </c>
      <c r="E268" s="841">
        <v>360</v>
      </c>
      <c r="F268" s="839" t="s">
        <v>1103</v>
      </c>
      <c r="G268" s="839" t="s">
        <v>175</v>
      </c>
      <c r="I268" t="s">
        <v>774</v>
      </c>
      <c r="J268" t="s">
        <v>206</v>
      </c>
    </row>
    <row r="269" spans="1:10" ht="13.5" customHeight="1" x14ac:dyDescent="0.35">
      <c r="A269" s="838">
        <v>45559</v>
      </c>
      <c r="B269" s="839" t="s">
        <v>89</v>
      </c>
      <c r="C269" s="840" t="s">
        <v>56</v>
      </c>
      <c r="D269" s="839" t="s">
        <v>160</v>
      </c>
      <c r="E269" s="841">
        <v>29.51</v>
      </c>
      <c r="F269" s="839" t="s">
        <v>572</v>
      </c>
      <c r="G269" s="839" t="s">
        <v>89</v>
      </c>
      <c r="I269" t="s">
        <v>285</v>
      </c>
      <c r="J269" t="s">
        <v>286</v>
      </c>
    </row>
    <row r="270" spans="1:10" ht="13.5" customHeight="1" x14ac:dyDescent="0.35">
      <c r="A270" s="838">
        <v>45558</v>
      </c>
      <c r="B270" s="839" t="s">
        <v>1104</v>
      </c>
      <c r="C270" s="840" t="s">
        <v>31</v>
      </c>
      <c r="D270" s="839" t="s">
        <v>159</v>
      </c>
      <c r="E270" s="841">
        <v>300</v>
      </c>
      <c r="F270" s="839" t="s">
        <v>177</v>
      </c>
      <c r="G270" s="839" t="s">
        <v>174</v>
      </c>
      <c r="I270" t="s">
        <v>210</v>
      </c>
      <c r="J270" t="s">
        <v>211</v>
      </c>
    </row>
    <row r="271" spans="1:10" ht="13.5" customHeight="1" x14ac:dyDescent="0.35">
      <c r="A271" s="838">
        <v>45557</v>
      </c>
      <c r="B271" s="839" t="s">
        <v>1105</v>
      </c>
      <c r="C271" s="840" t="s">
        <v>31</v>
      </c>
      <c r="D271" s="839" t="s">
        <v>159</v>
      </c>
      <c r="E271" s="841">
        <v>150</v>
      </c>
      <c r="F271" s="839" t="s">
        <v>177</v>
      </c>
      <c r="G271" s="839" t="s">
        <v>177</v>
      </c>
      <c r="I271" t="s">
        <v>210</v>
      </c>
      <c r="J271" t="s">
        <v>211</v>
      </c>
    </row>
    <row r="272" spans="1:10" ht="13.5" customHeight="1" x14ac:dyDescent="0.35">
      <c r="A272" s="838">
        <v>45553</v>
      </c>
      <c r="B272" s="839" t="s">
        <v>987</v>
      </c>
      <c r="C272" s="840" t="s">
        <v>31</v>
      </c>
      <c r="D272" s="839" t="s">
        <v>159</v>
      </c>
      <c r="E272" s="841">
        <v>50</v>
      </c>
      <c r="F272" s="839" t="s">
        <v>1106</v>
      </c>
      <c r="G272" s="839" t="s">
        <v>175</v>
      </c>
      <c r="I272" t="s">
        <v>1107</v>
      </c>
      <c r="J272" t="s">
        <v>226</v>
      </c>
    </row>
    <row r="273" spans="1:10" ht="13.5" customHeight="1" x14ac:dyDescent="0.35">
      <c r="A273" s="838">
        <v>45552</v>
      </c>
      <c r="B273" s="839" t="s">
        <v>1108</v>
      </c>
      <c r="C273" s="840" t="s">
        <v>31</v>
      </c>
      <c r="D273" s="839" t="s">
        <v>160</v>
      </c>
      <c r="E273" s="841">
        <v>50</v>
      </c>
      <c r="F273" s="839" t="s">
        <v>316</v>
      </c>
      <c r="G273" s="839" t="s">
        <v>174</v>
      </c>
      <c r="I273" t="s">
        <v>317</v>
      </c>
      <c r="J273" t="s">
        <v>226</v>
      </c>
    </row>
    <row r="274" spans="1:10" ht="13.5" customHeight="1" x14ac:dyDescent="0.35">
      <c r="A274" s="838">
        <v>45549</v>
      </c>
      <c r="B274" s="839" t="s">
        <v>1109</v>
      </c>
      <c r="C274" s="840" t="s">
        <v>31</v>
      </c>
      <c r="D274" s="839" t="s">
        <v>160</v>
      </c>
      <c r="E274" s="841">
        <v>50</v>
      </c>
      <c r="F274" s="839" t="s">
        <v>316</v>
      </c>
      <c r="G274" s="839" t="s">
        <v>174</v>
      </c>
      <c r="I274" t="s">
        <v>317</v>
      </c>
      <c r="J274" t="s">
        <v>226</v>
      </c>
    </row>
    <row r="275" spans="1:10" ht="13.5" customHeight="1" x14ac:dyDescent="0.35">
      <c r="A275" s="838">
        <v>45547</v>
      </c>
      <c r="B275" s="839" t="s">
        <v>1110</v>
      </c>
      <c r="C275" s="840" t="s">
        <v>31</v>
      </c>
      <c r="D275" s="839" t="s">
        <v>159</v>
      </c>
      <c r="E275" s="841">
        <v>9.9499999999999993</v>
      </c>
      <c r="F275" s="839" t="s">
        <v>324</v>
      </c>
      <c r="G275" s="839" t="s">
        <v>174</v>
      </c>
      <c r="I275" t="s">
        <v>325</v>
      </c>
      <c r="J275" t="s">
        <v>226</v>
      </c>
    </row>
    <row r="276" spans="1:10" ht="13.5" customHeight="1" x14ac:dyDescent="0.35">
      <c r="A276" s="838">
        <v>45547</v>
      </c>
      <c r="B276" s="839" t="s">
        <v>999</v>
      </c>
      <c r="C276" s="840" t="s">
        <v>35</v>
      </c>
      <c r="D276" s="839" t="s">
        <v>159</v>
      </c>
      <c r="E276" s="841">
        <v>125</v>
      </c>
      <c r="F276" s="839" t="s">
        <v>1111</v>
      </c>
      <c r="G276" s="839" t="s">
        <v>175</v>
      </c>
      <c r="I276" t="s">
        <v>758</v>
      </c>
      <c r="J276" t="s">
        <v>222</v>
      </c>
    </row>
    <row r="277" spans="1:10" ht="13.5" customHeight="1" x14ac:dyDescent="0.35">
      <c r="A277" s="838">
        <v>45540</v>
      </c>
      <c r="B277" s="839" t="s">
        <v>1112</v>
      </c>
      <c r="C277" s="840" t="s">
        <v>31</v>
      </c>
      <c r="D277" s="839" t="s">
        <v>159</v>
      </c>
      <c r="E277" s="841">
        <v>99</v>
      </c>
      <c r="F277" s="839" t="s">
        <v>177</v>
      </c>
      <c r="G277" s="839" t="s">
        <v>177</v>
      </c>
      <c r="I277" t="s">
        <v>210</v>
      </c>
      <c r="J277" t="s">
        <v>211</v>
      </c>
    </row>
    <row r="278" spans="1:10" ht="13.5" customHeight="1" x14ac:dyDescent="0.35">
      <c r="A278" s="838">
        <v>45539</v>
      </c>
      <c r="B278" s="839" t="s">
        <v>309</v>
      </c>
      <c r="C278" s="840" t="s">
        <v>47</v>
      </c>
      <c r="D278" s="839" t="s">
        <v>159</v>
      </c>
      <c r="E278" s="841">
        <v>170</v>
      </c>
      <c r="F278" s="839" t="s">
        <v>1113</v>
      </c>
      <c r="G278" s="839" t="s">
        <v>175</v>
      </c>
      <c r="I278" t="s">
        <v>314</v>
      </c>
      <c r="J278" t="s">
        <v>269</v>
      </c>
    </row>
    <row r="279" spans="1:10" ht="13.5" customHeight="1" x14ac:dyDescent="0.35">
      <c r="A279" s="838">
        <v>45539</v>
      </c>
      <c r="B279" s="839" t="s">
        <v>999</v>
      </c>
      <c r="C279" s="840" t="s">
        <v>35</v>
      </c>
      <c r="D279" s="839" t="s">
        <v>159</v>
      </c>
      <c r="E279" s="841">
        <v>945</v>
      </c>
      <c r="F279" s="839" t="s">
        <v>463</v>
      </c>
      <c r="G279" s="839" t="s">
        <v>174</v>
      </c>
      <c r="I279" t="s">
        <v>879</v>
      </c>
      <c r="J279" t="s">
        <v>222</v>
      </c>
    </row>
    <row r="280" spans="1:10" ht="13.5" customHeight="1" x14ac:dyDescent="0.35">
      <c r="A280" s="838">
        <v>45539</v>
      </c>
      <c r="B280" s="839" t="s">
        <v>999</v>
      </c>
      <c r="C280" s="840" t="s">
        <v>31</v>
      </c>
      <c r="D280" s="839" t="s">
        <v>159</v>
      </c>
      <c r="E280" s="841">
        <v>60</v>
      </c>
      <c r="F280" s="839" t="s">
        <v>1114</v>
      </c>
      <c r="G280" s="839" t="s">
        <v>174</v>
      </c>
      <c r="I280" t="s">
        <v>605</v>
      </c>
      <c r="J280" t="s">
        <v>226</v>
      </c>
    </row>
    <row r="281" spans="1:10" ht="13.5" customHeight="1" x14ac:dyDescent="0.35">
      <c r="A281" s="838">
        <v>45539</v>
      </c>
      <c r="B281" s="839" t="s">
        <v>1115</v>
      </c>
      <c r="C281" s="840" t="s">
        <v>31</v>
      </c>
      <c r="D281" s="839" t="s">
        <v>162</v>
      </c>
      <c r="E281" s="841">
        <v>120</v>
      </c>
      <c r="F281" s="839" t="s">
        <v>1116</v>
      </c>
      <c r="G281" s="839" t="s">
        <v>180</v>
      </c>
      <c r="I281" t="s">
        <v>236</v>
      </c>
      <c r="J281" t="s">
        <v>232</v>
      </c>
    </row>
    <row r="282" spans="1:10" ht="13.5" customHeight="1" x14ac:dyDescent="0.35">
      <c r="A282" s="838">
        <v>45539</v>
      </c>
      <c r="B282" s="839" t="s">
        <v>309</v>
      </c>
      <c r="C282" s="840" t="s">
        <v>31</v>
      </c>
      <c r="D282" s="839" t="s">
        <v>159</v>
      </c>
      <c r="E282" s="841">
        <v>125</v>
      </c>
      <c r="F282" s="839" t="s">
        <v>273</v>
      </c>
      <c r="G282" s="839" t="s">
        <v>175</v>
      </c>
      <c r="I282" t="s">
        <v>274</v>
      </c>
      <c r="J282" t="s">
        <v>232</v>
      </c>
    </row>
    <row r="283" spans="1:10" ht="13.5" customHeight="1" x14ac:dyDescent="0.35">
      <c r="A283" s="838">
        <v>45537</v>
      </c>
      <c r="B283" s="839" t="s">
        <v>1061</v>
      </c>
      <c r="C283" s="840" t="s">
        <v>47</v>
      </c>
      <c r="D283" s="839" t="s">
        <v>159</v>
      </c>
      <c r="E283" s="841">
        <v>360</v>
      </c>
      <c r="F283" s="839" t="s">
        <v>1103</v>
      </c>
      <c r="G283" s="839" t="s">
        <v>174</v>
      </c>
      <c r="I283" t="s">
        <v>774</v>
      </c>
      <c r="J283" t="s">
        <v>206</v>
      </c>
    </row>
    <row r="284" spans="1:10" ht="13.5" customHeight="1" x14ac:dyDescent="0.35">
      <c r="A284" s="838">
        <v>45536</v>
      </c>
      <c r="B284" s="839" t="s">
        <v>292</v>
      </c>
      <c r="C284" s="840" t="s">
        <v>44</v>
      </c>
      <c r="D284" s="839" t="s">
        <v>159</v>
      </c>
      <c r="E284" s="841">
        <v>40</v>
      </c>
      <c r="F284" s="839" t="s">
        <v>292</v>
      </c>
      <c r="G284" s="839" t="s">
        <v>175</v>
      </c>
      <c r="I284" t="s">
        <v>294</v>
      </c>
      <c r="J284" t="s">
        <v>295</v>
      </c>
    </row>
    <row r="285" spans="1:10" ht="13.5" customHeight="1" x14ac:dyDescent="0.35">
      <c r="A285" s="838"/>
      <c r="B285" s="839"/>
      <c r="C285" s="840"/>
      <c r="D285" s="839"/>
      <c r="E285" s="841"/>
      <c r="F285" s="839"/>
      <c r="G285" s="839"/>
    </row>
    <row r="286" spans="1:10" ht="13.5" customHeight="1" x14ac:dyDescent="0.35">
      <c r="A286" s="838">
        <v>45535</v>
      </c>
      <c r="B286" s="839" t="s">
        <v>1117</v>
      </c>
      <c r="C286" s="840" t="s">
        <v>50</v>
      </c>
      <c r="D286" s="839" t="s">
        <v>165</v>
      </c>
      <c r="E286" s="841">
        <v>-99</v>
      </c>
      <c r="F286" s="839" t="s">
        <v>177</v>
      </c>
      <c r="G286" s="839" t="s">
        <v>174</v>
      </c>
      <c r="I286" t="s">
        <v>210</v>
      </c>
      <c r="J286" t="s">
        <v>211</v>
      </c>
    </row>
    <row r="287" spans="1:10" ht="13.5" customHeight="1" x14ac:dyDescent="0.35">
      <c r="A287" s="838">
        <v>45535</v>
      </c>
      <c r="B287" s="839" t="s">
        <v>1117</v>
      </c>
      <c r="C287" s="840" t="s">
        <v>31</v>
      </c>
      <c r="D287" s="839" t="s">
        <v>165</v>
      </c>
      <c r="E287" s="841">
        <v>99</v>
      </c>
      <c r="F287" s="839" t="s">
        <v>177</v>
      </c>
      <c r="G287" s="839" t="s">
        <v>174</v>
      </c>
      <c r="I287" t="s">
        <v>210</v>
      </c>
      <c r="J287" t="s">
        <v>211</v>
      </c>
    </row>
    <row r="288" spans="1:10" ht="13.5" customHeight="1" x14ac:dyDescent="0.35">
      <c r="A288" s="838">
        <v>45535</v>
      </c>
      <c r="B288" s="839" t="s">
        <v>1118</v>
      </c>
      <c r="C288" s="840" t="s">
        <v>47</v>
      </c>
      <c r="D288" s="839" t="s">
        <v>159</v>
      </c>
      <c r="E288" s="841">
        <v>360</v>
      </c>
      <c r="F288" s="839" t="s">
        <v>1103</v>
      </c>
      <c r="G288" s="839" t="s">
        <v>175</v>
      </c>
      <c r="I288" t="s">
        <v>774</v>
      </c>
      <c r="J288" t="s">
        <v>206</v>
      </c>
    </row>
    <row r="289" spans="1:10" ht="13.5" customHeight="1" x14ac:dyDescent="0.35">
      <c r="A289" s="838">
        <v>45531</v>
      </c>
      <c r="B289" s="839" t="s">
        <v>1119</v>
      </c>
      <c r="C289" s="840" t="s">
        <v>28</v>
      </c>
      <c r="D289" s="839" t="s">
        <v>159</v>
      </c>
      <c r="E289" s="841">
        <v>250</v>
      </c>
      <c r="F289" s="839" t="s">
        <v>1025</v>
      </c>
      <c r="G289" s="839" t="s">
        <v>174</v>
      </c>
      <c r="I289" t="s">
        <v>657</v>
      </c>
      <c r="J289" t="s">
        <v>197</v>
      </c>
    </row>
    <row r="290" spans="1:10" ht="13.5" customHeight="1" x14ac:dyDescent="0.35">
      <c r="A290" s="838">
        <v>45531</v>
      </c>
      <c r="B290" s="839" t="s">
        <v>1120</v>
      </c>
      <c r="C290" s="840" t="s">
        <v>569</v>
      </c>
      <c r="D290" s="839" t="s">
        <v>164</v>
      </c>
      <c r="E290" s="841">
        <v>75</v>
      </c>
      <c r="F290" s="839" t="s">
        <v>1121</v>
      </c>
      <c r="G290" s="839" t="s">
        <v>175</v>
      </c>
      <c r="I290" t="s">
        <v>285</v>
      </c>
      <c r="J290" t="s">
        <v>286</v>
      </c>
    </row>
    <row r="291" spans="1:10" ht="13.5" customHeight="1" x14ac:dyDescent="0.35">
      <c r="A291" s="838">
        <v>45531</v>
      </c>
      <c r="B291" s="839" t="s">
        <v>1122</v>
      </c>
      <c r="C291" s="840" t="s">
        <v>56</v>
      </c>
      <c r="D291" s="839" t="s">
        <v>162</v>
      </c>
      <c r="E291" s="841">
        <v>35</v>
      </c>
      <c r="F291" s="839" t="s">
        <v>284</v>
      </c>
      <c r="G291" s="839" t="s">
        <v>175</v>
      </c>
      <c r="I291" t="s">
        <v>285</v>
      </c>
      <c r="J291" t="s">
        <v>286</v>
      </c>
    </row>
    <row r="292" spans="1:10" ht="13.5" customHeight="1" x14ac:dyDescent="0.35">
      <c r="A292" s="838">
        <v>45528</v>
      </c>
      <c r="B292" s="839" t="s">
        <v>402</v>
      </c>
      <c r="C292" s="840" t="s">
        <v>47</v>
      </c>
      <c r="D292" s="839" t="s">
        <v>159</v>
      </c>
      <c r="E292" s="841">
        <v>50</v>
      </c>
      <c r="F292" s="839" t="s">
        <v>1123</v>
      </c>
      <c r="G292" s="839" t="s">
        <v>175</v>
      </c>
      <c r="I292" t="s">
        <v>268</v>
      </c>
      <c r="J292" t="s">
        <v>269</v>
      </c>
    </row>
    <row r="293" spans="1:10" ht="13.5" customHeight="1" x14ac:dyDescent="0.35">
      <c r="A293" s="838">
        <v>45530</v>
      </c>
      <c r="B293" s="839" t="s">
        <v>1124</v>
      </c>
      <c r="C293" s="840" t="s">
        <v>31</v>
      </c>
      <c r="D293" s="839" t="s">
        <v>160</v>
      </c>
      <c r="E293" s="841">
        <v>90</v>
      </c>
      <c r="F293" s="839" t="s">
        <v>1125</v>
      </c>
      <c r="G293" s="839" t="s">
        <v>175</v>
      </c>
      <c r="I293" t="s">
        <v>274</v>
      </c>
      <c r="J293" t="s">
        <v>232</v>
      </c>
    </row>
    <row r="294" spans="1:10" ht="13.5" customHeight="1" x14ac:dyDescent="0.35">
      <c r="A294" s="838">
        <v>45531</v>
      </c>
      <c r="B294" s="839" t="s">
        <v>1126</v>
      </c>
      <c r="C294" s="840" t="s">
        <v>35</v>
      </c>
      <c r="D294" s="839" t="s">
        <v>162</v>
      </c>
      <c r="E294" s="841">
        <v>180</v>
      </c>
      <c r="F294" s="839" t="s">
        <v>1127</v>
      </c>
      <c r="G294" s="839" t="s">
        <v>175</v>
      </c>
      <c r="I294" t="s">
        <v>758</v>
      </c>
      <c r="J294" t="s">
        <v>222</v>
      </c>
    </row>
    <row r="295" spans="1:10" ht="13.5" customHeight="1" x14ac:dyDescent="0.35">
      <c r="A295" s="838">
        <v>45531</v>
      </c>
      <c r="B295" s="839" t="s">
        <v>1128</v>
      </c>
      <c r="C295" s="840" t="s">
        <v>31</v>
      </c>
      <c r="D295" s="839" t="s">
        <v>162</v>
      </c>
      <c r="E295" s="841">
        <v>79.2</v>
      </c>
      <c r="F295" s="839" t="s">
        <v>809</v>
      </c>
      <c r="G295" s="839" t="s">
        <v>180</v>
      </c>
      <c r="I295" t="s">
        <v>739</v>
      </c>
      <c r="J295" t="s">
        <v>226</v>
      </c>
    </row>
    <row r="296" spans="1:10" ht="13.5" customHeight="1" x14ac:dyDescent="0.35">
      <c r="A296" s="838">
        <v>45525</v>
      </c>
      <c r="B296" s="839" t="s">
        <v>1129</v>
      </c>
      <c r="C296" s="840" t="s">
        <v>28</v>
      </c>
      <c r="D296" s="839" t="s">
        <v>160</v>
      </c>
      <c r="E296" s="841">
        <v>250</v>
      </c>
      <c r="F296" s="839" t="s">
        <v>1025</v>
      </c>
      <c r="G296" s="839" t="s">
        <v>174</v>
      </c>
      <c r="I296" t="s">
        <v>657</v>
      </c>
      <c r="J296" t="s">
        <v>197</v>
      </c>
    </row>
    <row r="297" spans="1:10" ht="13.5" customHeight="1" x14ac:dyDescent="0.35">
      <c r="A297" s="838">
        <v>45522</v>
      </c>
      <c r="B297" s="839" t="s">
        <v>1130</v>
      </c>
      <c r="C297" s="840" t="s">
        <v>31</v>
      </c>
      <c r="D297" s="839" t="s">
        <v>159</v>
      </c>
      <c r="E297" s="841">
        <v>99</v>
      </c>
      <c r="F297" s="839" t="s">
        <v>177</v>
      </c>
      <c r="G297" s="839" t="s">
        <v>174</v>
      </c>
      <c r="I297" t="s">
        <v>210</v>
      </c>
      <c r="J297" t="s">
        <v>211</v>
      </c>
    </row>
    <row r="298" spans="1:10" ht="13.5" customHeight="1" x14ac:dyDescent="0.35">
      <c r="A298" s="838">
        <v>45520</v>
      </c>
      <c r="B298" s="839" t="s">
        <v>327</v>
      </c>
      <c r="C298" s="840" t="s">
        <v>47</v>
      </c>
      <c r="D298" s="839" t="s">
        <v>159</v>
      </c>
      <c r="E298" s="841">
        <v>360</v>
      </c>
      <c r="F298" s="839" t="s">
        <v>1103</v>
      </c>
      <c r="G298" s="839" t="s">
        <v>174</v>
      </c>
      <c r="I298" t="s">
        <v>774</v>
      </c>
      <c r="J298" t="s">
        <v>206</v>
      </c>
    </row>
    <row r="299" spans="1:10" ht="13.5" customHeight="1" x14ac:dyDescent="0.35">
      <c r="A299" s="838">
        <v>45518</v>
      </c>
      <c r="B299" s="839" t="s">
        <v>1131</v>
      </c>
      <c r="C299" s="840" t="s">
        <v>569</v>
      </c>
      <c r="D299" s="839" t="s">
        <v>164</v>
      </c>
      <c r="E299" s="841">
        <v>30</v>
      </c>
      <c r="F299" s="839" t="s">
        <v>753</v>
      </c>
      <c r="G299" s="839" t="s">
        <v>174</v>
      </c>
      <c r="I299" t="s">
        <v>725</v>
      </c>
      <c r="J299" t="s">
        <v>726</v>
      </c>
    </row>
    <row r="300" spans="1:10" ht="13.5" customHeight="1" x14ac:dyDescent="0.35">
      <c r="A300" s="838">
        <v>45518</v>
      </c>
      <c r="B300" s="839" t="s">
        <v>97</v>
      </c>
      <c r="C300" s="840" t="s">
        <v>59</v>
      </c>
      <c r="D300" s="839" t="s">
        <v>162</v>
      </c>
      <c r="E300" s="841">
        <v>245</v>
      </c>
      <c r="F300" s="839" t="s">
        <v>1132</v>
      </c>
      <c r="G300" s="839" t="s">
        <v>175</v>
      </c>
      <c r="I300" t="s">
        <v>254</v>
      </c>
      <c r="J300" t="s">
        <v>255</v>
      </c>
    </row>
    <row r="301" spans="1:10" ht="13.5" customHeight="1" x14ac:dyDescent="0.35">
      <c r="A301" s="838">
        <v>45517</v>
      </c>
      <c r="B301" s="839" t="s">
        <v>89</v>
      </c>
      <c r="C301" s="840" t="s">
        <v>56</v>
      </c>
      <c r="D301" s="839" t="s">
        <v>160</v>
      </c>
      <c r="E301" s="841">
        <v>45.38</v>
      </c>
      <c r="F301" s="839" t="s">
        <v>284</v>
      </c>
      <c r="G301" s="839" t="s">
        <v>89</v>
      </c>
      <c r="I301" t="s">
        <v>285</v>
      </c>
      <c r="J301" t="s">
        <v>286</v>
      </c>
    </row>
    <row r="302" spans="1:10" ht="13.5" customHeight="1" x14ac:dyDescent="0.35">
      <c r="A302" s="838">
        <v>45516</v>
      </c>
      <c r="B302" s="839" t="s">
        <v>1120</v>
      </c>
      <c r="C302" s="840" t="s">
        <v>47</v>
      </c>
      <c r="D302" s="839" t="s">
        <v>159</v>
      </c>
      <c r="E302" s="841">
        <v>360</v>
      </c>
      <c r="F302" s="839" t="s">
        <v>1133</v>
      </c>
      <c r="G302" s="839" t="s">
        <v>175</v>
      </c>
      <c r="I302" t="s">
        <v>774</v>
      </c>
      <c r="J302" t="s">
        <v>206</v>
      </c>
    </row>
    <row r="303" spans="1:10" ht="13.5" customHeight="1" x14ac:dyDescent="0.35">
      <c r="A303" s="838">
        <v>45515</v>
      </c>
      <c r="B303" s="839" t="s">
        <v>640</v>
      </c>
      <c r="C303" s="840" t="s">
        <v>28</v>
      </c>
      <c r="D303" s="839" t="s">
        <v>159</v>
      </c>
      <c r="E303" s="841">
        <v>250</v>
      </c>
      <c r="F303" s="839" t="s">
        <v>1025</v>
      </c>
      <c r="G303" s="839" t="s">
        <v>174</v>
      </c>
      <c r="I303" t="s">
        <v>657</v>
      </c>
      <c r="J303" t="s">
        <v>197</v>
      </c>
    </row>
    <row r="304" spans="1:10" ht="13.5" customHeight="1" x14ac:dyDescent="0.35">
      <c r="A304" s="838">
        <v>45513</v>
      </c>
      <c r="B304" s="839" t="s">
        <v>351</v>
      </c>
      <c r="C304" s="840" t="s">
        <v>44</v>
      </c>
      <c r="D304" s="839" t="s">
        <v>159</v>
      </c>
      <c r="E304" s="841">
        <v>200</v>
      </c>
      <c r="F304" s="839" t="s">
        <v>1134</v>
      </c>
      <c r="G304" s="839" t="s">
        <v>175</v>
      </c>
      <c r="I304" t="s">
        <v>294</v>
      </c>
      <c r="J304" t="s">
        <v>295</v>
      </c>
    </row>
    <row r="305" spans="1:10" ht="13.5" customHeight="1" x14ac:dyDescent="0.35">
      <c r="A305" s="838">
        <v>45511</v>
      </c>
      <c r="B305" s="839" t="s">
        <v>1135</v>
      </c>
      <c r="C305" s="840" t="s">
        <v>28</v>
      </c>
      <c r="D305" s="839" t="s">
        <v>160</v>
      </c>
      <c r="E305" s="841">
        <v>250</v>
      </c>
      <c r="F305" s="839" t="s">
        <v>1025</v>
      </c>
      <c r="G305" s="839" t="s">
        <v>174</v>
      </c>
      <c r="I305" t="s">
        <v>657</v>
      </c>
      <c r="J305" t="s">
        <v>197</v>
      </c>
    </row>
    <row r="306" spans="1:10" ht="13.5" customHeight="1" x14ac:dyDescent="0.35">
      <c r="A306" s="838">
        <v>45508</v>
      </c>
      <c r="B306" s="839" t="s">
        <v>1136</v>
      </c>
      <c r="C306" s="840" t="s">
        <v>31</v>
      </c>
      <c r="D306" s="839" t="s">
        <v>159</v>
      </c>
      <c r="E306" s="841">
        <v>55</v>
      </c>
      <c r="F306" s="839" t="s">
        <v>1008</v>
      </c>
      <c r="G306" s="839" t="s">
        <v>175</v>
      </c>
      <c r="I306" t="s">
        <v>834</v>
      </c>
      <c r="J306" t="s">
        <v>226</v>
      </c>
    </row>
    <row r="307" spans="1:10" ht="13.5" customHeight="1" x14ac:dyDescent="0.35">
      <c r="A307" s="838">
        <v>45506</v>
      </c>
      <c r="B307" s="839" t="s">
        <v>1137</v>
      </c>
      <c r="C307" s="840" t="s">
        <v>47</v>
      </c>
      <c r="D307" s="839" t="s">
        <v>159</v>
      </c>
      <c r="E307" s="841">
        <v>65</v>
      </c>
      <c r="F307" s="848" t="s">
        <v>941</v>
      </c>
      <c r="G307" s="839" t="s">
        <v>175</v>
      </c>
      <c r="I307" t="s">
        <v>205</v>
      </c>
      <c r="J307" t="s">
        <v>206</v>
      </c>
    </row>
    <row r="308" spans="1:10" ht="13.5" customHeight="1" x14ac:dyDescent="0.35">
      <c r="A308" s="838">
        <v>45506</v>
      </c>
      <c r="B308" s="839" t="s">
        <v>1138</v>
      </c>
      <c r="C308" s="840" t="s">
        <v>31</v>
      </c>
      <c r="D308" s="839" t="s">
        <v>159</v>
      </c>
      <c r="E308" s="841">
        <v>55</v>
      </c>
      <c r="F308" s="839" t="s">
        <v>1008</v>
      </c>
      <c r="G308" s="839" t="s">
        <v>174</v>
      </c>
      <c r="I308" t="s">
        <v>834</v>
      </c>
      <c r="J308" t="s">
        <v>226</v>
      </c>
    </row>
    <row r="309" spans="1:10" ht="13.5" customHeight="1" x14ac:dyDescent="0.35">
      <c r="A309" s="838">
        <v>45505</v>
      </c>
      <c r="B309" s="839" t="s">
        <v>1077</v>
      </c>
      <c r="C309" s="840" t="s">
        <v>37</v>
      </c>
      <c r="D309" s="839" t="s">
        <v>159</v>
      </c>
      <c r="E309" s="841">
        <v>250</v>
      </c>
      <c r="F309" s="839" t="s">
        <v>1078</v>
      </c>
      <c r="G309" s="839" t="s">
        <v>175</v>
      </c>
      <c r="I309" t="s">
        <v>353</v>
      </c>
      <c r="J309" t="s">
        <v>354</v>
      </c>
    </row>
    <row r="310" spans="1:10" ht="13.5" customHeight="1" x14ac:dyDescent="0.35">
      <c r="A310" s="838">
        <v>45505</v>
      </c>
      <c r="B310" s="839" t="s">
        <v>292</v>
      </c>
      <c r="C310" s="840" t="s">
        <v>44</v>
      </c>
      <c r="D310" s="839" t="s">
        <v>159</v>
      </c>
      <c r="E310" s="841">
        <v>40</v>
      </c>
      <c r="F310" s="839" t="s">
        <v>292</v>
      </c>
      <c r="G310" s="839" t="s">
        <v>175</v>
      </c>
      <c r="I310" t="s">
        <v>294</v>
      </c>
      <c r="J310" t="s">
        <v>295</v>
      </c>
    </row>
    <row r="311" spans="1:10" ht="13.5" customHeight="1" x14ac:dyDescent="0.35">
      <c r="A311" s="838"/>
      <c r="B311" s="839"/>
      <c r="C311" s="840"/>
      <c r="D311" s="839"/>
      <c r="E311" s="841"/>
      <c r="F311" s="839"/>
      <c r="G311" s="839"/>
    </row>
    <row r="312" spans="1:10" ht="13.5" customHeight="1" x14ac:dyDescent="0.35">
      <c r="A312" s="838">
        <v>45504</v>
      </c>
      <c r="B312" s="839" t="s">
        <v>1139</v>
      </c>
      <c r="C312" s="840" t="s">
        <v>47</v>
      </c>
      <c r="D312" s="839" t="s">
        <v>159</v>
      </c>
      <c r="E312" s="841">
        <v>50</v>
      </c>
      <c r="F312" s="839" t="s">
        <v>859</v>
      </c>
      <c r="G312" s="839" t="s">
        <v>174</v>
      </c>
      <c r="I312" t="s">
        <v>268</v>
      </c>
      <c r="J312" t="s">
        <v>269</v>
      </c>
    </row>
    <row r="313" spans="1:10" ht="13.5" customHeight="1" x14ac:dyDescent="0.35">
      <c r="A313" s="838">
        <v>45504</v>
      </c>
      <c r="B313" s="839" t="s">
        <v>1140</v>
      </c>
      <c r="C313" s="840" t="s">
        <v>59</v>
      </c>
      <c r="D313" s="839" t="s">
        <v>159</v>
      </c>
      <c r="E313" s="841">
        <v>112.5</v>
      </c>
      <c r="F313" s="839" t="s">
        <v>875</v>
      </c>
      <c r="G313" s="839" t="s">
        <v>175</v>
      </c>
      <c r="I313" t="s">
        <v>320</v>
      </c>
      <c r="J313" t="s">
        <v>304</v>
      </c>
    </row>
    <row r="314" spans="1:10" ht="13.5" customHeight="1" x14ac:dyDescent="0.35">
      <c r="A314" s="838">
        <v>45496</v>
      </c>
      <c r="B314" s="839" t="s">
        <v>1141</v>
      </c>
      <c r="C314" s="840" t="s">
        <v>569</v>
      </c>
      <c r="D314" s="839" t="s">
        <v>164</v>
      </c>
      <c r="E314" s="841">
        <v>30</v>
      </c>
      <c r="F314" s="839" t="s">
        <v>753</v>
      </c>
      <c r="G314" s="839" t="s">
        <v>174</v>
      </c>
      <c r="I314" t="s">
        <v>725</v>
      </c>
      <c r="J314" t="s">
        <v>726</v>
      </c>
    </row>
    <row r="315" spans="1:10" ht="13.5" customHeight="1" x14ac:dyDescent="0.35">
      <c r="A315" s="838">
        <v>45498</v>
      </c>
      <c r="B315" s="839" t="s">
        <v>309</v>
      </c>
      <c r="C315" s="840" t="s">
        <v>28</v>
      </c>
      <c r="D315" s="839" t="s">
        <v>159</v>
      </c>
      <c r="E315" s="841">
        <v>395</v>
      </c>
      <c r="F315" s="839" t="s">
        <v>747</v>
      </c>
      <c r="G315" s="839" t="s">
        <v>174</v>
      </c>
      <c r="I315" t="s">
        <v>678</v>
      </c>
      <c r="J315" t="s">
        <v>679</v>
      </c>
    </row>
    <row r="316" spans="1:10" ht="13.5" customHeight="1" x14ac:dyDescent="0.35">
      <c r="A316" s="838">
        <v>45495</v>
      </c>
      <c r="B316" s="839" t="s">
        <v>1142</v>
      </c>
      <c r="C316" s="840" t="s">
        <v>53</v>
      </c>
      <c r="D316" s="839" t="s">
        <v>165</v>
      </c>
      <c r="E316" s="841">
        <v>-100</v>
      </c>
      <c r="F316" s="839" t="s">
        <v>230</v>
      </c>
      <c r="G316" s="839" t="s">
        <v>175</v>
      </c>
      <c r="I316" t="s">
        <v>220</v>
      </c>
      <c r="J316"/>
    </row>
    <row r="317" spans="1:10" ht="13.5" customHeight="1" x14ac:dyDescent="0.35">
      <c r="A317" s="838">
        <v>45495</v>
      </c>
      <c r="B317" s="839" t="s">
        <v>1142</v>
      </c>
      <c r="C317" s="840" t="s">
        <v>35</v>
      </c>
      <c r="D317" s="839" t="s">
        <v>165</v>
      </c>
      <c r="E317" s="841">
        <v>100</v>
      </c>
      <c r="F317" s="839" t="s">
        <v>230</v>
      </c>
      <c r="G317" s="839" t="s">
        <v>175</v>
      </c>
      <c r="I317" t="s">
        <v>231</v>
      </c>
      <c r="J317" t="s">
        <v>232</v>
      </c>
    </row>
    <row r="318" spans="1:10" ht="13.5" customHeight="1" x14ac:dyDescent="0.35">
      <c r="A318" s="838">
        <v>45495</v>
      </c>
      <c r="B318" s="839" t="s">
        <v>1142</v>
      </c>
      <c r="C318" s="840" t="s">
        <v>35</v>
      </c>
      <c r="D318" s="839" t="s">
        <v>159</v>
      </c>
      <c r="E318" s="841">
        <v>75</v>
      </c>
      <c r="F318" s="839" t="s">
        <v>230</v>
      </c>
      <c r="G318" s="839" t="s">
        <v>175</v>
      </c>
      <c r="I318" t="s">
        <v>231</v>
      </c>
      <c r="J318" t="s">
        <v>232</v>
      </c>
    </row>
    <row r="319" spans="1:10" ht="13.5" customHeight="1" x14ac:dyDescent="0.35">
      <c r="A319" s="838">
        <v>45489</v>
      </c>
      <c r="B319" s="839" t="s">
        <v>1143</v>
      </c>
      <c r="C319" s="840" t="s">
        <v>569</v>
      </c>
      <c r="D319" s="839" t="s">
        <v>160</v>
      </c>
      <c r="E319" s="841">
        <v>30</v>
      </c>
      <c r="F319" s="839" t="s">
        <v>753</v>
      </c>
      <c r="G319" s="839" t="s">
        <v>174</v>
      </c>
      <c r="I319" t="s">
        <v>725</v>
      </c>
      <c r="J319" t="s">
        <v>726</v>
      </c>
    </row>
    <row r="320" spans="1:10" ht="13.5" customHeight="1" x14ac:dyDescent="0.35">
      <c r="A320" s="838">
        <v>45489</v>
      </c>
      <c r="B320" s="839" t="s">
        <v>1144</v>
      </c>
      <c r="C320" s="840" t="s">
        <v>53</v>
      </c>
      <c r="D320" s="839" t="s">
        <v>165</v>
      </c>
      <c r="E320" s="841">
        <v>-100</v>
      </c>
      <c r="F320" s="839" t="s">
        <v>273</v>
      </c>
      <c r="G320" s="839" t="s">
        <v>174</v>
      </c>
      <c r="I320" t="s">
        <v>220</v>
      </c>
      <c r="J320"/>
    </row>
    <row r="321" spans="1:10" ht="13.5" customHeight="1" x14ac:dyDescent="0.35">
      <c r="A321" s="838">
        <v>45489</v>
      </c>
      <c r="B321" s="839" t="s">
        <v>1144</v>
      </c>
      <c r="C321" s="840" t="s">
        <v>35</v>
      </c>
      <c r="D321" s="839" t="s">
        <v>165</v>
      </c>
      <c r="E321" s="841">
        <v>100</v>
      </c>
      <c r="F321" s="839" t="s">
        <v>273</v>
      </c>
      <c r="G321" s="839" t="s">
        <v>174</v>
      </c>
      <c r="I321" t="s">
        <v>274</v>
      </c>
      <c r="J321" t="s">
        <v>232</v>
      </c>
    </row>
    <row r="322" spans="1:10" ht="13.5" customHeight="1" x14ac:dyDescent="0.35">
      <c r="A322" s="838">
        <v>45489</v>
      </c>
      <c r="B322" s="839" t="s">
        <v>1144</v>
      </c>
      <c r="C322" s="840" t="s">
        <v>35</v>
      </c>
      <c r="D322" s="839" t="s">
        <v>159</v>
      </c>
      <c r="E322" s="841">
        <v>25</v>
      </c>
      <c r="F322" s="839" t="s">
        <v>273</v>
      </c>
      <c r="G322" s="839" t="s">
        <v>174</v>
      </c>
      <c r="I322" t="s">
        <v>274</v>
      </c>
      <c r="J322" t="s">
        <v>232</v>
      </c>
    </row>
    <row r="323" spans="1:10" ht="13.5" customHeight="1" x14ac:dyDescent="0.35">
      <c r="A323" s="838">
        <v>45490</v>
      </c>
      <c r="B323" s="839" t="s">
        <v>1145</v>
      </c>
      <c r="C323" s="840" t="s">
        <v>47</v>
      </c>
      <c r="D323" s="839" t="s">
        <v>159</v>
      </c>
      <c r="E323" s="841">
        <v>60</v>
      </c>
      <c r="F323" s="839" t="s">
        <v>1146</v>
      </c>
      <c r="G323" s="839" t="s">
        <v>174</v>
      </c>
      <c r="I323" t="s">
        <v>265</v>
      </c>
      <c r="J323" t="s">
        <v>206</v>
      </c>
    </row>
    <row r="324" spans="1:10" ht="13.5" customHeight="1" x14ac:dyDescent="0.35">
      <c r="A324" s="838">
        <v>45491</v>
      </c>
      <c r="B324" s="839" t="s">
        <v>1139</v>
      </c>
      <c r="C324" s="840" t="s">
        <v>47</v>
      </c>
      <c r="D324" s="839" t="s">
        <v>159</v>
      </c>
      <c r="E324" s="841">
        <v>50</v>
      </c>
      <c r="F324" s="839" t="s">
        <v>859</v>
      </c>
      <c r="G324" s="839" t="s">
        <v>174</v>
      </c>
      <c r="I324" t="s">
        <v>268</v>
      </c>
      <c r="J324" t="s">
        <v>269</v>
      </c>
    </row>
    <row r="325" spans="1:10" ht="13.5" customHeight="1" x14ac:dyDescent="0.35">
      <c r="A325" s="838">
        <v>45491</v>
      </c>
      <c r="B325" s="839" t="s">
        <v>1137</v>
      </c>
      <c r="C325" s="840" t="s">
        <v>47</v>
      </c>
      <c r="D325" s="839" t="s">
        <v>159</v>
      </c>
      <c r="E325" s="841">
        <v>65</v>
      </c>
      <c r="F325" s="839" t="s">
        <v>1147</v>
      </c>
      <c r="G325" s="839" t="s">
        <v>174</v>
      </c>
      <c r="I325" t="s">
        <v>205</v>
      </c>
      <c r="J325" t="s">
        <v>206</v>
      </c>
    </row>
    <row r="326" spans="1:10" ht="13.5" customHeight="1" x14ac:dyDescent="0.35">
      <c r="A326" s="838">
        <v>45491</v>
      </c>
      <c r="B326" s="839" t="s">
        <v>1148</v>
      </c>
      <c r="C326" s="840" t="s">
        <v>47</v>
      </c>
      <c r="D326" s="839" t="s">
        <v>159</v>
      </c>
      <c r="E326" s="841">
        <v>50</v>
      </c>
      <c r="F326" s="839" t="s">
        <v>859</v>
      </c>
      <c r="G326" s="839" t="s">
        <v>174</v>
      </c>
      <c r="I326" t="s">
        <v>268</v>
      </c>
      <c r="J326" t="s">
        <v>269</v>
      </c>
    </row>
    <row r="327" spans="1:10" ht="13.5" customHeight="1" x14ac:dyDescent="0.35">
      <c r="A327" s="838">
        <v>45481</v>
      </c>
      <c r="B327" s="839" t="s">
        <v>1140</v>
      </c>
      <c r="C327" s="840" t="s">
        <v>59</v>
      </c>
      <c r="D327" s="839" t="s">
        <v>159</v>
      </c>
      <c r="E327" s="841">
        <v>150</v>
      </c>
      <c r="F327" s="839" t="s">
        <v>875</v>
      </c>
      <c r="G327" s="839" t="s">
        <v>175</v>
      </c>
      <c r="I327" t="s">
        <v>320</v>
      </c>
      <c r="J327" t="s">
        <v>304</v>
      </c>
    </row>
    <row r="328" spans="1:10" ht="13.5" customHeight="1" x14ac:dyDescent="0.35">
      <c r="A328" s="838">
        <v>45474</v>
      </c>
      <c r="B328" s="839" t="s">
        <v>1140</v>
      </c>
      <c r="C328" s="840" t="s">
        <v>59</v>
      </c>
      <c r="D328" s="839" t="s">
        <v>159</v>
      </c>
      <c r="E328" s="841">
        <v>100</v>
      </c>
      <c r="F328" s="839" t="s">
        <v>875</v>
      </c>
      <c r="G328" s="839" t="s">
        <v>174</v>
      </c>
      <c r="I328" t="s">
        <v>320</v>
      </c>
      <c r="J328" t="s">
        <v>304</v>
      </c>
    </row>
    <row r="329" spans="1:10" ht="13.5" customHeight="1" x14ac:dyDescent="0.35">
      <c r="A329" s="838">
        <v>45474</v>
      </c>
      <c r="B329" s="839" t="s">
        <v>292</v>
      </c>
      <c r="C329" s="840" t="s">
        <v>44</v>
      </c>
      <c r="D329" s="839" t="s">
        <v>159</v>
      </c>
      <c r="E329" s="841">
        <v>80</v>
      </c>
      <c r="F329" s="839" t="s">
        <v>292</v>
      </c>
      <c r="G329" s="839" t="s">
        <v>175</v>
      </c>
      <c r="I329" t="s">
        <v>294</v>
      </c>
      <c r="J329" t="s">
        <v>295</v>
      </c>
    </row>
    <row r="330" spans="1:10" ht="13.5" customHeight="1" x14ac:dyDescent="0.35">
      <c r="A330" s="838"/>
      <c r="B330" s="839"/>
      <c r="C330" s="840"/>
      <c r="D330" s="839"/>
      <c r="E330" s="841"/>
      <c r="F330" s="839"/>
      <c r="G330" s="839"/>
    </row>
    <row r="331" spans="1:10" ht="13.5" customHeight="1" x14ac:dyDescent="0.35">
      <c r="A331" s="838">
        <v>45472</v>
      </c>
      <c r="B331" s="839" t="s">
        <v>1149</v>
      </c>
      <c r="C331" s="840" t="s">
        <v>31</v>
      </c>
      <c r="D331" s="839" t="s">
        <v>165</v>
      </c>
      <c r="E331" s="841">
        <v>99</v>
      </c>
      <c r="F331" s="839" t="s">
        <v>177</v>
      </c>
      <c r="G331" s="839" t="s">
        <v>176</v>
      </c>
      <c r="I331" t="s">
        <v>210</v>
      </c>
      <c r="J331" t="s">
        <v>211</v>
      </c>
    </row>
    <row r="332" spans="1:10" ht="13.5" customHeight="1" x14ac:dyDescent="0.35">
      <c r="A332" s="838">
        <v>45472</v>
      </c>
      <c r="B332" s="839" t="s">
        <v>1149</v>
      </c>
      <c r="C332" s="840" t="s">
        <v>53</v>
      </c>
      <c r="D332" s="839" t="s">
        <v>165</v>
      </c>
      <c r="E332" s="841">
        <v>-99</v>
      </c>
      <c r="F332" s="839" t="s">
        <v>177</v>
      </c>
      <c r="G332" s="839" t="s">
        <v>176</v>
      </c>
      <c r="I332" t="s">
        <v>220</v>
      </c>
      <c r="J332"/>
    </row>
    <row r="333" spans="1:10" ht="13.5" customHeight="1" x14ac:dyDescent="0.35">
      <c r="A333" s="838">
        <v>45470</v>
      </c>
      <c r="B333" s="839" t="s">
        <v>1118</v>
      </c>
      <c r="C333" s="840" t="s">
        <v>47</v>
      </c>
      <c r="D333" s="839" t="s">
        <v>159</v>
      </c>
      <c r="E333" s="841">
        <v>65</v>
      </c>
      <c r="F333" s="839" t="s">
        <v>1150</v>
      </c>
      <c r="G333" s="839" t="s">
        <v>175</v>
      </c>
      <c r="I333" t="s">
        <v>265</v>
      </c>
      <c r="J333" t="s">
        <v>206</v>
      </c>
    </row>
    <row r="334" spans="1:10" ht="13.5" customHeight="1" x14ac:dyDescent="0.35">
      <c r="A334" s="838">
        <v>45470</v>
      </c>
      <c r="B334" s="839" t="s">
        <v>78</v>
      </c>
      <c r="C334" s="840" t="s">
        <v>56</v>
      </c>
      <c r="D334" s="839" t="s">
        <v>162</v>
      </c>
      <c r="E334" s="841">
        <v>118.48</v>
      </c>
      <c r="F334" s="839" t="s">
        <v>1151</v>
      </c>
      <c r="G334" s="839" t="s">
        <v>181</v>
      </c>
      <c r="I334" t="s">
        <v>333</v>
      </c>
      <c r="J334" t="s">
        <v>286</v>
      </c>
    </row>
    <row r="335" spans="1:10" ht="13.5" customHeight="1" x14ac:dyDescent="0.35">
      <c r="A335" s="838">
        <v>45470</v>
      </c>
      <c r="B335" s="839" t="s">
        <v>1152</v>
      </c>
      <c r="C335" s="840" t="s">
        <v>31</v>
      </c>
      <c r="D335" s="839" t="s">
        <v>165</v>
      </c>
      <c r="E335" s="841">
        <v>100</v>
      </c>
      <c r="F335" s="839" t="s">
        <v>279</v>
      </c>
      <c r="G335" s="839" t="s">
        <v>176</v>
      </c>
      <c r="I335" t="s">
        <v>280</v>
      </c>
      <c r="J335" t="s">
        <v>226</v>
      </c>
    </row>
    <row r="336" spans="1:10" ht="13.5" customHeight="1" x14ac:dyDescent="0.35">
      <c r="A336" s="838">
        <v>45470</v>
      </c>
      <c r="B336" s="839" t="s">
        <v>1152</v>
      </c>
      <c r="C336" s="840" t="s">
        <v>53</v>
      </c>
      <c r="D336" s="839" t="s">
        <v>165</v>
      </c>
      <c r="E336" s="841">
        <v>-100</v>
      </c>
      <c r="F336" s="839" t="s">
        <v>279</v>
      </c>
      <c r="G336" s="839" t="s">
        <v>176</v>
      </c>
      <c r="I336" t="s">
        <v>220</v>
      </c>
      <c r="J336"/>
    </row>
    <row r="337" spans="1:10" ht="13.5" customHeight="1" x14ac:dyDescent="0.35">
      <c r="A337" s="838">
        <v>45470</v>
      </c>
      <c r="B337" s="839" t="s">
        <v>1152</v>
      </c>
      <c r="C337" s="840" t="s">
        <v>35</v>
      </c>
      <c r="D337" s="839" t="s">
        <v>159</v>
      </c>
      <c r="E337" s="841">
        <v>25</v>
      </c>
      <c r="F337" s="839" t="s">
        <v>279</v>
      </c>
      <c r="G337" s="839" t="s">
        <v>176</v>
      </c>
      <c r="I337" t="s">
        <v>280</v>
      </c>
      <c r="J337" t="s">
        <v>226</v>
      </c>
    </row>
    <row r="338" spans="1:10" ht="13.5" customHeight="1" x14ac:dyDescent="0.35">
      <c r="A338" s="838">
        <v>45462</v>
      </c>
      <c r="B338" s="839" t="s">
        <v>1153</v>
      </c>
      <c r="C338" s="840" t="s">
        <v>50</v>
      </c>
      <c r="D338" s="839" t="s">
        <v>159</v>
      </c>
      <c r="E338" s="841">
        <v>100</v>
      </c>
      <c r="F338" s="839" t="s">
        <v>734</v>
      </c>
      <c r="G338" s="839" t="s">
        <v>174</v>
      </c>
      <c r="I338" t="s">
        <v>210</v>
      </c>
      <c r="J338" t="s">
        <v>211</v>
      </c>
    </row>
    <row r="339" spans="1:10" ht="13.5" customHeight="1" x14ac:dyDescent="0.35">
      <c r="A339" s="838">
        <v>45458</v>
      </c>
      <c r="B339" s="839" t="s">
        <v>1154</v>
      </c>
      <c r="C339" s="840" t="s">
        <v>50</v>
      </c>
      <c r="D339" s="839" t="s">
        <v>159</v>
      </c>
      <c r="E339" s="841">
        <v>50</v>
      </c>
      <c r="F339" s="839" t="s">
        <v>734</v>
      </c>
      <c r="G339" s="839" t="s">
        <v>174</v>
      </c>
      <c r="I339" t="s">
        <v>210</v>
      </c>
      <c r="J339" t="s">
        <v>211</v>
      </c>
    </row>
    <row r="340" spans="1:10" ht="13.5" customHeight="1" x14ac:dyDescent="0.35">
      <c r="A340" s="838">
        <v>45455</v>
      </c>
      <c r="B340" s="839" t="s">
        <v>1155</v>
      </c>
      <c r="C340" s="840" t="s">
        <v>569</v>
      </c>
      <c r="D340" s="839" t="s">
        <v>160</v>
      </c>
      <c r="E340" s="841">
        <v>40</v>
      </c>
      <c r="F340" s="839" t="s">
        <v>753</v>
      </c>
      <c r="G340" s="839" t="s">
        <v>174</v>
      </c>
      <c r="I340" t="s">
        <v>725</v>
      </c>
      <c r="J340" t="s">
        <v>726</v>
      </c>
    </row>
    <row r="341" spans="1:10" ht="13.5" customHeight="1" x14ac:dyDescent="0.35">
      <c r="A341" s="838">
        <v>45453</v>
      </c>
      <c r="B341" s="839" t="s">
        <v>1156</v>
      </c>
      <c r="C341" s="840" t="s">
        <v>35</v>
      </c>
      <c r="D341" s="839" t="s">
        <v>159</v>
      </c>
      <c r="E341" s="841">
        <v>125</v>
      </c>
      <c r="F341" s="839" t="s">
        <v>463</v>
      </c>
      <c r="G341" s="839" t="s">
        <v>174</v>
      </c>
      <c r="I341" t="s">
        <v>879</v>
      </c>
      <c r="J341" t="s">
        <v>222</v>
      </c>
    </row>
    <row r="342" spans="1:10" ht="13.5" customHeight="1" x14ac:dyDescent="0.35">
      <c r="A342" s="838">
        <v>45453</v>
      </c>
      <c r="B342" s="839" t="s">
        <v>1156</v>
      </c>
      <c r="C342" s="840" t="s">
        <v>35</v>
      </c>
      <c r="D342" s="839" t="s">
        <v>159</v>
      </c>
      <c r="E342" s="841">
        <v>945</v>
      </c>
      <c r="F342" s="839" t="s">
        <v>463</v>
      </c>
      <c r="G342" s="839" t="s">
        <v>174</v>
      </c>
      <c r="I342" t="s">
        <v>879</v>
      </c>
      <c r="J342" t="s">
        <v>222</v>
      </c>
    </row>
    <row r="343" spans="1:10" ht="13.5" customHeight="1" x14ac:dyDescent="0.35">
      <c r="A343" s="838">
        <v>45448</v>
      </c>
      <c r="B343" s="839" t="s">
        <v>1157</v>
      </c>
      <c r="C343" s="840" t="s">
        <v>31</v>
      </c>
      <c r="D343" s="839" t="s">
        <v>160</v>
      </c>
      <c r="E343" s="841">
        <v>35</v>
      </c>
      <c r="F343" s="839" t="s">
        <v>279</v>
      </c>
      <c r="G343" s="839" t="s">
        <v>174</v>
      </c>
      <c r="I343" t="s">
        <v>280</v>
      </c>
      <c r="J343" t="s">
        <v>226</v>
      </c>
    </row>
    <row r="344" spans="1:10" ht="13.5" customHeight="1" x14ac:dyDescent="0.35">
      <c r="A344" s="838">
        <v>45445</v>
      </c>
      <c r="B344" s="839" t="s">
        <v>1158</v>
      </c>
      <c r="C344" s="840" t="s">
        <v>35</v>
      </c>
      <c r="D344" s="839" t="s">
        <v>162</v>
      </c>
      <c r="E344" s="841">
        <v>180</v>
      </c>
      <c r="F344" s="839" t="s">
        <v>1127</v>
      </c>
      <c r="G344" s="839" t="s">
        <v>175</v>
      </c>
      <c r="I344" t="s">
        <v>758</v>
      </c>
      <c r="J344" t="s">
        <v>222</v>
      </c>
    </row>
    <row r="345" spans="1:10" ht="13.5" customHeight="1" x14ac:dyDescent="0.35">
      <c r="A345" s="838">
        <v>45444</v>
      </c>
      <c r="B345" s="839" t="s">
        <v>1159</v>
      </c>
      <c r="C345" s="840" t="s">
        <v>47</v>
      </c>
      <c r="D345" s="839" t="s">
        <v>159</v>
      </c>
      <c r="E345" s="841">
        <v>360</v>
      </c>
      <c r="F345" s="839" t="s">
        <v>1062</v>
      </c>
      <c r="G345" s="839" t="s">
        <v>174</v>
      </c>
      <c r="I345" t="s">
        <v>774</v>
      </c>
      <c r="J345" t="s">
        <v>206</v>
      </c>
    </row>
    <row r="346" spans="1:10" ht="13.5" customHeight="1" x14ac:dyDescent="0.35">
      <c r="A346" s="838">
        <v>45444</v>
      </c>
      <c r="B346" s="839" t="s">
        <v>292</v>
      </c>
      <c r="C346" s="840" t="s">
        <v>44</v>
      </c>
      <c r="D346" s="839" t="s">
        <v>159</v>
      </c>
      <c r="E346" s="841">
        <v>80</v>
      </c>
      <c r="F346" s="839" t="s">
        <v>292</v>
      </c>
      <c r="G346" s="839" t="s">
        <v>175</v>
      </c>
      <c r="I346" t="s">
        <v>294</v>
      </c>
      <c r="J346" t="s">
        <v>295</v>
      </c>
    </row>
    <row r="347" spans="1:10" ht="13.5" customHeight="1" x14ac:dyDescent="0.35">
      <c r="A347" s="838"/>
      <c r="B347" s="839"/>
      <c r="C347" s="840"/>
      <c r="D347" s="839"/>
      <c r="E347" s="841"/>
      <c r="F347" s="839"/>
      <c r="G347" s="839"/>
    </row>
    <row r="348" spans="1:10" ht="13.5" customHeight="1" x14ac:dyDescent="0.35">
      <c r="A348" s="838">
        <v>45443</v>
      </c>
      <c r="B348" s="839" t="s">
        <v>1160</v>
      </c>
      <c r="C348" s="840" t="s">
        <v>569</v>
      </c>
      <c r="D348" s="839" t="s">
        <v>159</v>
      </c>
      <c r="E348" s="841">
        <v>30</v>
      </c>
      <c r="F348" s="839" t="s">
        <v>753</v>
      </c>
      <c r="G348" s="839" t="s">
        <v>174</v>
      </c>
      <c r="I348" t="s">
        <v>725</v>
      </c>
      <c r="J348" t="s">
        <v>726</v>
      </c>
    </row>
    <row r="349" spans="1:10" ht="13.5" customHeight="1" x14ac:dyDescent="0.35">
      <c r="A349" s="838">
        <v>45440</v>
      </c>
      <c r="B349" s="839" t="s">
        <v>1120</v>
      </c>
      <c r="C349" s="840" t="s">
        <v>47</v>
      </c>
      <c r="D349" s="839" t="s">
        <v>159</v>
      </c>
      <c r="E349" s="841">
        <v>360</v>
      </c>
      <c r="F349" s="839" t="s">
        <v>1161</v>
      </c>
      <c r="G349" s="839" t="s">
        <v>174</v>
      </c>
      <c r="I349" t="s">
        <v>774</v>
      </c>
      <c r="J349" t="s">
        <v>206</v>
      </c>
    </row>
    <row r="350" spans="1:10" ht="13.5" customHeight="1" x14ac:dyDescent="0.35">
      <c r="A350" s="838">
        <v>45435</v>
      </c>
      <c r="B350" s="839" t="s">
        <v>1162</v>
      </c>
      <c r="C350" s="840" t="s">
        <v>35</v>
      </c>
      <c r="D350" s="839" t="s">
        <v>159</v>
      </c>
      <c r="E350" s="841">
        <v>150</v>
      </c>
      <c r="F350" s="839" t="s">
        <v>695</v>
      </c>
      <c r="G350" s="839" t="s">
        <v>175</v>
      </c>
      <c r="I350" t="s">
        <v>282</v>
      </c>
      <c r="J350" t="s">
        <v>226</v>
      </c>
    </row>
    <row r="351" spans="1:10" ht="13.5" customHeight="1" x14ac:dyDescent="0.35">
      <c r="A351" s="838">
        <v>45435</v>
      </c>
      <c r="B351" s="839" t="s">
        <v>1162</v>
      </c>
      <c r="C351" s="840" t="s">
        <v>53</v>
      </c>
      <c r="D351" s="839" t="s">
        <v>165</v>
      </c>
      <c r="E351" s="841">
        <v>-50</v>
      </c>
      <c r="F351" s="839" t="s">
        <v>695</v>
      </c>
      <c r="G351" s="839" t="s">
        <v>175</v>
      </c>
      <c r="I351" t="s">
        <v>220</v>
      </c>
      <c r="J351"/>
    </row>
    <row r="352" spans="1:10" ht="13.5" customHeight="1" x14ac:dyDescent="0.35">
      <c r="A352" s="838">
        <v>45435</v>
      </c>
      <c r="B352" s="839" t="s">
        <v>1163</v>
      </c>
      <c r="C352" s="840" t="s">
        <v>47</v>
      </c>
      <c r="D352" s="839" t="s">
        <v>159</v>
      </c>
      <c r="E352" s="841">
        <v>85</v>
      </c>
      <c r="F352" s="839" t="s">
        <v>621</v>
      </c>
      <c r="G352" s="839" t="s">
        <v>174</v>
      </c>
      <c r="I352" t="s">
        <v>205</v>
      </c>
      <c r="J352" t="s">
        <v>206</v>
      </c>
    </row>
    <row r="353" spans="1:10" ht="13.5" customHeight="1" x14ac:dyDescent="0.35">
      <c r="A353" s="838">
        <v>45433</v>
      </c>
      <c r="B353" s="839" t="s">
        <v>1158</v>
      </c>
      <c r="C353" s="840" t="s">
        <v>35</v>
      </c>
      <c r="D353" s="839" t="s">
        <v>159</v>
      </c>
      <c r="E353" s="841">
        <v>975</v>
      </c>
      <c r="F353" s="839" t="s">
        <v>504</v>
      </c>
      <c r="G353" s="839" t="s">
        <v>174</v>
      </c>
      <c r="I353" t="s">
        <v>1164</v>
      </c>
      <c r="J353" t="s">
        <v>222</v>
      </c>
    </row>
    <row r="354" spans="1:10" ht="13.5" customHeight="1" x14ac:dyDescent="0.35">
      <c r="A354" s="838">
        <v>45433</v>
      </c>
      <c r="B354" s="839" t="s">
        <v>89</v>
      </c>
      <c r="C354" s="840" t="s">
        <v>56</v>
      </c>
      <c r="D354" s="839" t="s">
        <v>160</v>
      </c>
      <c r="E354" s="841">
        <v>35.340000000000003</v>
      </c>
      <c r="F354" s="839" t="s">
        <v>1026</v>
      </c>
      <c r="G354" s="839" t="s">
        <v>89</v>
      </c>
      <c r="I354" t="s">
        <v>285</v>
      </c>
      <c r="J354" t="s">
        <v>286</v>
      </c>
    </row>
    <row r="355" spans="1:10" ht="13.5" customHeight="1" x14ac:dyDescent="0.35">
      <c r="A355" s="838">
        <v>45430</v>
      </c>
      <c r="B355" s="839" t="s">
        <v>1165</v>
      </c>
      <c r="C355" s="840" t="s">
        <v>31</v>
      </c>
      <c r="D355" s="839" t="s">
        <v>159</v>
      </c>
      <c r="E355" s="841">
        <v>110</v>
      </c>
      <c r="F355" s="839" t="s">
        <v>1166</v>
      </c>
      <c r="G355" s="839" t="s">
        <v>174</v>
      </c>
      <c r="I355" t="s">
        <v>834</v>
      </c>
      <c r="J355" t="s">
        <v>226</v>
      </c>
    </row>
    <row r="356" spans="1:10" ht="13.5" customHeight="1" x14ac:dyDescent="0.35">
      <c r="A356" s="838">
        <v>45426</v>
      </c>
      <c r="B356" s="839" t="s">
        <v>1167</v>
      </c>
      <c r="C356" s="840" t="s">
        <v>47</v>
      </c>
      <c r="D356" s="839" t="s">
        <v>159</v>
      </c>
      <c r="E356" s="841">
        <v>360</v>
      </c>
      <c r="F356" s="839" t="s">
        <v>1168</v>
      </c>
      <c r="G356" s="839" t="s">
        <v>174</v>
      </c>
      <c r="I356" t="s">
        <v>774</v>
      </c>
      <c r="J356" t="s">
        <v>206</v>
      </c>
    </row>
    <row r="357" spans="1:10" ht="13.5" customHeight="1" x14ac:dyDescent="0.35">
      <c r="A357" s="838">
        <v>45426</v>
      </c>
      <c r="B357" s="839" t="s">
        <v>987</v>
      </c>
      <c r="C357" s="840" t="s">
        <v>31</v>
      </c>
      <c r="D357" s="839" t="s">
        <v>159</v>
      </c>
      <c r="E357" s="841">
        <v>235</v>
      </c>
      <c r="F357" s="839" t="s">
        <v>161</v>
      </c>
      <c r="G357" s="839" t="s">
        <v>174</v>
      </c>
      <c r="I357" t="s">
        <v>1107</v>
      </c>
      <c r="J357" t="s">
        <v>226</v>
      </c>
    </row>
    <row r="358" spans="1:10" ht="13.5" customHeight="1" x14ac:dyDescent="0.35">
      <c r="A358" s="838">
        <v>45426</v>
      </c>
      <c r="B358" s="839" t="s">
        <v>270</v>
      </c>
      <c r="C358" s="840" t="s">
        <v>47</v>
      </c>
      <c r="D358" s="839" t="s">
        <v>159</v>
      </c>
      <c r="E358" s="841">
        <v>170</v>
      </c>
      <c r="F358" s="839" t="s">
        <v>1169</v>
      </c>
      <c r="G358" s="839" t="s">
        <v>174</v>
      </c>
      <c r="I358" t="s">
        <v>314</v>
      </c>
      <c r="J358" t="s">
        <v>269</v>
      </c>
    </row>
    <row r="359" spans="1:10" ht="13.5" customHeight="1" x14ac:dyDescent="0.35">
      <c r="A359" s="838">
        <v>45421</v>
      </c>
      <c r="B359" s="839" t="s">
        <v>351</v>
      </c>
      <c r="C359" s="840" t="s">
        <v>41</v>
      </c>
      <c r="D359" s="839" t="s">
        <v>166</v>
      </c>
      <c r="E359" s="841">
        <v>-96</v>
      </c>
      <c r="F359" s="839" t="s">
        <v>1170</v>
      </c>
      <c r="G359" s="839" t="s">
        <v>175</v>
      </c>
      <c r="I359" t="s">
        <v>220</v>
      </c>
      <c r="J359"/>
    </row>
    <row r="360" spans="1:10" ht="13.5" customHeight="1" x14ac:dyDescent="0.35">
      <c r="A360" s="838">
        <v>45421</v>
      </c>
      <c r="B360" s="839" t="s">
        <v>351</v>
      </c>
      <c r="C360" s="840" t="s">
        <v>47</v>
      </c>
      <c r="D360" s="839" t="s">
        <v>166</v>
      </c>
      <c r="E360" s="841">
        <v>96</v>
      </c>
      <c r="F360" s="839" t="s">
        <v>1170</v>
      </c>
      <c r="G360" s="839" t="s">
        <v>175</v>
      </c>
      <c r="I360" t="s">
        <v>265</v>
      </c>
      <c r="J360" t="s">
        <v>206</v>
      </c>
    </row>
    <row r="361" spans="1:10" ht="13.5" customHeight="1" x14ac:dyDescent="0.35">
      <c r="A361" s="838">
        <v>45421</v>
      </c>
      <c r="B361" s="839" t="s">
        <v>351</v>
      </c>
      <c r="C361" s="840" t="s">
        <v>41</v>
      </c>
      <c r="D361" s="839" t="s">
        <v>166</v>
      </c>
      <c r="E361" s="841">
        <v>-96</v>
      </c>
      <c r="F361" s="839" t="s">
        <v>1170</v>
      </c>
      <c r="G361" s="839" t="s">
        <v>175</v>
      </c>
      <c r="I361" t="s">
        <v>220</v>
      </c>
      <c r="J361"/>
    </row>
    <row r="362" spans="1:10" ht="13.5" customHeight="1" x14ac:dyDescent="0.35">
      <c r="A362" s="838">
        <v>45421</v>
      </c>
      <c r="B362" s="839" t="s">
        <v>351</v>
      </c>
      <c r="C362" s="840" t="s">
        <v>47</v>
      </c>
      <c r="D362" s="839" t="s">
        <v>166</v>
      </c>
      <c r="E362" s="841">
        <v>96</v>
      </c>
      <c r="F362" s="839" t="s">
        <v>1170</v>
      </c>
      <c r="G362" s="839" t="s">
        <v>175</v>
      </c>
      <c r="I362" t="s">
        <v>265</v>
      </c>
      <c r="J362" t="s">
        <v>206</v>
      </c>
    </row>
    <row r="363" spans="1:10" ht="13.5" customHeight="1" x14ac:dyDescent="0.35">
      <c r="A363" s="838">
        <v>45419</v>
      </c>
      <c r="B363" s="839" t="s">
        <v>987</v>
      </c>
      <c r="C363" s="840" t="s">
        <v>35</v>
      </c>
      <c r="D363" s="839" t="s">
        <v>159</v>
      </c>
      <c r="E363" s="841">
        <v>825</v>
      </c>
      <c r="F363" s="839" t="s">
        <v>1171</v>
      </c>
      <c r="G363" s="839" t="s">
        <v>174</v>
      </c>
      <c r="I363" t="s">
        <v>1172</v>
      </c>
      <c r="J363" t="s">
        <v>222</v>
      </c>
    </row>
    <row r="364" spans="1:10" ht="13.5" customHeight="1" x14ac:dyDescent="0.35">
      <c r="A364" s="838">
        <v>45419</v>
      </c>
      <c r="B364" s="839" t="s">
        <v>987</v>
      </c>
      <c r="C364" s="840" t="s">
        <v>31</v>
      </c>
      <c r="D364" s="839" t="s">
        <v>159</v>
      </c>
      <c r="E364" s="841">
        <v>150</v>
      </c>
      <c r="F364" s="839" t="s">
        <v>235</v>
      </c>
      <c r="G364" s="839" t="s">
        <v>174</v>
      </c>
      <c r="I364" t="s">
        <v>236</v>
      </c>
      <c r="J364" t="s">
        <v>232</v>
      </c>
    </row>
    <row r="365" spans="1:10" ht="13.5" customHeight="1" x14ac:dyDescent="0.35">
      <c r="A365" s="838">
        <v>45417</v>
      </c>
      <c r="B365" s="839" t="s">
        <v>1145</v>
      </c>
      <c r="C365" s="840" t="s">
        <v>28</v>
      </c>
      <c r="D365" s="839" t="s">
        <v>159</v>
      </c>
      <c r="E365" s="841">
        <v>500</v>
      </c>
      <c r="F365" s="839" t="s">
        <v>1071</v>
      </c>
      <c r="G365" s="839" t="s">
        <v>174</v>
      </c>
      <c r="I365" t="s">
        <v>657</v>
      </c>
      <c r="J365" t="s">
        <v>197</v>
      </c>
    </row>
    <row r="366" spans="1:10" ht="13.5" customHeight="1" x14ac:dyDescent="0.35">
      <c r="A366" s="838">
        <v>45413</v>
      </c>
      <c r="B366" s="839" t="s">
        <v>1173</v>
      </c>
      <c r="C366" s="840" t="s">
        <v>28</v>
      </c>
      <c r="D366" s="839" t="s">
        <v>159</v>
      </c>
      <c r="E366" s="841">
        <v>250</v>
      </c>
      <c r="F366" s="839" t="s">
        <v>1071</v>
      </c>
      <c r="G366" s="839" t="s">
        <v>174</v>
      </c>
      <c r="I366" t="s">
        <v>657</v>
      </c>
      <c r="J366" t="s">
        <v>197</v>
      </c>
    </row>
    <row r="367" spans="1:10" ht="13.5" customHeight="1" x14ac:dyDescent="0.35">
      <c r="A367" s="838">
        <v>45413</v>
      </c>
      <c r="B367" s="839" t="s">
        <v>1077</v>
      </c>
      <c r="C367" s="840" t="s">
        <v>37</v>
      </c>
      <c r="D367" s="839" t="s">
        <v>159</v>
      </c>
      <c r="E367" s="841">
        <v>250</v>
      </c>
      <c r="F367" s="839" t="s">
        <v>1078</v>
      </c>
      <c r="G367" s="839" t="s">
        <v>175</v>
      </c>
      <c r="I367" t="s">
        <v>353</v>
      </c>
      <c r="J367" t="s">
        <v>354</v>
      </c>
    </row>
    <row r="368" spans="1:10" ht="13.5" customHeight="1" x14ac:dyDescent="0.35">
      <c r="A368" s="838">
        <v>45413</v>
      </c>
      <c r="B368" s="839" t="s">
        <v>292</v>
      </c>
      <c r="C368" s="840" t="s">
        <v>44</v>
      </c>
      <c r="D368" s="839" t="s">
        <v>159</v>
      </c>
      <c r="E368" s="841">
        <v>80</v>
      </c>
      <c r="F368" s="839" t="s">
        <v>292</v>
      </c>
      <c r="G368" s="839" t="s">
        <v>175</v>
      </c>
      <c r="I368" t="s">
        <v>294</v>
      </c>
      <c r="J368" t="s">
        <v>295</v>
      </c>
    </row>
    <row r="369" spans="1:10" ht="13.5" customHeight="1" x14ac:dyDescent="0.35">
      <c r="A369" s="838"/>
      <c r="B369" s="839"/>
      <c r="C369" s="840"/>
      <c r="D369" s="839"/>
      <c r="E369" s="841"/>
      <c r="F369" s="839"/>
      <c r="G369" s="839"/>
    </row>
    <row r="370" spans="1:10" ht="13.5" customHeight="1" x14ac:dyDescent="0.35">
      <c r="A370" s="838">
        <v>45411</v>
      </c>
      <c r="B370" s="839" t="s">
        <v>1174</v>
      </c>
      <c r="C370" s="840" t="s">
        <v>569</v>
      </c>
      <c r="D370" s="839" t="s">
        <v>159</v>
      </c>
      <c r="E370" s="841">
        <v>30</v>
      </c>
      <c r="F370" s="839" t="s">
        <v>753</v>
      </c>
      <c r="G370" s="839" t="s">
        <v>174</v>
      </c>
      <c r="I370" t="s">
        <v>725</v>
      </c>
      <c r="J370" t="s">
        <v>726</v>
      </c>
    </row>
    <row r="371" spans="1:10" ht="13.5" customHeight="1" x14ac:dyDescent="0.35">
      <c r="A371" s="838">
        <v>45407</v>
      </c>
      <c r="B371" s="839" t="s">
        <v>1175</v>
      </c>
      <c r="C371" s="840" t="s">
        <v>28</v>
      </c>
      <c r="D371" s="839" t="s">
        <v>159</v>
      </c>
      <c r="E371" s="841">
        <v>250</v>
      </c>
      <c r="F371" s="839" t="s">
        <v>1071</v>
      </c>
      <c r="G371" s="839" t="s">
        <v>174</v>
      </c>
      <c r="I371" t="s">
        <v>657</v>
      </c>
      <c r="J371" t="s">
        <v>197</v>
      </c>
    </row>
    <row r="372" spans="1:10" ht="13.5" customHeight="1" x14ac:dyDescent="0.35">
      <c r="A372" s="838">
        <v>45407</v>
      </c>
      <c r="B372" s="839" t="s">
        <v>1176</v>
      </c>
      <c r="C372" s="840" t="s">
        <v>569</v>
      </c>
      <c r="D372" s="839" t="s">
        <v>162</v>
      </c>
      <c r="E372" s="841">
        <v>250</v>
      </c>
      <c r="F372" s="839" t="s">
        <v>339</v>
      </c>
      <c r="G372" s="839" t="s">
        <v>174</v>
      </c>
      <c r="I372" t="s">
        <v>254</v>
      </c>
      <c r="J372" t="s">
        <v>304</v>
      </c>
    </row>
    <row r="373" spans="1:10" ht="13.5" customHeight="1" x14ac:dyDescent="0.35">
      <c r="A373" s="838">
        <v>45406</v>
      </c>
      <c r="B373" s="839" t="s">
        <v>723</v>
      </c>
      <c r="C373" s="840" t="s">
        <v>47</v>
      </c>
      <c r="D373" s="839" t="s">
        <v>159</v>
      </c>
      <c r="E373" s="841">
        <v>65</v>
      </c>
      <c r="F373" s="839" t="s">
        <v>1177</v>
      </c>
      <c r="G373" s="839" t="s">
        <v>174</v>
      </c>
      <c r="I373" t="s">
        <v>205</v>
      </c>
      <c r="J373" t="s">
        <v>206</v>
      </c>
    </row>
    <row r="374" spans="1:10" ht="13.5" customHeight="1" x14ac:dyDescent="0.35">
      <c r="A374" s="838">
        <v>45405</v>
      </c>
      <c r="B374" s="839" t="s">
        <v>1178</v>
      </c>
      <c r="C374" s="840" t="s">
        <v>47</v>
      </c>
      <c r="D374" s="839" t="s">
        <v>159</v>
      </c>
      <c r="E374" s="841">
        <v>120</v>
      </c>
      <c r="F374" s="839" t="s">
        <v>1092</v>
      </c>
      <c r="G374" s="839" t="s">
        <v>174</v>
      </c>
      <c r="I374" t="s">
        <v>265</v>
      </c>
      <c r="J374" t="s">
        <v>206</v>
      </c>
    </row>
    <row r="375" spans="1:10" ht="13.5" customHeight="1" x14ac:dyDescent="0.35">
      <c r="A375" s="838">
        <v>45405</v>
      </c>
      <c r="B375" s="839" t="s">
        <v>1179</v>
      </c>
      <c r="C375" s="840" t="s">
        <v>28</v>
      </c>
      <c r="D375" s="839" t="s">
        <v>159</v>
      </c>
      <c r="E375" s="841">
        <v>230</v>
      </c>
      <c r="F375" s="839" t="s">
        <v>1180</v>
      </c>
      <c r="G375" s="839" t="s">
        <v>174</v>
      </c>
      <c r="I375" t="s">
        <v>657</v>
      </c>
      <c r="J375" t="s">
        <v>197</v>
      </c>
    </row>
    <row r="376" spans="1:10" ht="13.5" customHeight="1" x14ac:dyDescent="0.35">
      <c r="A376" s="838">
        <v>45405</v>
      </c>
      <c r="B376" s="839" t="s">
        <v>1181</v>
      </c>
      <c r="C376" s="840" t="s">
        <v>31</v>
      </c>
      <c r="D376" s="839" t="s">
        <v>159</v>
      </c>
      <c r="E376" s="841">
        <v>35</v>
      </c>
      <c r="F376" s="839" t="s">
        <v>1016</v>
      </c>
      <c r="G376" s="839" t="s">
        <v>175</v>
      </c>
      <c r="I376" t="s">
        <v>280</v>
      </c>
      <c r="J376" t="s">
        <v>226</v>
      </c>
    </row>
    <row r="377" spans="1:10" ht="13.5" customHeight="1" x14ac:dyDescent="0.35">
      <c r="A377" s="838">
        <v>45403</v>
      </c>
      <c r="B377" s="839" t="s">
        <v>1182</v>
      </c>
      <c r="C377" s="840" t="s">
        <v>31</v>
      </c>
      <c r="D377" s="839" t="s">
        <v>160</v>
      </c>
      <c r="E377" s="841">
        <v>9.9499999999999993</v>
      </c>
      <c r="F377" s="839" t="s">
        <v>324</v>
      </c>
      <c r="G377" s="839" t="s">
        <v>174</v>
      </c>
      <c r="I377" t="s">
        <v>325</v>
      </c>
      <c r="J377" t="s">
        <v>226</v>
      </c>
    </row>
    <row r="378" spans="1:10" ht="13.5" customHeight="1" x14ac:dyDescent="0.35">
      <c r="A378" s="838">
        <v>45402</v>
      </c>
      <c r="B378" s="839" t="s">
        <v>1183</v>
      </c>
      <c r="C378" s="840" t="s">
        <v>31</v>
      </c>
      <c r="D378" s="839" t="s">
        <v>159</v>
      </c>
      <c r="E378" s="841">
        <v>120</v>
      </c>
      <c r="F378" s="839" t="s">
        <v>1184</v>
      </c>
      <c r="G378" s="839" t="s">
        <v>174</v>
      </c>
      <c r="I378" t="s">
        <v>605</v>
      </c>
      <c r="J378" t="s">
        <v>226</v>
      </c>
    </row>
    <row r="379" spans="1:10" ht="13.5" customHeight="1" x14ac:dyDescent="0.35">
      <c r="A379" s="838">
        <v>45401</v>
      </c>
      <c r="B379" s="839" t="s">
        <v>1185</v>
      </c>
      <c r="C379" s="840" t="s">
        <v>28</v>
      </c>
      <c r="D379" s="839" t="s">
        <v>159</v>
      </c>
      <c r="E379" s="841">
        <v>250</v>
      </c>
      <c r="F379" s="839" t="s">
        <v>1071</v>
      </c>
      <c r="G379" s="839" t="s">
        <v>174</v>
      </c>
      <c r="I379" t="s">
        <v>657</v>
      </c>
      <c r="J379" t="s">
        <v>197</v>
      </c>
    </row>
    <row r="380" spans="1:10" ht="13.5" customHeight="1" x14ac:dyDescent="0.35">
      <c r="A380" s="838">
        <v>45398</v>
      </c>
      <c r="B380" s="839" t="s">
        <v>996</v>
      </c>
      <c r="C380" s="840" t="s">
        <v>31</v>
      </c>
      <c r="D380" s="839" t="s">
        <v>159</v>
      </c>
      <c r="E380" s="841">
        <v>99</v>
      </c>
      <c r="F380" s="839" t="s">
        <v>230</v>
      </c>
      <c r="G380" s="839" t="s">
        <v>175</v>
      </c>
      <c r="I380" t="s">
        <v>231</v>
      </c>
      <c r="J380" t="s">
        <v>232</v>
      </c>
    </row>
    <row r="381" spans="1:10" ht="13.5" customHeight="1" x14ac:dyDescent="0.35">
      <c r="A381" s="838">
        <v>45398</v>
      </c>
      <c r="B381" s="839" t="s">
        <v>1186</v>
      </c>
      <c r="C381" s="840" t="s">
        <v>31</v>
      </c>
      <c r="D381" s="839" t="s">
        <v>159</v>
      </c>
      <c r="E381" s="841">
        <v>150</v>
      </c>
      <c r="F381" s="839" t="s">
        <v>230</v>
      </c>
      <c r="G381" s="839" t="s">
        <v>175</v>
      </c>
      <c r="I381" t="s">
        <v>231</v>
      </c>
      <c r="J381" t="s">
        <v>232</v>
      </c>
    </row>
    <row r="382" spans="1:10" ht="13.5" customHeight="1" x14ac:dyDescent="0.35">
      <c r="A382" s="838">
        <v>45396</v>
      </c>
      <c r="B382" s="839" t="s">
        <v>1118</v>
      </c>
      <c r="C382" s="840" t="s">
        <v>28</v>
      </c>
      <c r="D382" s="839" t="s">
        <v>159</v>
      </c>
      <c r="E382" s="841">
        <v>250</v>
      </c>
      <c r="F382" s="839" t="s">
        <v>1071</v>
      </c>
      <c r="G382" s="839" t="s">
        <v>175</v>
      </c>
      <c r="I382" t="s">
        <v>657</v>
      </c>
      <c r="J382" t="s">
        <v>197</v>
      </c>
    </row>
    <row r="383" spans="1:10" ht="13.5" customHeight="1" x14ac:dyDescent="0.35">
      <c r="A383" s="838">
        <v>45396</v>
      </c>
      <c r="B383" s="839" t="s">
        <v>1187</v>
      </c>
      <c r="C383" s="840" t="s">
        <v>31</v>
      </c>
      <c r="D383" s="839" t="s">
        <v>159</v>
      </c>
      <c r="E383" s="841">
        <v>99</v>
      </c>
      <c r="F383" s="839" t="s">
        <v>230</v>
      </c>
      <c r="G383" s="839" t="s">
        <v>175</v>
      </c>
      <c r="I383" t="s">
        <v>231</v>
      </c>
      <c r="J383" t="s">
        <v>232</v>
      </c>
    </row>
    <row r="384" spans="1:10" ht="13.5" customHeight="1" x14ac:dyDescent="0.35">
      <c r="A384" s="838">
        <v>45394</v>
      </c>
      <c r="B384" s="839" t="s">
        <v>1188</v>
      </c>
      <c r="C384" s="840" t="s">
        <v>31</v>
      </c>
      <c r="D384" s="839" t="s">
        <v>160</v>
      </c>
      <c r="E384" s="841">
        <v>74</v>
      </c>
      <c r="F384" s="839" t="s">
        <v>230</v>
      </c>
      <c r="G384" s="839" t="s">
        <v>175</v>
      </c>
      <c r="I384" t="s">
        <v>231</v>
      </c>
      <c r="J384" t="s">
        <v>232</v>
      </c>
    </row>
    <row r="385" spans="1:10" ht="13.5" customHeight="1" x14ac:dyDescent="0.35">
      <c r="A385" s="838">
        <v>45393</v>
      </c>
      <c r="B385" s="839" t="s">
        <v>1189</v>
      </c>
      <c r="C385" s="840" t="s">
        <v>41</v>
      </c>
      <c r="D385" s="839" t="s">
        <v>166</v>
      </c>
      <c r="E385" s="841">
        <v>-99</v>
      </c>
      <c r="F385" s="839" t="s">
        <v>230</v>
      </c>
      <c r="G385" s="839" t="s">
        <v>175</v>
      </c>
      <c r="I385" t="s">
        <v>220</v>
      </c>
      <c r="J385"/>
    </row>
    <row r="386" spans="1:10" ht="13.5" customHeight="1" x14ac:dyDescent="0.35">
      <c r="A386" s="838">
        <v>45393</v>
      </c>
      <c r="B386" s="839" t="s">
        <v>1189</v>
      </c>
      <c r="C386" s="840" t="s">
        <v>31</v>
      </c>
      <c r="D386" s="839" t="s">
        <v>166</v>
      </c>
      <c r="E386" s="841">
        <v>99</v>
      </c>
      <c r="F386" s="839" t="s">
        <v>230</v>
      </c>
      <c r="G386" s="839" t="s">
        <v>175</v>
      </c>
      <c r="I386" t="s">
        <v>231</v>
      </c>
      <c r="J386" t="s">
        <v>232</v>
      </c>
    </row>
    <row r="387" spans="1:10" ht="13.5" customHeight="1" x14ac:dyDescent="0.35">
      <c r="A387" s="838">
        <v>45393</v>
      </c>
      <c r="B387" s="839" t="s">
        <v>1190</v>
      </c>
      <c r="C387" s="840" t="s">
        <v>41</v>
      </c>
      <c r="D387" s="839" t="s">
        <v>166</v>
      </c>
      <c r="E387" s="841">
        <v>-99</v>
      </c>
      <c r="F387" s="839" t="s">
        <v>230</v>
      </c>
      <c r="G387" s="839" t="s">
        <v>175</v>
      </c>
      <c r="I387" t="s">
        <v>220</v>
      </c>
      <c r="J387"/>
    </row>
    <row r="388" spans="1:10" ht="13.5" customHeight="1" x14ac:dyDescent="0.35">
      <c r="A388" s="838">
        <v>45393</v>
      </c>
      <c r="B388" s="839" t="s">
        <v>1190</v>
      </c>
      <c r="C388" s="840" t="s">
        <v>31</v>
      </c>
      <c r="D388" s="839" t="s">
        <v>166</v>
      </c>
      <c r="E388" s="841">
        <v>99</v>
      </c>
      <c r="F388" s="839" t="s">
        <v>230</v>
      </c>
      <c r="G388" s="839" t="s">
        <v>175</v>
      </c>
      <c r="I388" t="s">
        <v>231</v>
      </c>
      <c r="J388" t="s">
        <v>232</v>
      </c>
    </row>
    <row r="389" spans="1:10" ht="13.5" customHeight="1" x14ac:dyDescent="0.35">
      <c r="A389" s="838">
        <v>45391</v>
      </c>
      <c r="B389" s="839" t="s">
        <v>1191</v>
      </c>
      <c r="C389" s="840" t="s">
        <v>28</v>
      </c>
      <c r="D389" s="839" t="s">
        <v>159</v>
      </c>
      <c r="E389" s="841">
        <v>250</v>
      </c>
      <c r="F389" s="839" t="s">
        <v>1071</v>
      </c>
      <c r="G389" s="839" t="s">
        <v>174</v>
      </c>
      <c r="I389" t="s">
        <v>657</v>
      </c>
      <c r="J389" t="s">
        <v>197</v>
      </c>
    </row>
    <row r="390" spans="1:10" ht="13.5" customHeight="1" x14ac:dyDescent="0.35">
      <c r="A390" s="838">
        <v>45391</v>
      </c>
      <c r="B390" s="839" t="s">
        <v>1192</v>
      </c>
      <c r="C390" s="840" t="s">
        <v>31</v>
      </c>
      <c r="D390" s="839" t="s">
        <v>159</v>
      </c>
      <c r="E390" s="841">
        <v>99</v>
      </c>
      <c r="F390" s="839" t="s">
        <v>230</v>
      </c>
      <c r="G390" s="839" t="s">
        <v>175</v>
      </c>
      <c r="I390" t="s">
        <v>231</v>
      </c>
      <c r="J390" t="s">
        <v>232</v>
      </c>
    </row>
    <row r="391" spans="1:10" ht="13.5" customHeight="1" x14ac:dyDescent="0.35">
      <c r="A391" s="838">
        <v>45391</v>
      </c>
      <c r="B391" s="839" t="s">
        <v>1193</v>
      </c>
      <c r="C391" s="840" t="s">
        <v>31</v>
      </c>
      <c r="D391" s="839" t="s">
        <v>159</v>
      </c>
      <c r="E391" s="841">
        <v>150</v>
      </c>
      <c r="F391" s="839" t="s">
        <v>230</v>
      </c>
      <c r="G391" s="839" t="s">
        <v>174</v>
      </c>
      <c r="I391" t="s">
        <v>231</v>
      </c>
      <c r="J391" t="s">
        <v>232</v>
      </c>
    </row>
    <row r="392" spans="1:10" ht="13.5" customHeight="1" x14ac:dyDescent="0.35">
      <c r="A392" s="838">
        <v>45390</v>
      </c>
      <c r="B392" s="839" t="s">
        <v>1138</v>
      </c>
      <c r="C392" s="840" t="s">
        <v>31</v>
      </c>
      <c r="D392" s="839" t="s">
        <v>160</v>
      </c>
      <c r="E392" s="841">
        <v>99</v>
      </c>
      <c r="F392" s="839" t="s">
        <v>230</v>
      </c>
      <c r="G392" s="839" t="s">
        <v>174</v>
      </c>
      <c r="I392" t="s">
        <v>231</v>
      </c>
      <c r="J392" t="s">
        <v>232</v>
      </c>
    </row>
    <row r="393" spans="1:10" ht="13.5" customHeight="1" x14ac:dyDescent="0.35">
      <c r="A393" s="838">
        <v>45390</v>
      </c>
      <c r="B393" s="839" t="s">
        <v>1194</v>
      </c>
      <c r="C393" s="840" t="s">
        <v>31</v>
      </c>
      <c r="D393" s="839" t="s">
        <v>159</v>
      </c>
      <c r="E393" s="841">
        <v>99</v>
      </c>
      <c r="F393" s="839" t="s">
        <v>230</v>
      </c>
      <c r="G393" s="839" t="s">
        <v>175</v>
      </c>
      <c r="I393" t="s">
        <v>231</v>
      </c>
      <c r="J393" t="s">
        <v>232</v>
      </c>
    </row>
    <row r="394" spans="1:10" ht="13.5" customHeight="1" x14ac:dyDescent="0.35">
      <c r="A394" s="838">
        <v>45390</v>
      </c>
      <c r="B394" s="839" t="s">
        <v>1195</v>
      </c>
      <c r="C394" s="840" t="s">
        <v>31</v>
      </c>
      <c r="D394" s="839" t="s">
        <v>162</v>
      </c>
      <c r="E394" s="841">
        <v>100</v>
      </c>
      <c r="F394" s="839" t="s">
        <v>230</v>
      </c>
      <c r="G394" s="839" t="s">
        <v>180</v>
      </c>
      <c r="I394" t="s">
        <v>231</v>
      </c>
      <c r="J394" t="s">
        <v>232</v>
      </c>
    </row>
    <row r="395" spans="1:10" ht="13.5" customHeight="1" x14ac:dyDescent="0.35">
      <c r="A395" s="838">
        <v>45390</v>
      </c>
      <c r="B395" s="839" t="s">
        <v>1196</v>
      </c>
      <c r="C395" s="840" t="s">
        <v>31</v>
      </c>
      <c r="D395" s="839" t="s">
        <v>162</v>
      </c>
      <c r="E395" s="841">
        <v>79.2</v>
      </c>
      <c r="F395" s="839" t="s">
        <v>230</v>
      </c>
      <c r="G395" s="839" t="s">
        <v>180</v>
      </c>
      <c r="I395" t="s">
        <v>231</v>
      </c>
      <c r="J395" t="s">
        <v>232</v>
      </c>
    </row>
    <row r="396" spans="1:10" ht="13.5" customHeight="1" x14ac:dyDescent="0.35">
      <c r="A396" s="838">
        <v>45389</v>
      </c>
      <c r="B396" s="839" t="s">
        <v>1197</v>
      </c>
      <c r="C396" s="840" t="s">
        <v>28</v>
      </c>
      <c r="D396" s="839" t="s">
        <v>159</v>
      </c>
      <c r="E396" s="841">
        <v>125</v>
      </c>
      <c r="F396" s="839" t="s">
        <v>1071</v>
      </c>
      <c r="G396" s="839" t="s">
        <v>174</v>
      </c>
      <c r="I396" t="s">
        <v>657</v>
      </c>
      <c r="J396" t="s">
        <v>197</v>
      </c>
    </row>
    <row r="397" spans="1:10" ht="13.5" customHeight="1" x14ac:dyDescent="0.35">
      <c r="A397" s="838">
        <v>45389</v>
      </c>
      <c r="B397" s="839" t="s">
        <v>1197</v>
      </c>
      <c r="C397" s="840" t="s">
        <v>28</v>
      </c>
      <c r="D397" s="839" t="s">
        <v>165</v>
      </c>
      <c r="E397" s="841">
        <v>125</v>
      </c>
      <c r="F397" s="839" t="s">
        <v>1071</v>
      </c>
      <c r="G397" s="839" t="s">
        <v>174</v>
      </c>
      <c r="I397" t="s">
        <v>657</v>
      </c>
      <c r="J397" t="s">
        <v>197</v>
      </c>
    </row>
    <row r="398" spans="1:10" ht="13.5" customHeight="1" x14ac:dyDescent="0.35">
      <c r="A398" s="838">
        <v>45389</v>
      </c>
      <c r="B398" s="839" t="s">
        <v>1197</v>
      </c>
      <c r="C398" s="840" t="s">
        <v>53</v>
      </c>
      <c r="D398" s="839" t="s">
        <v>165</v>
      </c>
      <c r="E398" s="841">
        <v>-125</v>
      </c>
      <c r="F398" s="839" t="s">
        <v>1071</v>
      </c>
      <c r="G398" s="839" t="s">
        <v>174</v>
      </c>
      <c r="I398" t="s">
        <v>220</v>
      </c>
      <c r="J398"/>
    </row>
    <row r="399" spans="1:10" ht="13.5" customHeight="1" x14ac:dyDescent="0.35">
      <c r="A399" s="838">
        <v>45387</v>
      </c>
      <c r="B399" s="839" t="s">
        <v>89</v>
      </c>
      <c r="C399" s="840" t="s">
        <v>56</v>
      </c>
      <c r="D399" s="839" t="s">
        <v>160</v>
      </c>
      <c r="E399" s="841">
        <v>11</v>
      </c>
      <c r="F399" s="839" t="s">
        <v>1198</v>
      </c>
      <c r="G399" s="839" t="s">
        <v>89</v>
      </c>
      <c r="I399" t="s">
        <v>333</v>
      </c>
      <c r="J399" t="s">
        <v>286</v>
      </c>
    </row>
    <row r="400" spans="1:10" ht="13.5" customHeight="1" x14ac:dyDescent="0.35">
      <c r="A400" s="838">
        <v>45387</v>
      </c>
      <c r="B400" s="839" t="s">
        <v>1199</v>
      </c>
      <c r="C400" s="840" t="s">
        <v>47</v>
      </c>
      <c r="D400" s="839" t="s">
        <v>160</v>
      </c>
      <c r="E400" s="841">
        <v>360</v>
      </c>
      <c r="F400" s="848" t="s">
        <v>941</v>
      </c>
      <c r="G400" s="839" t="s">
        <v>174</v>
      </c>
      <c r="I400" t="s">
        <v>205</v>
      </c>
      <c r="J400" t="s">
        <v>206</v>
      </c>
    </row>
    <row r="401" spans="1:10" ht="13.5" customHeight="1" x14ac:dyDescent="0.35">
      <c r="A401" s="838">
        <v>45387</v>
      </c>
      <c r="B401" s="839" t="s">
        <v>1046</v>
      </c>
      <c r="C401" s="840" t="s">
        <v>31</v>
      </c>
      <c r="D401" s="839" t="s">
        <v>159</v>
      </c>
      <c r="E401" s="841">
        <v>99</v>
      </c>
      <c r="F401" s="839" t="s">
        <v>230</v>
      </c>
      <c r="G401" s="839" t="s">
        <v>175</v>
      </c>
      <c r="I401" t="s">
        <v>231</v>
      </c>
      <c r="J401" t="s">
        <v>232</v>
      </c>
    </row>
    <row r="402" spans="1:10" ht="13.5" customHeight="1" x14ac:dyDescent="0.35">
      <c r="A402" s="838">
        <v>45387</v>
      </c>
      <c r="B402" s="839" t="s">
        <v>78</v>
      </c>
      <c r="C402" s="840" t="s">
        <v>56</v>
      </c>
      <c r="D402" s="839" t="s">
        <v>162</v>
      </c>
      <c r="E402" s="841">
        <v>441.19</v>
      </c>
      <c r="F402" s="839" t="s">
        <v>1198</v>
      </c>
      <c r="G402" s="839" t="s">
        <v>175</v>
      </c>
      <c r="I402" t="s">
        <v>333</v>
      </c>
      <c r="J402" t="s">
        <v>286</v>
      </c>
    </row>
    <row r="403" spans="1:10" ht="13.5" customHeight="1" x14ac:dyDescent="0.35">
      <c r="A403" s="838">
        <v>45385</v>
      </c>
      <c r="B403" s="839" t="s">
        <v>1200</v>
      </c>
      <c r="C403" s="840" t="s">
        <v>31</v>
      </c>
      <c r="D403" s="839" t="s">
        <v>159</v>
      </c>
      <c r="E403" s="841">
        <v>60</v>
      </c>
      <c r="F403" s="839" t="s">
        <v>693</v>
      </c>
      <c r="G403" s="839" t="s">
        <v>175</v>
      </c>
      <c r="I403" t="s">
        <v>605</v>
      </c>
      <c r="J403" t="s">
        <v>226</v>
      </c>
    </row>
    <row r="404" spans="1:10" ht="13.5" customHeight="1" x14ac:dyDescent="0.35">
      <c r="A404" s="838">
        <v>45384</v>
      </c>
      <c r="B404" s="839" t="s">
        <v>1190</v>
      </c>
      <c r="C404" s="840" t="s">
        <v>41</v>
      </c>
      <c r="D404" s="839" t="s">
        <v>166</v>
      </c>
      <c r="E404" s="841">
        <v>-796</v>
      </c>
      <c r="F404" s="839" t="s">
        <v>1201</v>
      </c>
      <c r="G404" s="839" t="s">
        <v>175</v>
      </c>
      <c r="I404" t="s">
        <v>220</v>
      </c>
      <c r="J404"/>
    </row>
    <row r="405" spans="1:10" ht="13.5" customHeight="1" x14ac:dyDescent="0.35">
      <c r="A405" s="838">
        <v>45384</v>
      </c>
      <c r="B405" s="839" t="s">
        <v>1190</v>
      </c>
      <c r="C405" s="840" t="s">
        <v>35</v>
      </c>
      <c r="D405" s="839" t="s">
        <v>166</v>
      </c>
      <c r="E405" s="841">
        <v>796</v>
      </c>
      <c r="F405" s="839" t="s">
        <v>1201</v>
      </c>
      <c r="G405" s="839" t="s">
        <v>175</v>
      </c>
      <c r="I405" t="s">
        <v>879</v>
      </c>
      <c r="J405" t="s">
        <v>222</v>
      </c>
    </row>
    <row r="406" spans="1:10" ht="13.5" customHeight="1" x14ac:dyDescent="0.35">
      <c r="A406" s="838">
        <v>45384</v>
      </c>
      <c r="B406" s="839" t="s">
        <v>1190</v>
      </c>
      <c r="C406" s="840" t="s">
        <v>41</v>
      </c>
      <c r="D406" s="839" t="s">
        <v>166</v>
      </c>
      <c r="E406" s="841">
        <v>-100</v>
      </c>
      <c r="F406" s="839" t="s">
        <v>1202</v>
      </c>
      <c r="G406" s="839" t="s">
        <v>175</v>
      </c>
      <c r="I406" t="s">
        <v>220</v>
      </c>
      <c r="J406"/>
    </row>
    <row r="407" spans="1:10" ht="13.5" customHeight="1" x14ac:dyDescent="0.35">
      <c r="A407" s="838">
        <v>45384</v>
      </c>
      <c r="B407" s="839" t="s">
        <v>1190</v>
      </c>
      <c r="C407" s="840" t="s">
        <v>31</v>
      </c>
      <c r="D407" s="839" t="s">
        <v>166</v>
      </c>
      <c r="E407" s="841">
        <v>100</v>
      </c>
      <c r="F407" s="839" t="s">
        <v>1202</v>
      </c>
      <c r="G407" s="839" t="s">
        <v>175</v>
      </c>
      <c r="I407" t="s">
        <v>1203</v>
      </c>
      <c r="J407" t="s">
        <v>226</v>
      </c>
    </row>
    <row r="408" spans="1:10" ht="13.5" customHeight="1" x14ac:dyDescent="0.35">
      <c r="A408" s="838">
        <v>45384</v>
      </c>
      <c r="B408" s="839" t="s">
        <v>1189</v>
      </c>
      <c r="C408" s="840" t="s">
        <v>41</v>
      </c>
      <c r="D408" s="839" t="s">
        <v>166</v>
      </c>
      <c r="E408" s="841">
        <v>-796</v>
      </c>
      <c r="F408" s="839" t="s">
        <v>1201</v>
      </c>
      <c r="G408" s="839" t="s">
        <v>175</v>
      </c>
      <c r="I408" t="s">
        <v>220</v>
      </c>
      <c r="J408"/>
    </row>
    <row r="409" spans="1:10" ht="13.5" customHeight="1" x14ac:dyDescent="0.35">
      <c r="A409" s="838">
        <v>45384</v>
      </c>
      <c r="B409" s="839" t="s">
        <v>1189</v>
      </c>
      <c r="C409" s="840" t="s">
        <v>35</v>
      </c>
      <c r="D409" s="839" t="s">
        <v>166</v>
      </c>
      <c r="E409" s="841">
        <v>796</v>
      </c>
      <c r="F409" s="839" t="s">
        <v>1201</v>
      </c>
      <c r="G409" s="839" t="s">
        <v>175</v>
      </c>
      <c r="I409" t="s">
        <v>879</v>
      </c>
      <c r="J409" t="s">
        <v>222</v>
      </c>
    </row>
    <row r="410" spans="1:10" ht="13.5" customHeight="1" x14ac:dyDescent="0.35">
      <c r="A410" s="838">
        <v>45384</v>
      </c>
      <c r="B410" s="839" t="s">
        <v>1189</v>
      </c>
      <c r="C410" s="840" t="s">
        <v>41</v>
      </c>
      <c r="D410" s="839" t="s">
        <v>166</v>
      </c>
      <c r="E410" s="841">
        <v>-100</v>
      </c>
      <c r="F410" s="839" t="s">
        <v>1202</v>
      </c>
      <c r="G410" s="839" t="s">
        <v>175</v>
      </c>
      <c r="I410" t="s">
        <v>220</v>
      </c>
      <c r="J410"/>
    </row>
    <row r="411" spans="1:10" ht="13.5" customHeight="1" x14ac:dyDescent="0.35">
      <c r="A411" s="838">
        <v>45384</v>
      </c>
      <c r="B411" s="839" t="s">
        <v>1189</v>
      </c>
      <c r="C411" s="840" t="s">
        <v>31</v>
      </c>
      <c r="D411" s="839" t="s">
        <v>166</v>
      </c>
      <c r="E411" s="841">
        <v>100</v>
      </c>
      <c r="F411" s="839" t="s">
        <v>1202</v>
      </c>
      <c r="G411" s="839" t="s">
        <v>175</v>
      </c>
      <c r="I411" t="s">
        <v>1203</v>
      </c>
      <c r="J411" t="s">
        <v>226</v>
      </c>
    </row>
    <row r="412" spans="1:10" ht="13.5" customHeight="1" x14ac:dyDescent="0.35">
      <c r="A412" s="838">
        <v>45384</v>
      </c>
      <c r="B412" s="839" t="s">
        <v>1204</v>
      </c>
      <c r="C412" s="840" t="s">
        <v>31</v>
      </c>
      <c r="D412" s="839" t="s">
        <v>162</v>
      </c>
      <c r="E412" s="841">
        <v>79.2</v>
      </c>
      <c r="F412" s="839" t="s">
        <v>230</v>
      </c>
      <c r="G412" s="839" t="s">
        <v>180</v>
      </c>
      <c r="I412" t="s">
        <v>231</v>
      </c>
      <c r="J412" t="s">
        <v>232</v>
      </c>
    </row>
    <row r="413" spans="1:10" ht="13.5" customHeight="1" x14ac:dyDescent="0.35">
      <c r="A413" s="838">
        <v>45383</v>
      </c>
      <c r="B413" s="839" t="s">
        <v>1126</v>
      </c>
      <c r="C413" s="840" t="s">
        <v>35</v>
      </c>
      <c r="D413" s="839" t="s">
        <v>159</v>
      </c>
      <c r="E413" s="841">
        <v>975</v>
      </c>
      <c r="F413" s="839" t="s">
        <v>504</v>
      </c>
      <c r="G413" s="839" t="s">
        <v>175</v>
      </c>
      <c r="I413" t="s">
        <v>1164</v>
      </c>
      <c r="J413" t="s">
        <v>222</v>
      </c>
    </row>
    <row r="414" spans="1:10" ht="13.5" customHeight="1" x14ac:dyDescent="0.35">
      <c r="A414" s="838">
        <v>45383</v>
      </c>
      <c r="B414" s="839" t="s">
        <v>1077</v>
      </c>
      <c r="C414" s="840" t="s">
        <v>37</v>
      </c>
      <c r="D414" s="839" t="s">
        <v>159</v>
      </c>
      <c r="E414" s="841">
        <v>250</v>
      </c>
      <c r="F414" s="839" t="s">
        <v>1078</v>
      </c>
      <c r="G414" s="839" t="s">
        <v>175</v>
      </c>
      <c r="I414" t="s">
        <v>353</v>
      </c>
      <c r="J414" t="s">
        <v>354</v>
      </c>
    </row>
    <row r="415" spans="1:10" ht="13.5" customHeight="1" x14ac:dyDescent="0.35">
      <c r="A415" s="838">
        <v>45383</v>
      </c>
      <c r="B415" s="839" t="s">
        <v>292</v>
      </c>
      <c r="C415" s="840" t="s">
        <v>44</v>
      </c>
      <c r="D415" s="839" t="s">
        <v>159</v>
      </c>
      <c r="E415" s="841">
        <v>80</v>
      </c>
      <c r="F415" s="839" t="s">
        <v>292</v>
      </c>
      <c r="G415" s="839" t="s">
        <v>175</v>
      </c>
      <c r="I415" t="s">
        <v>294</v>
      </c>
      <c r="J415" t="s">
        <v>295</v>
      </c>
    </row>
    <row r="416" spans="1:10" ht="13.5" customHeight="1" x14ac:dyDescent="0.35">
      <c r="A416" s="838"/>
      <c r="B416" s="839"/>
      <c r="C416" s="840"/>
      <c r="D416" s="839"/>
      <c r="E416" s="841"/>
      <c r="F416" s="839"/>
      <c r="G416" s="839"/>
    </row>
    <row r="417" spans="1:10" ht="13.5" customHeight="1" x14ac:dyDescent="0.35">
      <c r="A417" s="838">
        <v>45380</v>
      </c>
      <c r="B417" s="839" t="s">
        <v>1118</v>
      </c>
      <c r="C417" s="840" t="s">
        <v>47</v>
      </c>
      <c r="D417" s="839" t="s">
        <v>159</v>
      </c>
      <c r="E417" s="841">
        <v>65</v>
      </c>
      <c r="F417" s="839" t="s">
        <v>1205</v>
      </c>
      <c r="G417" s="839" t="s">
        <v>174</v>
      </c>
      <c r="I417" t="s">
        <v>205</v>
      </c>
      <c r="J417" t="s">
        <v>206</v>
      </c>
    </row>
    <row r="418" spans="1:10" ht="13.5" customHeight="1" x14ac:dyDescent="0.35">
      <c r="A418" s="838">
        <v>45380</v>
      </c>
      <c r="B418" s="839" t="s">
        <v>351</v>
      </c>
      <c r="C418" s="840" t="s">
        <v>41</v>
      </c>
      <c r="D418" s="839" t="s">
        <v>166</v>
      </c>
      <c r="E418" s="841">
        <v>-150</v>
      </c>
      <c r="F418" s="839" t="s">
        <v>230</v>
      </c>
      <c r="G418" s="839" t="s">
        <v>175</v>
      </c>
      <c r="I418" t="s">
        <v>220</v>
      </c>
      <c r="J418"/>
    </row>
    <row r="419" spans="1:10" ht="13.5" customHeight="1" x14ac:dyDescent="0.35">
      <c r="A419" s="838">
        <v>45380</v>
      </c>
      <c r="B419" s="839" t="s">
        <v>351</v>
      </c>
      <c r="C419" s="840" t="s">
        <v>31</v>
      </c>
      <c r="D419" s="839" t="s">
        <v>166</v>
      </c>
      <c r="E419" s="841">
        <v>150</v>
      </c>
      <c r="F419" s="839" t="s">
        <v>230</v>
      </c>
      <c r="G419" s="839" t="s">
        <v>175</v>
      </c>
      <c r="I419" t="s">
        <v>231</v>
      </c>
      <c r="J419" t="s">
        <v>232</v>
      </c>
    </row>
    <row r="420" spans="1:10" ht="13.5" customHeight="1" x14ac:dyDescent="0.35">
      <c r="A420" s="838">
        <v>45378</v>
      </c>
      <c r="B420" s="839" t="s">
        <v>1206</v>
      </c>
      <c r="C420" s="840" t="s">
        <v>31</v>
      </c>
      <c r="D420" s="839" t="s">
        <v>159</v>
      </c>
      <c r="E420" s="841">
        <v>150</v>
      </c>
      <c r="F420" s="839" t="s">
        <v>230</v>
      </c>
      <c r="G420" s="839" t="s">
        <v>175</v>
      </c>
      <c r="I420" t="s">
        <v>231</v>
      </c>
      <c r="J420" t="s">
        <v>232</v>
      </c>
    </row>
    <row r="421" spans="1:10" ht="13.5" customHeight="1" x14ac:dyDescent="0.35">
      <c r="A421" s="838">
        <v>45377</v>
      </c>
      <c r="B421" s="839" t="s">
        <v>1207</v>
      </c>
      <c r="C421" s="840" t="s">
        <v>31</v>
      </c>
      <c r="D421" s="839" t="s">
        <v>160</v>
      </c>
      <c r="E421" s="841">
        <v>99</v>
      </c>
      <c r="F421" s="839" t="s">
        <v>230</v>
      </c>
      <c r="G421" s="839" t="s">
        <v>175</v>
      </c>
      <c r="I421" t="s">
        <v>231</v>
      </c>
      <c r="J421" t="s">
        <v>232</v>
      </c>
    </row>
    <row r="422" spans="1:10" ht="13.5" customHeight="1" x14ac:dyDescent="0.35">
      <c r="A422" s="838">
        <v>45377</v>
      </c>
      <c r="B422" s="839" t="s">
        <v>1136</v>
      </c>
      <c r="C422" s="840" t="s">
        <v>31</v>
      </c>
      <c r="D422" s="839" t="s">
        <v>159</v>
      </c>
      <c r="E422" s="841">
        <v>99</v>
      </c>
      <c r="F422" s="839" t="s">
        <v>230</v>
      </c>
      <c r="G422" s="839" t="s">
        <v>175</v>
      </c>
      <c r="I422" t="s">
        <v>231</v>
      </c>
      <c r="J422" t="s">
        <v>232</v>
      </c>
    </row>
    <row r="423" spans="1:10" ht="13.5" customHeight="1" x14ac:dyDescent="0.35">
      <c r="A423" s="838">
        <v>45377</v>
      </c>
      <c r="B423" s="839" t="s">
        <v>1208</v>
      </c>
      <c r="C423" s="840" t="s">
        <v>47</v>
      </c>
      <c r="D423" s="839" t="s">
        <v>159</v>
      </c>
      <c r="E423" s="841">
        <v>360</v>
      </c>
      <c r="F423" s="839" t="s">
        <v>1209</v>
      </c>
      <c r="G423" s="839" t="s">
        <v>174</v>
      </c>
      <c r="I423" t="s">
        <v>774</v>
      </c>
      <c r="J423" t="s">
        <v>206</v>
      </c>
    </row>
    <row r="424" spans="1:10" ht="13.5" customHeight="1" x14ac:dyDescent="0.35">
      <c r="A424" s="838">
        <v>45369</v>
      </c>
      <c r="B424" s="839" t="s">
        <v>1210</v>
      </c>
      <c r="C424" s="840" t="s">
        <v>47</v>
      </c>
      <c r="D424" s="839" t="s">
        <v>159</v>
      </c>
      <c r="E424" s="841">
        <v>360</v>
      </c>
      <c r="F424" s="839" t="s">
        <v>1209</v>
      </c>
      <c r="G424" s="839" t="s">
        <v>174</v>
      </c>
      <c r="I424" t="s">
        <v>774</v>
      </c>
      <c r="J424" t="s">
        <v>206</v>
      </c>
    </row>
    <row r="425" spans="1:10" ht="13.5" customHeight="1" x14ac:dyDescent="0.35">
      <c r="A425" s="838">
        <v>45366</v>
      </c>
      <c r="B425" s="839" t="s">
        <v>97</v>
      </c>
      <c r="C425" s="840" t="s">
        <v>59</v>
      </c>
      <c r="D425" s="839" t="s">
        <v>162</v>
      </c>
      <c r="E425" s="841">
        <v>280</v>
      </c>
      <c r="F425" s="839" t="s">
        <v>1132</v>
      </c>
      <c r="G425" s="839" t="s">
        <v>175</v>
      </c>
      <c r="I425" t="s">
        <v>254</v>
      </c>
      <c r="J425" t="s">
        <v>255</v>
      </c>
    </row>
    <row r="426" spans="1:10" ht="13.5" customHeight="1" x14ac:dyDescent="0.35">
      <c r="A426" s="838">
        <v>45367</v>
      </c>
      <c r="B426" s="839" t="s">
        <v>1009</v>
      </c>
      <c r="C426" s="840" t="s">
        <v>41</v>
      </c>
      <c r="D426" s="839" t="s">
        <v>166</v>
      </c>
      <c r="E426" s="841">
        <v>-825</v>
      </c>
      <c r="F426" s="839" t="s">
        <v>1171</v>
      </c>
      <c r="G426" s="839" t="s">
        <v>175</v>
      </c>
      <c r="I426" t="s">
        <v>220</v>
      </c>
      <c r="J426"/>
    </row>
    <row r="427" spans="1:10" ht="13.5" customHeight="1" x14ac:dyDescent="0.35">
      <c r="A427" s="838">
        <v>45367</v>
      </c>
      <c r="B427" s="839" t="s">
        <v>1009</v>
      </c>
      <c r="C427" s="840" t="s">
        <v>35</v>
      </c>
      <c r="D427" s="839" t="s">
        <v>166</v>
      </c>
      <c r="E427" s="841">
        <v>825</v>
      </c>
      <c r="F427" s="839" t="s">
        <v>1171</v>
      </c>
      <c r="G427" s="839" t="s">
        <v>175</v>
      </c>
      <c r="I427" t="s">
        <v>1172</v>
      </c>
      <c r="J427" t="s">
        <v>222</v>
      </c>
    </row>
    <row r="428" spans="1:10" ht="13.5" customHeight="1" x14ac:dyDescent="0.35">
      <c r="A428" s="838">
        <v>45364</v>
      </c>
      <c r="B428" s="839" t="s">
        <v>1211</v>
      </c>
      <c r="C428" s="840" t="s">
        <v>31</v>
      </c>
      <c r="D428" s="839" t="s">
        <v>160</v>
      </c>
      <c r="E428" s="841">
        <v>50</v>
      </c>
      <c r="F428" s="839" t="s">
        <v>1212</v>
      </c>
      <c r="G428" s="839" t="s">
        <v>175</v>
      </c>
      <c r="I428" t="s">
        <v>317</v>
      </c>
      <c r="J428" t="s">
        <v>226</v>
      </c>
    </row>
    <row r="429" spans="1:10" ht="13.5" customHeight="1" x14ac:dyDescent="0.35">
      <c r="A429" s="838">
        <v>45364</v>
      </c>
      <c r="B429" s="839" t="s">
        <v>1213</v>
      </c>
      <c r="C429" s="840" t="s">
        <v>47</v>
      </c>
      <c r="D429" s="839" t="s">
        <v>159</v>
      </c>
      <c r="E429" s="841">
        <v>50</v>
      </c>
      <c r="F429" s="839" t="s">
        <v>859</v>
      </c>
      <c r="G429" s="839" t="s">
        <v>175</v>
      </c>
      <c r="I429" t="s">
        <v>268</v>
      </c>
      <c r="J429" t="s">
        <v>269</v>
      </c>
    </row>
    <row r="430" spans="1:10" ht="13.5" customHeight="1" x14ac:dyDescent="0.35">
      <c r="A430" s="838">
        <v>45362</v>
      </c>
      <c r="B430" s="839" t="s">
        <v>1214</v>
      </c>
      <c r="C430" s="840" t="s">
        <v>569</v>
      </c>
      <c r="D430" s="839" t="s">
        <v>159</v>
      </c>
      <c r="E430" s="841">
        <v>30</v>
      </c>
      <c r="F430" s="839" t="s">
        <v>753</v>
      </c>
      <c r="G430" s="839" t="s">
        <v>174</v>
      </c>
      <c r="I430" t="s">
        <v>725</v>
      </c>
      <c r="J430" t="s">
        <v>726</v>
      </c>
    </row>
    <row r="431" spans="1:10" ht="13.5" customHeight="1" x14ac:dyDescent="0.35">
      <c r="A431" s="838">
        <v>45358</v>
      </c>
      <c r="B431" s="839" t="s">
        <v>1215</v>
      </c>
      <c r="C431" s="840" t="s">
        <v>31</v>
      </c>
      <c r="D431" s="839" t="s">
        <v>159</v>
      </c>
      <c r="E431" s="841">
        <v>24</v>
      </c>
      <c r="F431" s="839" t="s">
        <v>230</v>
      </c>
      <c r="G431" s="839" t="s">
        <v>175</v>
      </c>
      <c r="I431" t="s">
        <v>231</v>
      </c>
      <c r="J431" t="s">
        <v>232</v>
      </c>
    </row>
    <row r="432" spans="1:10" ht="13.5" customHeight="1" x14ac:dyDescent="0.35">
      <c r="A432" s="838">
        <v>45356</v>
      </c>
      <c r="B432" s="839" t="s">
        <v>1216</v>
      </c>
      <c r="C432" s="840" t="s">
        <v>31</v>
      </c>
      <c r="D432" s="839" t="s">
        <v>165</v>
      </c>
      <c r="E432" s="841">
        <v>38</v>
      </c>
      <c r="F432" s="839" t="s">
        <v>1217</v>
      </c>
      <c r="G432" s="839" t="s">
        <v>175</v>
      </c>
      <c r="I432" t="s">
        <v>244</v>
      </c>
      <c r="J432" t="s">
        <v>226</v>
      </c>
    </row>
    <row r="433" spans="1:10" ht="13.5" customHeight="1" x14ac:dyDescent="0.35">
      <c r="A433" s="838">
        <v>45356</v>
      </c>
      <c r="B433" s="839" t="s">
        <v>1216</v>
      </c>
      <c r="C433" s="840" t="s">
        <v>53</v>
      </c>
      <c r="D433" s="839" t="s">
        <v>165</v>
      </c>
      <c r="E433" s="841">
        <v>-38</v>
      </c>
      <c r="F433" s="839" t="s">
        <v>1217</v>
      </c>
      <c r="G433" s="839" t="s">
        <v>175</v>
      </c>
      <c r="I433" t="s">
        <v>220</v>
      </c>
      <c r="J433"/>
    </row>
    <row r="434" spans="1:10" ht="13.5" customHeight="1" x14ac:dyDescent="0.35">
      <c r="A434" s="838">
        <v>45356</v>
      </c>
      <c r="B434" s="839" t="s">
        <v>1216</v>
      </c>
      <c r="C434" s="840" t="s">
        <v>31</v>
      </c>
      <c r="D434" s="839" t="s">
        <v>159</v>
      </c>
      <c r="E434" s="841">
        <v>12</v>
      </c>
      <c r="F434" s="839" t="s">
        <v>1217</v>
      </c>
      <c r="G434" s="839" t="s">
        <v>175</v>
      </c>
      <c r="I434" t="s">
        <v>244</v>
      </c>
      <c r="J434" t="s">
        <v>226</v>
      </c>
    </row>
    <row r="435" spans="1:10" ht="13.5" customHeight="1" x14ac:dyDescent="0.35">
      <c r="A435" s="838">
        <v>45356</v>
      </c>
      <c r="B435" s="839" t="s">
        <v>1218</v>
      </c>
      <c r="C435" s="840" t="s">
        <v>31</v>
      </c>
      <c r="D435" s="839" t="s">
        <v>160</v>
      </c>
      <c r="E435" s="841">
        <v>50</v>
      </c>
      <c r="F435" s="839" t="s">
        <v>1219</v>
      </c>
      <c r="G435" s="839" t="s">
        <v>175</v>
      </c>
      <c r="I435" t="s">
        <v>236</v>
      </c>
      <c r="J435" t="s">
        <v>232</v>
      </c>
    </row>
    <row r="436" spans="1:10" ht="13.5" customHeight="1" x14ac:dyDescent="0.35">
      <c r="A436" s="838">
        <v>45355</v>
      </c>
      <c r="B436" s="839" t="s">
        <v>89</v>
      </c>
      <c r="C436" s="840" t="s">
        <v>56</v>
      </c>
      <c r="D436" s="839" t="s">
        <v>160</v>
      </c>
      <c r="E436" s="841">
        <v>27.63</v>
      </c>
      <c r="F436" s="839" t="s">
        <v>284</v>
      </c>
      <c r="G436" s="839" t="s">
        <v>89</v>
      </c>
      <c r="I436" t="s">
        <v>285</v>
      </c>
      <c r="J436" t="s">
        <v>286</v>
      </c>
    </row>
    <row r="437" spans="1:10" ht="13.5" customHeight="1" x14ac:dyDescent="0.35">
      <c r="A437" s="838">
        <v>45354</v>
      </c>
      <c r="B437" s="839" t="s">
        <v>1220</v>
      </c>
      <c r="C437" s="840" t="s">
        <v>31</v>
      </c>
      <c r="D437" s="839" t="s">
        <v>159</v>
      </c>
      <c r="E437" s="841">
        <v>60</v>
      </c>
      <c r="F437" s="839" t="s">
        <v>1101</v>
      </c>
      <c r="G437" s="839" t="s">
        <v>174</v>
      </c>
      <c r="I437" t="s">
        <v>605</v>
      </c>
      <c r="J437" t="s">
        <v>226</v>
      </c>
    </row>
    <row r="438" spans="1:10" ht="13.5" customHeight="1" x14ac:dyDescent="0.35">
      <c r="A438" s="838">
        <v>45352</v>
      </c>
      <c r="B438" s="839" t="s">
        <v>1077</v>
      </c>
      <c r="C438" s="840" t="s">
        <v>37</v>
      </c>
      <c r="D438" s="839" t="s">
        <v>159</v>
      </c>
      <c r="E438" s="841">
        <v>50</v>
      </c>
      <c r="F438" s="839" t="s">
        <v>1078</v>
      </c>
      <c r="G438" s="839" t="s">
        <v>175</v>
      </c>
      <c r="I438" t="s">
        <v>353</v>
      </c>
      <c r="J438" t="s">
        <v>354</v>
      </c>
    </row>
    <row r="439" spans="1:10" ht="13.5" customHeight="1" x14ac:dyDescent="0.35">
      <c r="A439" s="838">
        <v>45352</v>
      </c>
      <c r="B439" s="839" t="s">
        <v>292</v>
      </c>
      <c r="C439" s="840" t="s">
        <v>44</v>
      </c>
      <c r="D439" s="839" t="s">
        <v>159</v>
      </c>
      <c r="E439" s="841">
        <v>100</v>
      </c>
      <c r="F439" s="839" t="s">
        <v>292</v>
      </c>
      <c r="G439" s="839" t="s">
        <v>175</v>
      </c>
      <c r="I439" t="s">
        <v>294</v>
      </c>
      <c r="J439" t="s">
        <v>295</v>
      </c>
    </row>
    <row r="440" spans="1:10" ht="13.5" customHeight="1" x14ac:dyDescent="0.35">
      <c r="A440" s="838"/>
      <c r="B440" s="839"/>
      <c r="C440" s="840"/>
      <c r="D440" s="839"/>
      <c r="E440" s="841"/>
      <c r="F440" s="839"/>
      <c r="G440" s="839"/>
    </row>
    <row r="441" spans="1:10" ht="13.5" customHeight="1" x14ac:dyDescent="0.35">
      <c r="A441" s="838">
        <v>45346</v>
      </c>
      <c r="B441" s="839" t="s">
        <v>1221</v>
      </c>
      <c r="C441" s="840" t="s">
        <v>44</v>
      </c>
      <c r="D441" s="839" t="s">
        <v>159</v>
      </c>
      <c r="E441" s="841">
        <v>20</v>
      </c>
      <c r="F441" s="839" t="s">
        <v>292</v>
      </c>
      <c r="G441" s="839" t="s">
        <v>174</v>
      </c>
      <c r="I441" t="s">
        <v>294</v>
      </c>
      <c r="J441" t="s">
        <v>295</v>
      </c>
    </row>
    <row r="442" spans="1:10" ht="13.5" customHeight="1" x14ac:dyDescent="0.35">
      <c r="A442" s="838">
        <v>45349</v>
      </c>
      <c r="B442" s="839" t="s">
        <v>1222</v>
      </c>
      <c r="C442" s="840" t="s">
        <v>31</v>
      </c>
      <c r="D442" s="839" t="s">
        <v>159</v>
      </c>
      <c r="E442" s="841">
        <v>95</v>
      </c>
      <c r="F442" s="839" t="s">
        <v>224</v>
      </c>
      <c r="G442" s="839" t="s">
        <v>175</v>
      </c>
      <c r="I442" t="s">
        <v>225</v>
      </c>
      <c r="J442" t="s">
        <v>226</v>
      </c>
    </row>
    <row r="443" spans="1:10" ht="13.5" customHeight="1" x14ac:dyDescent="0.35">
      <c r="A443" s="838">
        <v>45348</v>
      </c>
      <c r="B443" s="839" t="s">
        <v>1181</v>
      </c>
      <c r="C443" s="840" t="s">
        <v>31</v>
      </c>
      <c r="D443" s="839" t="s">
        <v>159</v>
      </c>
      <c r="E443" s="841">
        <v>50</v>
      </c>
      <c r="F443" s="839" t="s">
        <v>783</v>
      </c>
      <c r="G443" s="839" t="s">
        <v>175</v>
      </c>
      <c r="I443" t="s">
        <v>317</v>
      </c>
      <c r="J443" t="s">
        <v>226</v>
      </c>
    </row>
    <row r="444" spans="1:10" ht="13.5" customHeight="1" x14ac:dyDescent="0.35">
      <c r="A444" s="838">
        <v>45348</v>
      </c>
      <c r="B444" s="839" t="s">
        <v>784</v>
      </c>
      <c r="C444" s="840" t="s">
        <v>31</v>
      </c>
      <c r="D444" s="839" t="s">
        <v>159</v>
      </c>
      <c r="E444" s="841">
        <v>9.9499999999999993</v>
      </c>
      <c r="F444" s="839" t="s">
        <v>324</v>
      </c>
      <c r="G444" s="839" t="s">
        <v>175</v>
      </c>
      <c r="I444" t="s">
        <v>325</v>
      </c>
      <c r="J444" t="s">
        <v>226</v>
      </c>
    </row>
    <row r="445" spans="1:10" ht="13.5" customHeight="1" x14ac:dyDescent="0.35">
      <c r="A445" s="838">
        <v>45347</v>
      </c>
      <c r="B445" s="839" t="s">
        <v>1223</v>
      </c>
      <c r="C445" s="840" t="s">
        <v>44</v>
      </c>
      <c r="D445" s="839" t="s">
        <v>159</v>
      </c>
      <c r="E445" s="841">
        <v>20</v>
      </c>
      <c r="F445" s="839" t="s">
        <v>293</v>
      </c>
      <c r="G445" s="839" t="s">
        <v>174</v>
      </c>
      <c r="I445" t="s">
        <v>294</v>
      </c>
      <c r="J445" t="s">
        <v>295</v>
      </c>
    </row>
    <row r="446" spans="1:10" ht="13.5" customHeight="1" x14ac:dyDescent="0.35">
      <c r="A446" s="838">
        <v>45345</v>
      </c>
      <c r="B446" s="839" t="s">
        <v>1224</v>
      </c>
      <c r="C446" s="840" t="s">
        <v>31</v>
      </c>
      <c r="D446" s="839" t="s">
        <v>160</v>
      </c>
      <c r="E446" s="841">
        <v>120</v>
      </c>
      <c r="F446" s="839" t="s">
        <v>693</v>
      </c>
      <c r="G446" s="839" t="s">
        <v>174</v>
      </c>
      <c r="I446" t="s">
        <v>605</v>
      </c>
      <c r="J446" t="s">
        <v>226</v>
      </c>
    </row>
    <row r="447" spans="1:10" ht="13.5" customHeight="1" x14ac:dyDescent="0.35">
      <c r="A447" s="838">
        <v>45345</v>
      </c>
      <c r="B447" s="839" t="s">
        <v>1225</v>
      </c>
      <c r="C447" s="840" t="s">
        <v>35</v>
      </c>
      <c r="D447" s="839" t="s">
        <v>162</v>
      </c>
      <c r="E447" s="841">
        <v>580</v>
      </c>
      <c r="F447" s="839" t="s">
        <v>495</v>
      </c>
      <c r="G447" s="839" t="s">
        <v>180</v>
      </c>
      <c r="I447" t="s">
        <v>1226</v>
      </c>
      <c r="J447" t="s">
        <v>222</v>
      </c>
    </row>
    <row r="448" spans="1:10" ht="13.5" customHeight="1" x14ac:dyDescent="0.35">
      <c r="A448" s="838">
        <v>45344</v>
      </c>
      <c r="B448" s="839" t="s">
        <v>1227</v>
      </c>
      <c r="C448" s="840" t="s">
        <v>41</v>
      </c>
      <c r="D448" s="839" t="s">
        <v>166</v>
      </c>
      <c r="E448" s="841">
        <v>-85.5</v>
      </c>
      <c r="F448" s="839" t="s">
        <v>1228</v>
      </c>
      <c r="G448" s="839" t="s">
        <v>175</v>
      </c>
      <c r="I448" t="s">
        <v>220</v>
      </c>
      <c r="J448"/>
    </row>
    <row r="449" spans="1:10" ht="13.5" customHeight="1" x14ac:dyDescent="0.35">
      <c r="A449" s="838">
        <v>45344</v>
      </c>
      <c r="B449" s="839" t="s">
        <v>1227</v>
      </c>
      <c r="C449" s="840" t="s">
        <v>31</v>
      </c>
      <c r="D449" s="839" t="s">
        <v>166</v>
      </c>
      <c r="E449" s="841">
        <v>85.5</v>
      </c>
      <c r="F449" s="839" t="s">
        <v>1228</v>
      </c>
      <c r="G449" s="839" t="s">
        <v>175</v>
      </c>
      <c r="I449" t="s">
        <v>378</v>
      </c>
      <c r="J449" t="s">
        <v>226</v>
      </c>
    </row>
    <row r="450" spans="1:10" ht="13.5" customHeight="1" x14ac:dyDescent="0.35">
      <c r="A450" s="838">
        <v>45344</v>
      </c>
      <c r="B450" s="839" t="s">
        <v>1227</v>
      </c>
      <c r="C450" s="840" t="s">
        <v>41</v>
      </c>
      <c r="D450" s="839" t="s">
        <v>166</v>
      </c>
      <c r="E450" s="841">
        <v>-50</v>
      </c>
      <c r="F450" s="839" t="s">
        <v>1229</v>
      </c>
      <c r="G450" s="839" t="s">
        <v>175</v>
      </c>
      <c r="I450" t="s">
        <v>220</v>
      </c>
      <c r="J450"/>
    </row>
    <row r="451" spans="1:10" ht="13.5" customHeight="1" x14ac:dyDescent="0.35">
      <c r="A451" s="838">
        <v>45344</v>
      </c>
      <c r="B451" s="839" t="s">
        <v>1227</v>
      </c>
      <c r="C451" s="840" t="s">
        <v>31</v>
      </c>
      <c r="D451" s="839" t="s">
        <v>166</v>
      </c>
      <c r="E451" s="841">
        <v>50</v>
      </c>
      <c r="F451" s="839" t="s">
        <v>1229</v>
      </c>
      <c r="G451" s="839" t="s">
        <v>175</v>
      </c>
      <c r="I451" t="s">
        <v>244</v>
      </c>
      <c r="J451" t="s">
        <v>226</v>
      </c>
    </row>
    <row r="452" spans="1:10" ht="13.5" customHeight="1" x14ac:dyDescent="0.35">
      <c r="A452" s="838">
        <v>45344</v>
      </c>
      <c r="B452" s="839" t="s">
        <v>1227</v>
      </c>
      <c r="C452" s="840" t="s">
        <v>41</v>
      </c>
      <c r="D452" s="839" t="s">
        <v>166</v>
      </c>
      <c r="E452" s="841">
        <v>-99</v>
      </c>
      <c r="F452" s="839" t="s">
        <v>230</v>
      </c>
      <c r="G452" s="839" t="s">
        <v>175</v>
      </c>
      <c r="I452" t="s">
        <v>220</v>
      </c>
      <c r="J452"/>
    </row>
    <row r="453" spans="1:10" ht="13.5" customHeight="1" x14ac:dyDescent="0.35">
      <c r="A453" s="838">
        <v>45344</v>
      </c>
      <c r="B453" s="839" t="s">
        <v>1227</v>
      </c>
      <c r="C453" s="840" t="s">
        <v>31</v>
      </c>
      <c r="D453" s="839" t="s">
        <v>166</v>
      </c>
      <c r="E453" s="841">
        <v>99</v>
      </c>
      <c r="F453" s="839" t="s">
        <v>230</v>
      </c>
      <c r="G453" s="839" t="s">
        <v>175</v>
      </c>
      <c r="I453" t="s">
        <v>231</v>
      </c>
      <c r="J453" t="s">
        <v>232</v>
      </c>
    </row>
    <row r="454" spans="1:10" ht="13.5" customHeight="1" x14ac:dyDescent="0.35">
      <c r="A454" s="838">
        <v>45344</v>
      </c>
      <c r="B454" s="839" t="s">
        <v>1230</v>
      </c>
      <c r="C454" s="840" t="s">
        <v>47</v>
      </c>
      <c r="D454" s="839" t="s">
        <v>159</v>
      </c>
      <c r="E454" s="841">
        <v>120</v>
      </c>
      <c r="F454" s="839" t="s">
        <v>1231</v>
      </c>
      <c r="G454" s="839" t="s">
        <v>174</v>
      </c>
      <c r="I454" t="s">
        <v>265</v>
      </c>
      <c r="J454" t="s">
        <v>206</v>
      </c>
    </row>
    <row r="455" spans="1:10" ht="13.5" customHeight="1" x14ac:dyDescent="0.35">
      <c r="A455" s="838">
        <v>45338</v>
      </c>
      <c r="B455" s="839" t="s">
        <v>1162</v>
      </c>
      <c r="C455" s="840" t="s">
        <v>31</v>
      </c>
      <c r="D455" s="839" t="s">
        <v>165</v>
      </c>
      <c r="E455" s="841">
        <v>50</v>
      </c>
      <c r="F455" s="839" t="s">
        <v>783</v>
      </c>
      <c r="G455" s="839" t="s">
        <v>174</v>
      </c>
      <c r="I455" t="s">
        <v>317</v>
      </c>
      <c r="J455" t="s">
        <v>226</v>
      </c>
    </row>
    <row r="456" spans="1:10" ht="13.5" customHeight="1" x14ac:dyDescent="0.35">
      <c r="A456" s="838">
        <v>45338</v>
      </c>
      <c r="B456" s="839" t="s">
        <v>1162</v>
      </c>
      <c r="C456" s="840" t="s">
        <v>53</v>
      </c>
      <c r="D456" s="839" t="s">
        <v>165</v>
      </c>
      <c r="E456" s="841">
        <v>-50</v>
      </c>
      <c r="F456" s="839" t="s">
        <v>783</v>
      </c>
      <c r="G456" s="839" t="s">
        <v>174</v>
      </c>
      <c r="I456" t="s">
        <v>220</v>
      </c>
      <c r="J456"/>
    </row>
    <row r="457" spans="1:10" ht="13.5" customHeight="1" x14ac:dyDescent="0.35">
      <c r="A457" s="838">
        <v>45341</v>
      </c>
      <c r="B457" s="839" t="s">
        <v>1232</v>
      </c>
      <c r="C457" s="840" t="s">
        <v>31</v>
      </c>
      <c r="D457" s="839" t="s">
        <v>159</v>
      </c>
      <c r="E457" s="841">
        <v>65</v>
      </c>
      <c r="F457" s="839" t="s">
        <v>273</v>
      </c>
      <c r="G457" s="839" t="s">
        <v>174</v>
      </c>
      <c r="I457" t="s">
        <v>274</v>
      </c>
      <c r="J457" t="s">
        <v>232</v>
      </c>
    </row>
    <row r="458" spans="1:10" ht="13.5" customHeight="1" x14ac:dyDescent="0.35">
      <c r="A458" s="838">
        <v>45341</v>
      </c>
      <c r="B458" s="839" t="s">
        <v>1232</v>
      </c>
      <c r="C458" s="840" t="s">
        <v>31</v>
      </c>
      <c r="D458" s="839" t="s">
        <v>165</v>
      </c>
      <c r="E458" s="841">
        <v>60</v>
      </c>
      <c r="F458" s="839" t="s">
        <v>273</v>
      </c>
      <c r="G458" s="839" t="s">
        <v>174</v>
      </c>
      <c r="I458" t="s">
        <v>274</v>
      </c>
      <c r="J458" t="s">
        <v>232</v>
      </c>
    </row>
    <row r="459" spans="1:10" ht="13.5" customHeight="1" x14ac:dyDescent="0.35">
      <c r="A459" s="838">
        <v>45341</v>
      </c>
      <c r="B459" s="839" t="s">
        <v>1232</v>
      </c>
      <c r="C459" s="840" t="s">
        <v>53</v>
      </c>
      <c r="D459" s="839" t="s">
        <v>165</v>
      </c>
      <c r="E459" s="841">
        <v>-60</v>
      </c>
      <c r="F459" s="839" t="s">
        <v>273</v>
      </c>
      <c r="G459" s="839" t="s">
        <v>174</v>
      </c>
      <c r="I459" t="s">
        <v>220</v>
      </c>
      <c r="J459"/>
    </row>
    <row r="460" spans="1:10" ht="13.5" customHeight="1" x14ac:dyDescent="0.35">
      <c r="A460" s="838">
        <v>45337</v>
      </c>
      <c r="B460" s="839" t="s">
        <v>1233</v>
      </c>
      <c r="C460" s="840" t="s">
        <v>31</v>
      </c>
      <c r="D460" s="839" t="s">
        <v>159</v>
      </c>
      <c r="E460" s="841">
        <v>9.9499999999999993</v>
      </c>
      <c r="F460" s="839" t="s">
        <v>324</v>
      </c>
      <c r="G460" s="839" t="s">
        <v>175</v>
      </c>
      <c r="I460" t="s">
        <v>325</v>
      </c>
      <c r="J460" t="s">
        <v>226</v>
      </c>
    </row>
    <row r="461" spans="1:10" ht="13.5" customHeight="1" x14ac:dyDescent="0.35">
      <c r="A461" s="838">
        <v>45337</v>
      </c>
      <c r="B461" s="839" t="s">
        <v>92</v>
      </c>
      <c r="C461" s="840" t="s">
        <v>56</v>
      </c>
      <c r="D461" s="839" t="s">
        <v>162</v>
      </c>
      <c r="E461" s="841">
        <v>115.68</v>
      </c>
      <c r="F461" s="839" t="s">
        <v>1234</v>
      </c>
      <c r="G461" s="839" t="s">
        <v>181</v>
      </c>
      <c r="I461" t="s">
        <v>285</v>
      </c>
      <c r="J461" t="s">
        <v>286</v>
      </c>
    </row>
    <row r="462" spans="1:10" ht="13.5" customHeight="1" x14ac:dyDescent="0.35">
      <c r="A462" s="838">
        <v>45337</v>
      </c>
      <c r="B462" s="839" t="s">
        <v>283</v>
      </c>
      <c r="C462" s="840" t="s">
        <v>56</v>
      </c>
      <c r="D462" s="839" t="s">
        <v>160</v>
      </c>
      <c r="E462" s="841">
        <v>15.52</v>
      </c>
      <c r="F462" s="839" t="s">
        <v>284</v>
      </c>
      <c r="G462" s="839" t="s">
        <v>89</v>
      </c>
      <c r="I462" t="s">
        <v>285</v>
      </c>
      <c r="J462" t="s">
        <v>286</v>
      </c>
    </row>
    <row r="463" spans="1:10" ht="13.5" customHeight="1" x14ac:dyDescent="0.35">
      <c r="A463" s="838">
        <v>45337</v>
      </c>
      <c r="B463" s="839" t="s">
        <v>1235</v>
      </c>
      <c r="C463" s="840" t="s">
        <v>28</v>
      </c>
      <c r="D463" s="839" t="s">
        <v>159</v>
      </c>
      <c r="E463" s="841">
        <v>60</v>
      </c>
      <c r="F463" s="839" t="s">
        <v>1236</v>
      </c>
      <c r="G463" s="839" t="s">
        <v>174</v>
      </c>
      <c r="I463" t="s">
        <v>1237</v>
      </c>
      <c r="J463" t="s">
        <v>197</v>
      </c>
    </row>
    <row r="464" spans="1:10" ht="13.5" customHeight="1" x14ac:dyDescent="0.35">
      <c r="A464" s="838">
        <v>45334</v>
      </c>
      <c r="B464" s="839" t="s">
        <v>1238</v>
      </c>
      <c r="C464" s="840" t="s">
        <v>31</v>
      </c>
      <c r="D464" s="839" t="s">
        <v>165</v>
      </c>
      <c r="E464" s="841">
        <v>99</v>
      </c>
      <c r="F464" s="839" t="s">
        <v>230</v>
      </c>
      <c r="G464" s="839" t="s">
        <v>174</v>
      </c>
      <c r="I464" t="s">
        <v>231</v>
      </c>
      <c r="J464" t="s">
        <v>232</v>
      </c>
    </row>
    <row r="465" spans="1:10" ht="13.5" customHeight="1" x14ac:dyDescent="0.35">
      <c r="A465" s="838">
        <v>45334</v>
      </c>
      <c r="B465" s="839" t="s">
        <v>1238</v>
      </c>
      <c r="C465" s="840" t="s">
        <v>53</v>
      </c>
      <c r="D465" s="839" t="s">
        <v>165</v>
      </c>
      <c r="E465" s="841">
        <v>-99</v>
      </c>
      <c r="F465" s="839" t="s">
        <v>230</v>
      </c>
      <c r="G465" s="839" t="s">
        <v>174</v>
      </c>
      <c r="I465" t="s">
        <v>220</v>
      </c>
      <c r="J465"/>
    </row>
    <row r="466" spans="1:10" ht="13.5" customHeight="1" x14ac:dyDescent="0.35">
      <c r="A466" s="838">
        <v>45334</v>
      </c>
      <c r="B466" s="839" t="s">
        <v>1239</v>
      </c>
      <c r="C466" s="840" t="s">
        <v>28</v>
      </c>
      <c r="D466" s="839" t="s">
        <v>160</v>
      </c>
      <c r="E466" s="841">
        <v>250</v>
      </c>
      <c r="F466" s="839" t="s">
        <v>1071</v>
      </c>
      <c r="G466" s="839" t="s">
        <v>174</v>
      </c>
      <c r="I466" t="s">
        <v>657</v>
      </c>
      <c r="J466" t="s">
        <v>197</v>
      </c>
    </row>
    <row r="467" spans="1:10" ht="13.5" customHeight="1" x14ac:dyDescent="0.35">
      <c r="A467" s="838">
        <v>45334</v>
      </c>
      <c r="B467" s="839" t="s">
        <v>1240</v>
      </c>
      <c r="C467" s="840" t="s">
        <v>47</v>
      </c>
      <c r="D467" s="839" t="s">
        <v>165</v>
      </c>
      <c r="E467" s="841">
        <v>50</v>
      </c>
      <c r="F467" s="839" t="s">
        <v>859</v>
      </c>
      <c r="G467" s="839" t="s">
        <v>175</v>
      </c>
      <c r="I467" t="s">
        <v>268</v>
      </c>
      <c r="J467" t="s">
        <v>269</v>
      </c>
    </row>
    <row r="468" spans="1:10" ht="13.5" customHeight="1" x14ac:dyDescent="0.35">
      <c r="A468" s="838">
        <v>45334</v>
      </c>
      <c r="B468" s="839" t="s">
        <v>1240</v>
      </c>
      <c r="C468" s="840" t="s">
        <v>53</v>
      </c>
      <c r="D468" s="839" t="s">
        <v>165</v>
      </c>
      <c r="E468" s="841">
        <v>-50</v>
      </c>
      <c r="F468" s="839" t="s">
        <v>859</v>
      </c>
      <c r="G468" s="839" t="s">
        <v>175</v>
      </c>
      <c r="I468" t="s">
        <v>220</v>
      </c>
      <c r="J468"/>
    </row>
    <row r="469" spans="1:10" ht="13.5" customHeight="1" x14ac:dyDescent="0.35">
      <c r="A469" s="838">
        <v>45331</v>
      </c>
      <c r="B469" s="839" t="s">
        <v>1241</v>
      </c>
      <c r="C469" s="840" t="s">
        <v>31</v>
      </c>
      <c r="D469" s="839" t="s">
        <v>159</v>
      </c>
      <c r="E469" s="841">
        <v>95</v>
      </c>
      <c r="F469" s="839" t="s">
        <v>235</v>
      </c>
      <c r="G469" s="839" t="s">
        <v>174</v>
      </c>
      <c r="I469" t="s">
        <v>236</v>
      </c>
      <c r="J469" t="s">
        <v>232</v>
      </c>
    </row>
    <row r="470" spans="1:10" ht="13.5" customHeight="1" x14ac:dyDescent="0.35">
      <c r="A470" s="838">
        <v>45331</v>
      </c>
      <c r="B470" s="839" t="s">
        <v>1242</v>
      </c>
      <c r="C470" s="840" t="s">
        <v>31</v>
      </c>
      <c r="D470" s="839" t="s">
        <v>165</v>
      </c>
      <c r="E470" s="841">
        <v>99</v>
      </c>
      <c r="F470" s="839" t="s">
        <v>230</v>
      </c>
      <c r="G470" s="839" t="s">
        <v>174</v>
      </c>
      <c r="I470" t="s">
        <v>231</v>
      </c>
      <c r="J470" t="s">
        <v>232</v>
      </c>
    </row>
    <row r="471" spans="1:10" ht="13.5" customHeight="1" x14ac:dyDescent="0.35">
      <c r="A471" s="838">
        <v>45331</v>
      </c>
      <c r="B471" s="839" t="s">
        <v>1242</v>
      </c>
      <c r="C471" s="840" t="s">
        <v>53</v>
      </c>
      <c r="D471" s="839" t="s">
        <v>165</v>
      </c>
      <c r="E471" s="841">
        <v>-99</v>
      </c>
      <c r="F471" s="839" t="s">
        <v>230</v>
      </c>
      <c r="G471" s="839" t="s">
        <v>174</v>
      </c>
      <c r="I471" t="s">
        <v>220</v>
      </c>
      <c r="J471"/>
    </row>
    <row r="472" spans="1:10" ht="13.5" customHeight="1" x14ac:dyDescent="0.35">
      <c r="A472" s="838">
        <v>45331</v>
      </c>
      <c r="B472" s="839" t="s">
        <v>1243</v>
      </c>
      <c r="C472" s="840" t="s">
        <v>31</v>
      </c>
      <c r="D472" s="839" t="s">
        <v>159</v>
      </c>
      <c r="E472" s="841">
        <v>198</v>
      </c>
      <c r="F472" s="839" t="s">
        <v>230</v>
      </c>
      <c r="G472" s="839" t="s">
        <v>174</v>
      </c>
      <c r="I472" t="s">
        <v>231</v>
      </c>
      <c r="J472" t="s">
        <v>232</v>
      </c>
    </row>
    <row r="473" spans="1:10" ht="13.5" customHeight="1" x14ac:dyDescent="0.35">
      <c r="A473" s="838">
        <v>45330</v>
      </c>
      <c r="B473" s="839" t="s">
        <v>1244</v>
      </c>
      <c r="C473" s="840" t="s">
        <v>569</v>
      </c>
      <c r="D473" s="839" t="s">
        <v>160</v>
      </c>
      <c r="E473" s="841">
        <v>25</v>
      </c>
      <c r="F473" s="839" t="s">
        <v>1245</v>
      </c>
      <c r="G473" s="839" t="s">
        <v>174</v>
      </c>
      <c r="I473" t="s">
        <v>725</v>
      </c>
      <c r="J473" t="s">
        <v>726</v>
      </c>
    </row>
    <row r="474" spans="1:10" ht="13.5" customHeight="1" x14ac:dyDescent="0.35">
      <c r="A474" s="838">
        <v>45330</v>
      </c>
      <c r="B474" s="839" t="s">
        <v>1246</v>
      </c>
      <c r="C474" s="840" t="s">
        <v>50</v>
      </c>
      <c r="D474" s="839" t="s">
        <v>159</v>
      </c>
      <c r="E474" s="841">
        <v>100</v>
      </c>
      <c r="F474" s="839" t="s">
        <v>734</v>
      </c>
      <c r="G474" s="839" t="s">
        <v>174</v>
      </c>
      <c r="I474" t="s">
        <v>210</v>
      </c>
      <c r="J474" t="s">
        <v>211</v>
      </c>
    </row>
    <row r="475" spans="1:10" ht="13.5" customHeight="1" x14ac:dyDescent="0.35">
      <c r="A475" s="838">
        <v>45326</v>
      </c>
      <c r="B475" s="839" t="s">
        <v>1247</v>
      </c>
      <c r="C475" s="840" t="s">
        <v>31</v>
      </c>
      <c r="D475" s="839" t="s">
        <v>160</v>
      </c>
      <c r="E475" s="841">
        <v>24</v>
      </c>
      <c r="F475" s="839" t="s">
        <v>230</v>
      </c>
      <c r="G475" s="839" t="s">
        <v>175</v>
      </c>
      <c r="I475" t="s">
        <v>231</v>
      </c>
      <c r="J475" t="s">
        <v>232</v>
      </c>
    </row>
    <row r="476" spans="1:10" ht="13.5" customHeight="1" x14ac:dyDescent="0.35">
      <c r="A476" s="838">
        <v>45326</v>
      </c>
      <c r="B476" s="839" t="s">
        <v>1248</v>
      </c>
      <c r="C476" s="840" t="s">
        <v>569</v>
      </c>
      <c r="D476" s="839" t="s">
        <v>164</v>
      </c>
      <c r="E476" s="841">
        <v>80</v>
      </c>
      <c r="F476" s="839" t="s">
        <v>1249</v>
      </c>
      <c r="G476" s="839" t="s">
        <v>174</v>
      </c>
      <c r="I476" t="s">
        <v>725</v>
      </c>
      <c r="J476" t="s">
        <v>726</v>
      </c>
    </row>
    <row r="477" spans="1:10" ht="13.5" customHeight="1" x14ac:dyDescent="0.35">
      <c r="A477" s="838">
        <v>45323</v>
      </c>
      <c r="B477" s="839" t="s">
        <v>1250</v>
      </c>
      <c r="C477" s="840" t="s">
        <v>50</v>
      </c>
      <c r="D477" s="839" t="s">
        <v>159</v>
      </c>
      <c r="E477" s="841">
        <v>100</v>
      </c>
      <c r="F477" s="839" t="s">
        <v>734</v>
      </c>
      <c r="G477" s="839" t="s">
        <v>174</v>
      </c>
      <c r="I477" t="s">
        <v>210</v>
      </c>
      <c r="J477" t="s">
        <v>211</v>
      </c>
    </row>
    <row r="478" spans="1:10" ht="13.5" customHeight="1" x14ac:dyDescent="0.35">
      <c r="A478" s="838">
        <v>45323</v>
      </c>
      <c r="B478" s="839" t="s">
        <v>1251</v>
      </c>
      <c r="C478" s="840" t="s">
        <v>35</v>
      </c>
      <c r="D478" s="839" t="s">
        <v>160</v>
      </c>
      <c r="E478" s="841">
        <v>795</v>
      </c>
      <c r="F478" s="839" t="s">
        <v>495</v>
      </c>
      <c r="G478" s="839" t="s">
        <v>175</v>
      </c>
      <c r="I478" t="s">
        <v>1226</v>
      </c>
      <c r="J478" t="s">
        <v>222</v>
      </c>
    </row>
    <row r="479" spans="1:10" ht="13.5" customHeight="1" x14ac:dyDescent="0.35">
      <c r="A479" s="838">
        <v>45323</v>
      </c>
      <c r="B479" s="839" t="s">
        <v>1077</v>
      </c>
      <c r="C479" s="840" t="s">
        <v>37</v>
      </c>
      <c r="D479" s="839" t="s">
        <v>159</v>
      </c>
      <c r="E479" s="841">
        <v>50</v>
      </c>
      <c r="F479" s="839" t="s">
        <v>1078</v>
      </c>
      <c r="G479" s="839" t="s">
        <v>175</v>
      </c>
      <c r="I479" t="s">
        <v>353</v>
      </c>
      <c r="J479" t="s">
        <v>354</v>
      </c>
    </row>
    <row r="480" spans="1:10" ht="13.5" customHeight="1" x14ac:dyDescent="0.35">
      <c r="A480" s="838">
        <v>45323</v>
      </c>
      <c r="B480" s="839" t="s">
        <v>292</v>
      </c>
      <c r="C480" s="840" t="s">
        <v>44</v>
      </c>
      <c r="D480" s="839" t="s">
        <v>159</v>
      </c>
      <c r="E480" s="841">
        <v>80</v>
      </c>
      <c r="F480" s="839" t="s">
        <v>292</v>
      </c>
      <c r="G480" s="839" t="s">
        <v>175</v>
      </c>
      <c r="I480" t="s">
        <v>294</v>
      </c>
      <c r="J480" t="s">
        <v>295</v>
      </c>
    </row>
    <row r="481" spans="1:10" ht="13.5" customHeight="1" x14ac:dyDescent="0.35">
      <c r="A481" s="838"/>
      <c r="B481" s="839"/>
      <c r="C481" s="840"/>
      <c r="D481" s="839"/>
      <c r="E481" s="841"/>
      <c r="F481" s="839"/>
      <c r="G481" s="839"/>
    </row>
    <row r="482" spans="1:10" ht="13.5" customHeight="1" x14ac:dyDescent="0.35">
      <c r="A482" s="838">
        <v>45320</v>
      </c>
      <c r="B482" s="839" t="s">
        <v>1223</v>
      </c>
      <c r="C482" s="840" t="s">
        <v>44</v>
      </c>
      <c r="D482" s="839" t="s">
        <v>159</v>
      </c>
      <c r="E482" s="841">
        <v>20</v>
      </c>
      <c r="F482" s="839" t="s">
        <v>293</v>
      </c>
      <c r="G482" s="839" t="s">
        <v>174</v>
      </c>
      <c r="I482" t="s">
        <v>294</v>
      </c>
      <c r="J482" t="s">
        <v>295</v>
      </c>
    </row>
    <row r="483" spans="1:10" ht="13.5" customHeight="1" x14ac:dyDescent="0.35">
      <c r="A483" s="838">
        <v>45313</v>
      </c>
      <c r="B483" s="839" t="s">
        <v>1252</v>
      </c>
      <c r="C483" s="840" t="s">
        <v>50</v>
      </c>
      <c r="D483" s="839" t="s">
        <v>159</v>
      </c>
      <c r="E483" s="841">
        <v>100</v>
      </c>
      <c r="F483" s="839" t="s">
        <v>734</v>
      </c>
      <c r="G483" s="839" t="s">
        <v>174</v>
      </c>
      <c r="I483" t="s">
        <v>210</v>
      </c>
      <c r="J483" t="s">
        <v>211</v>
      </c>
    </row>
    <row r="484" spans="1:10" ht="13.5" customHeight="1" x14ac:dyDescent="0.35">
      <c r="A484" s="838">
        <v>45306</v>
      </c>
      <c r="B484" s="839" t="s">
        <v>1233</v>
      </c>
      <c r="C484" s="840" t="s">
        <v>31</v>
      </c>
      <c r="D484" s="839" t="s">
        <v>159</v>
      </c>
      <c r="E484" s="841">
        <v>125</v>
      </c>
      <c r="F484" s="839" t="s">
        <v>273</v>
      </c>
      <c r="G484" s="839" t="s">
        <v>174</v>
      </c>
      <c r="I484" t="s">
        <v>274</v>
      </c>
      <c r="J484" t="s">
        <v>232</v>
      </c>
    </row>
    <row r="485" spans="1:10" ht="13.5" customHeight="1" x14ac:dyDescent="0.35">
      <c r="A485" s="838">
        <v>45306</v>
      </c>
      <c r="B485" s="839" t="s">
        <v>1253</v>
      </c>
      <c r="C485" s="840" t="s">
        <v>31</v>
      </c>
      <c r="D485" s="839" t="s">
        <v>165</v>
      </c>
      <c r="E485" s="841">
        <v>150</v>
      </c>
      <c r="F485" s="839" t="s">
        <v>235</v>
      </c>
      <c r="G485" s="839" t="s">
        <v>174</v>
      </c>
      <c r="I485" t="s">
        <v>236</v>
      </c>
      <c r="J485" t="s">
        <v>232</v>
      </c>
    </row>
    <row r="486" spans="1:10" ht="13.5" customHeight="1" x14ac:dyDescent="0.35">
      <c r="A486" s="838">
        <v>45306</v>
      </c>
      <c r="B486" s="839" t="s">
        <v>1253</v>
      </c>
      <c r="C486" s="840" t="s">
        <v>53</v>
      </c>
      <c r="D486" s="839" t="s">
        <v>165</v>
      </c>
      <c r="E486" s="841">
        <v>-150</v>
      </c>
      <c r="F486" s="839" t="s">
        <v>235</v>
      </c>
      <c r="G486" s="839" t="s">
        <v>174</v>
      </c>
      <c r="I486" t="s">
        <v>220</v>
      </c>
      <c r="J486"/>
    </row>
    <row r="487" spans="1:10" ht="13.5" customHeight="1" x14ac:dyDescent="0.35">
      <c r="A487" s="838">
        <v>45303</v>
      </c>
      <c r="B487" s="839" t="s">
        <v>818</v>
      </c>
      <c r="C487" s="840" t="s">
        <v>569</v>
      </c>
      <c r="D487" s="839" t="s">
        <v>160</v>
      </c>
      <c r="E487" s="841">
        <v>5</v>
      </c>
      <c r="F487" s="839" t="s">
        <v>1254</v>
      </c>
      <c r="G487" s="839" t="s">
        <v>174</v>
      </c>
      <c r="I487" t="s">
        <v>285</v>
      </c>
      <c r="J487" t="s">
        <v>286</v>
      </c>
    </row>
    <row r="488" spans="1:10" ht="13.5" customHeight="1" x14ac:dyDescent="0.35">
      <c r="A488" s="838">
        <v>45302</v>
      </c>
      <c r="B488" s="839" t="s">
        <v>1200</v>
      </c>
      <c r="C488" s="840" t="s">
        <v>31</v>
      </c>
      <c r="D488" s="839" t="s">
        <v>159</v>
      </c>
      <c r="E488" s="841">
        <v>50</v>
      </c>
      <c r="F488" s="839" t="s">
        <v>243</v>
      </c>
      <c r="G488" s="839" t="s">
        <v>175</v>
      </c>
      <c r="I488" t="s">
        <v>244</v>
      </c>
      <c r="J488" t="s">
        <v>226</v>
      </c>
    </row>
    <row r="489" spans="1:10" ht="13.5" customHeight="1" x14ac:dyDescent="0.35">
      <c r="A489" s="838">
        <v>45301</v>
      </c>
      <c r="B489" s="839" t="s">
        <v>1255</v>
      </c>
      <c r="C489" s="840" t="s">
        <v>28</v>
      </c>
      <c r="D489" s="839" t="s">
        <v>159</v>
      </c>
      <c r="E489" s="841">
        <v>250</v>
      </c>
      <c r="F489" s="839" t="s">
        <v>1180</v>
      </c>
      <c r="G489" s="839" t="s">
        <v>174</v>
      </c>
      <c r="I489" t="s">
        <v>657</v>
      </c>
      <c r="J489" t="s">
        <v>197</v>
      </c>
    </row>
    <row r="490" spans="1:10" ht="13.5" customHeight="1" x14ac:dyDescent="0.35">
      <c r="A490" s="838">
        <v>45301</v>
      </c>
      <c r="B490" s="839" t="s">
        <v>1256</v>
      </c>
      <c r="C490" s="840" t="s">
        <v>31</v>
      </c>
      <c r="D490" s="839" t="s">
        <v>159</v>
      </c>
      <c r="E490" s="841">
        <v>150</v>
      </c>
      <c r="F490" s="839" t="s">
        <v>235</v>
      </c>
      <c r="G490" s="839" t="s">
        <v>174</v>
      </c>
      <c r="I490" t="s">
        <v>236</v>
      </c>
      <c r="J490" t="s">
        <v>232</v>
      </c>
    </row>
    <row r="491" spans="1:10" ht="13.5" customHeight="1" x14ac:dyDescent="0.35">
      <c r="A491" s="838">
        <v>45299</v>
      </c>
      <c r="B491" s="839" t="s">
        <v>1257</v>
      </c>
      <c r="C491" s="840" t="s">
        <v>31</v>
      </c>
      <c r="D491" s="839" t="s">
        <v>159</v>
      </c>
      <c r="E491" s="841">
        <v>150</v>
      </c>
      <c r="F491" s="839" t="s">
        <v>235</v>
      </c>
      <c r="G491" s="839" t="s">
        <v>174</v>
      </c>
      <c r="I491" t="s">
        <v>236</v>
      </c>
      <c r="J491" t="s">
        <v>232</v>
      </c>
    </row>
    <row r="492" spans="1:10" ht="13.5" customHeight="1" x14ac:dyDescent="0.35">
      <c r="A492" s="838">
        <v>45299</v>
      </c>
      <c r="B492" s="839" t="s">
        <v>1258</v>
      </c>
      <c r="C492" s="840" t="s">
        <v>47</v>
      </c>
      <c r="D492" s="839" t="s">
        <v>162</v>
      </c>
      <c r="E492" s="841">
        <v>120</v>
      </c>
      <c r="F492" s="839" t="s">
        <v>177</v>
      </c>
      <c r="G492" s="839" t="s">
        <v>175</v>
      </c>
      <c r="I492" t="s">
        <v>210</v>
      </c>
      <c r="J492" t="s">
        <v>211</v>
      </c>
    </row>
    <row r="493" spans="1:10" ht="13.5" customHeight="1" x14ac:dyDescent="0.35">
      <c r="A493" s="838">
        <v>45296</v>
      </c>
      <c r="B493" s="839" t="s">
        <v>1259</v>
      </c>
      <c r="C493" s="840" t="s">
        <v>31</v>
      </c>
      <c r="D493" s="839" t="s">
        <v>159</v>
      </c>
      <c r="E493" s="841">
        <v>12</v>
      </c>
      <c r="F493" s="839" t="s">
        <v>1260</v>
      </c>
      <c r="G493" s="839" t="s">
        <v>174</v>
      </c>
      <c r="I493" t="s">
        <v>325</v>
      </c>
      <c r="J493" t="s">
        <v>226</v>
      </c>
    </row>
    <row r="494" spans="1:10" ht="13.5" customHeight="1" x14ac:dyDescent="0.35">
      <c r="A494" s="838">
        <v>45294</v>
      </c>
      <c r="B494" s="839" t="s">
        <v>1261</v>
      </c>
      <c r="C494" s="840" t="s">
        <v>47</v>
      </c>
      <c r="D494" s="839" t="s">
        <v>159</v>
      </c>
      <c r="E494" s="841">
        <v>360</v>
      </c>
      <c r="F494" s="839" t="s">
        <v>1161</v>
      </c>
      <c r="G494" s="839" t="s">
        <v>174</v>
      </c>
      <c r="I494" t="s">
        <v>774</v>
      </c>
      <c r="J494" t="s">
        <v>206</v>
      </c>
    </row>
    <row r="495" spans="1:10" ht="13.5" customHeight="1" x14ac:dyDescent="0.35">
      <c r="A495" s="838">
        <v>45294</v>
      </c>
      <c r="B495" s="839" t="s">
        <v>1262</v>
      </c>
      <c r="C495" s="840" t="s">
        <v>47</v>
      </c>
      <c r="D495" s="839" t="s">
        <v>159</v>
      </c>
      <c r="E495" s="841">
        <v>65</v>
      </c>
      <c r="F495" s="839" t="s">
        <v>1263</v>
      </c>
      <c r="G495" s="839" t="s">
        <v>174</v>
      </c>
      <c r="I495" t="s">
        <v>205</v>
      </c>
      <c r="J495" t="s">
        <v>206</v>
      </c>
    </row>
    <row r="496" spans="1:10" ht="13.5" customHeight="1" x14ac:dyDescent="0.35">
      <c r="A496" s="838">
        <v>45294</v>
      </c>
      <c r="B496" s="839" t="s">
        <v>1264</v>
      </c>
      <c r="C496" s="840" t="s">
        <v>47</v>
      </c>
      <c r="D496" s="839" t="s">
        <v>165</v>
      </c>
      <c r="E496" s="841">
        <v>50</v>
      </c>
      <c r="F496" s="839" t="s">
        <v>1265</v>
      </c>
      <c r="G496" s="839" t="s">
        <v>174</v>
      </c>
      <c r="I496" t="s">
        <v>268</v>
      </c>
      <c r="J496" t="s">
        <v>269</v>
      </c>
    </row>
    <row r="497" spans="1:10" ht="13.5" customHeight="1" x14ac:dyDescent="0.35">
      <c r="A497" s="838">
        <v>45294</v>
      </c>
      <c r="B497" s="839" t="s">
        <v>1264</v>
      </c>
      <c r="C497" s="840" t="s">
        <v>53</v>
      </c>
      <c r="D497" s="839" t="s">
        <v>165</v>
      </c>
      <c r="E497" s="841">
        <v>-50</v>
      </c>
      <c r="F497" s="839" t="s">
        <v>1265</v>
      </c>
      <c r="G497" s="839" t="s">
        <v>174</v>
      </c>
      <c r="I497" t="s">
        <v>220</v>
      </c>
      <c r="J497"/>
    </row>
    <row r="498" spans="1:10" ht="13.5" customHeight="1" x14ac:dyDescent="0.35">
      <c r="A498" s="838">
        <v>45294</v>
      </c>
      <c r="B498" s="839" t="s">
        <v>1266</v>
      </c>
      <c r="C498" s="840" t="s">
        <v>28</v>
      </c>
      <c r="D498" s="839" t="s">
        <v>159</v>
      </c>
      <c r="E498" s="841">
        <v>250</v>
      </c>
      <c r="F498" s="839" t="s">
        <v>1267</v>
      </c>
      <c r="G498" s="839" t="s">
        <v>174</v>
      </c>
      <c r="I498" t="s">
        <v>215</v>
      </c>
      <c r="J498" t="s">
        <v>216</v>
      </c>
    </row>
    <row r="499" spans="1:10" ht="13.5" customHeight="1" x14ac:dyDescent="0.35">
      <c r="A499" s="838">
        <v>45293</v>
      </c>
      <c r="B499" s="839" t="s">
        <v>1268</v>
      </c>
      <c r="C499" s="840" t="s">
        <v>31</v>
      </c>
      <c r="D499" s="839" t="s">
        <v>159</v>
      </c>
      <c r="E499" s="841">
        <v>60</v>
      </c>
      <c r="F499" s="839" t="s">
        <v>693</v>
      </c>
      <c r="G499" s="839" t="s">
        <v>174</v>
      </c>
      <c r="I499" t="s">
        <v>605</v>
      </c>
      <c r="J499" t="s">
        <v>226</v>
      </c>
    </row>
    <row r="500" spans="1:10" ht="13.5" customHeight="1" x14ac:dyDescent="0.35">
      <c r="A500" s="838">
        <v>45292</v>
      </c>
      <c r="B500" s="839" t="s">
        <v>351</v>
      </c>
      <c r="C500" s="840" t="s">
        <v>41</v>
      </c>
      <c r="D500" s="839" t="s">
        <v>166</v>
      </c>
      <c r="E500" s="841">
        <v>-120</v>
      </c>
      <c r="F500" s="839" t="s">
        <v>177</v>
      </c>
      <c r="G500" s="839" t="s">
        <v>175</v>
      </c>
      <c r="I500" t="s">
        <v>220</v>
      </c>
      <c r="J500"/>
    </row>
    <row r="501" spans="1:10" ht="13.5" customHeight="1" x14ac:dyDescent="0.35">
      <c r="A501" s="838">
        <v>45292</v>
      </c>
      <c r="B501" s="839" t="s">
        <v>351</v>
      </c>
      <c r="C501" s="840" t="s">
        <v>31</v>
      </c>
      <c r="D501" s="839" t="s">
        <v>166</v>
      </c>
      <c r="E501" s="841">
        <v>120</v>
      </c>
      <c r="F501" s="839" t="s">
        <v>177</v>
      </c>
      <c r="G501" s="839" t="s">
        <v>175</v>
      </c>
      <c r="I501" t="s">
        <v>210</v>
      </c>
      <c r="J501" t="s">
        <v>211</v>
      </c>
    </row>
    <row r="502" spans="1:10" ht="13.5" customHeight="1" x14ac:dyDescent="0.35">
      <c r="A502" s="838">
        <v>45292</v>
      </c>
      <c r="B502" s="839" t="s">
        <v>351</v>
      </c>
      <c r="C502" s="840" t="s">
        <v>41</v>
      </c>
      <c r="D502" s="839" t="s">
        <v>166</v>
      </c>
      <c r="E502" s="841">
        <v>-525</v>
      </c>
      <c r="F502" s="839" t="s">
        <v>501</v>
      </c>
      <c r="G502" s="839" t="s">
        <v>175</v>
      </c>
      <c r="I502" t="s">
        <v>220</v>
      </c>
      <c r="J502"/>
    </row>
    <row r="503" spans="1:10" ht="13.5" customHeight="1" x14ac:dyDescent="0.35">
      <c r="A503" s="838">
        <v>45292</v>
      </c>
      <c r="B503" s="839" t="s">
        <v>351</v>
      </c>
      <c r="C503" s="840" t="s">
        <v>35</v>
      </c>
      <c r="D503" s="839" t="s">
        <v>166</v>
      </c>
      <c r="E503" s="841">
        <v>525</v>
      </c>
      <c r="F503" s="839" t="s">
        <v>501</v>
      </c>
      <c r="G503" s="839" t="s">
        <v>175</v>
      </c>
      <c r="I503" t="s">
        <v>1269</v>
      </c>
      <c r="J503" t="s">
        <v>226</v>
      </c>
    </row>
    <row r="504" spans="1:10" ht="13.5" customHeight="1" x14ac:dyDescent="0.35">
      <c r="A504" s="838">
        <v>45292</v>
      </c>
      <c r="B504" s="839" t="s">
        <v>351</v>
      </c>
      <c r="C504" s="840" t="s">
        <v>41</v>
      </c>
      <c r="D504" s="839" t="s">
        <v>166</v>
      </c>
      <c r="E504" s="841">
        <v>-76</v>
      </c>
      <c r="F504" s="839" t="s">
        <v>501</v>
      </c>
      <c r="G504" s="839" t="s">
        <v>175</v>
      </c>
      <c r="I504" t="s">
        <v>220</v>
      </c>
      <c r="J504"/>
    </row>
    <row r="505" spans="1:10" ht="13.5" customHeight="1" x14ac:dyDescent="0.35">
      <c r="A505" s="838">
        <v>45292</v>
      </c>
      <c r="B505" s="839" t="s">
        <v>351</v>
      </c>
      <c r="C505" s="840" t="s">
        <v>31</v>
      </c>
      <c r="D505" s="839" t="s">
        <v>166</v>
      </c>
      <c r="E505" s="841">
        <v>76</v>
      </c>
      <c r="F505" s="839" t="s">
        <v>501</v>
      </c>
      <c r="G505" s="839" t="s">
        <v>175</v>
      </c>
      <c r="I505" t="s">
        <v>1269</v>
      </c>
      <c r="J505" t="s">
        <v>226</v>
      </c>
    </row>
    <row r="506" spans="1:10" ht="13.5" customHeight="1" x14ac:dyDescent="0.35">
      <c r="A506" s="838">
        <v>45292</v>
      </c>
      <c r="B506" s="839" t="s">
        <v>351</v>
      </c>
      <c r="C506" s="840" t="s">
        <v>41</v>
      </c>
      <c r="D506" s="839" t="s">
        <v>166</v>
      </c>
      <c r="E506" s="841">
        <v>-52</v>
      </c>
      <c r="F506" s="839" t="s">
        <v>1270</v>
      </c>
      <c r="G506" s="839" t="s">
        <v>175</v>
      </c>
      <c r="I506" t="s">
        <v>220</v>
      </c>
      <c r="J506"/>
    </row>
    <row r="507" spans="1:10" ht="13.5" customHeight="1" x14ac:dyDescent="0.35">
      <c r="A507" s="838">
        <v>45292</v>
      </c>
      <c r="B507" s="839" t="s">
        <v>351</v>
      </c>
      <c r="C507" s="840" t="s">
        <v>31</v>
      </c>
      <c r="D507" s="839" t="s">
        <v>166</v>
      </c>
      <c r="E507" s="841">
        <v>52</v>
      </c>
      <c r="F507" s="839" t="s">
        <v>1270</v>
      </c>
      <c r="G507" s="839" t="s">
        <v>175</v>
      </c>
      <c r="I507" t="s">
        <v>244</v>
      </c>
      <c r="J507" t="s">
        <v>226</v>
      </c>
    </row>
    <row r="508" spans="1:10" ht="13.5" customHeight="1" x14ac:dyDescent="0.35">
      <c r="A508" s="838">
        <v>45292</v>
      </c>
      <c r="B508" s="839" t="s">
        <v>351</v>
      </c>
      <c r="C508" s="840" t="s">
        <v>41</v>
      </c>
      <c r="D508" s="839" t="s">
        <v>166</v>
      </c>
      <c r="E508" s="841">
        <v>-64</v>
      </c>
      <c r="F508" s="839" t="s">
        <v>1271</v>
      </c>
      <c r="G508" s="839" t="s">
        <v>175</v>
      </c>
      <c r="I508" t="s">
        <v>220</v>
      </c>
      <c r="J508"/>
    </row>
    <row r="509" spans="1:10" ht="13.5" customHeight="1" x14ac:dyDescent="0.35">
      <c r="A509" s="838">
        <v>45292</v>
      </c>
      <c r="B509" s="839" t="s">
        <v>351</v>
      </c>
      <c r="C509" s="840" t="s">
        <v>31</v>
      </c>
      <c r="D509" s="839" t="s">
        <v>166</v>
      </c>
      <c r="E509" s="841">
        <v>64</v>
      </c>
      <c r="F509" s="839" t="s">
        <v>1271</v>
      </c>
      <c r="G509" s="839" t="s">
        <v>175</v>
      </c>
      <c r="I509" t="s">
        <v>1107</v>
      </c>
      <c r="J509" t="s">
        <v>226</v>
      </c>
    </row>
    <row r="510" spans="1:10" ht="13.5" customHeight="1" x14ac:dyDescent="0.35">
      <c r="A510" s="838">
        <v>45292</v>
      </c>
      <c r="B510" s="839" t="s">
        <v>1272</v>
      </c>
      <c r="C510" s="840" t="s">
        <v>28</v>
      </c>
      <c r="D510" s="839" t="s">
        <v>159</v>
      </c>
      <c r="E510" s="841">
        <v>250</v>
      </c>
      <c r="F510" s="839" t="s">
        <v>1267</v>
      </c>
      <c r="G510" s="839" t="s">
        <v>175</v>
      </c>
      <c r="I510" t="s">
        <v>215</v>
      </c>
      <c r="J510" t="s">
        <v>216</v>
      </c>
    </row>
    <row r="511" spans="1:10" ht="13.5" customHeight="1" x14ac:dyDescent="0.35">
      <c r="A511" s="838">
        <v>45292</v>
      </c>
      <c r="B511" s="839" t="s">
        <v>1273</v>
      </c>
      <c r="C511" s="840" t="s">
        <v>31</v>
      </c>
      <c r="D511" s="839" t="s">
        <v>160</v>
      </c>
      <c r="E511" s="841">
        <v>95</v>
      </c>
      <c r="F511" s="839" t="s">
        <v>224</v>
      </c>
      <c r="G511" s="839" t="s">
        <v>175</v>
      </c>
      <c r="I511" t="s">
        <v>225</v>
      </c>
      <c r="J511" t="s">
        <v>226</v>
      </c>
    </row>
    <row r="512" spans="1:10" ht="13.5" customHeight="1" x14ac:dyDescent="0.35">
      <c r="A512" s="838">
        <v>45292</v>
      </c>
      <c r="B512" s="839" t="s">
        <v>1077</v>
      </c>
      <c r="C512" s="840" t="s">
        <v>37</v>
      </c>
      <c r="D512" s="839" t="s">
        <v>159</v>
      </c>
      <c r="E512" s="841">
        <v>300</v>
      </c>
      <c r="F512" s="839" t="s">
        <v>1078</v>
      </c>
      <c r="G512" s="839" t="s">
        <v>175</v>
      </c>
      <c r="I512" t="s">
        <v>353</v>
      </c>
      <c r="J512" t="s">
        <v>354</v>
      </c>
    </row>
    <row r="513" spans="1:10" ht="13.5" customHeight="1" x14ac:dyDescent="0.35">
      <c r="A513" s="838">
        <v>45292</v>
      </c>
      <c r="B513" s="839" t="s">
        <v>292</v>
      </c>
      <c r="C513" s="840" t="s">
        <v>44</v>
      </c>
      <c r="D513" s="839" t="s">
        <v>159</v>
      </c>
      <c r="E513" s="841">
        <v>60</v>
      </c>
      <c r="F513" s="839" t="s">
        <v>292</v>
      </c>
      <c r="G513" s="839" t="s">
        <v>175</v>
      </c>
      <c r="I513" t="s">
        <v>294</v>
      </c>
      <c r="J513" t="s">
        <v>295</v>
      </c>
    </row>
  </sheetData>
  <conditionalFormatting sqref="E2:E30 E33:E36 E42:E59 E61 E64:E70 E87:E91 E93 E97:E202 E205:E219 E222:E239 E242:E263 E265:E283 E285:E308 E311:E328 E330:E344 E347:E366 E369:E413 E416:E437 E440:E478 E481:E511 E514:E1048576 N29:N31 P29:V31 V174:V784 X6:X28 X44:X49 X127 X136:X146 X159 X164 X173 Y24:Y28 Y30:Y32">
    <cfRule type="cellIs" dxfId="3705" priority="287" operator="lessThan">
      <formula>0</formula>
    </cfRule>
  </conditionalFormatting>
  <conditionalFormatting sqref="X42">
    <cfRule type="cellIs" dxfId="3704" priority="286" operator="lessThan">
      <formula>0</formula>
    </cfRule>
  </conditionalFormatting>
  <conditionalFormatting sqref="X6:X18">
    <cfRule type="cellIs" dxfId="3703" priority="201" operator="lessThan">
      <formula>0</formula>
    </cfRule>
    <cfRule type="cellIs" dxfId="3702" priority="202" operator="lessThan">
      <formula>0</formula>
    </cfRule>
    <cfRule type="cellIs" dxfId="3701" priority="203" operator="lessThan">
      <formula>0</formula>
    </cfRule>
    <cfRule type="cellIs" dxfId="3700" priority="204" operator="lessThan">
      <formula>0</formula>
    </cfRule>
    <cfRule type="cellIs" dxfId="3699" priority="205" operator="lessThan">
      <formula>0</formula>
    </cfRule>
    <cfRule type="cellIs" dxfId="3698" priority="206" operator="lessThan">
      <formula>0</formula>
    </cfRule>
    <cfRule type="cellIs" dxfId="3697" priority="207" operator="lessThan">
      <formula>0</formula>
    </cfRule>
    <cfRule type="cellIs" dxfId="3696" priority="208" operator="lessThan">
      <formula>0</formula>
    </cfRule>
    <cfRule type="cellIs" dxfId="3695" priority="209" operator="lessThan">
      <formula>0</formula>
    </cfRule>
    <cfRule type="cellIs" dxfId="3694" priority="210" operator="lessThan">
      <formula>0</formula>
    </cfRule>
    <cfRule type="cellIs" dxfId="3693" priority="211" operator="lessThan">
      <formula>0</formula>
    </cfRule>
    <cfRule type="cellIs" dxfId="3692" priority="212" operator="lessThan">
      <formula>0</formula>
    </cfRule>
    <cfRule type="cellIs" dxfId="3691" priority="213" operator="lessThan">
      <formula>0</formula>
    </cfRule>
    <cfRule type="cellIs" dxfId="3690" priority="214" operator="lessThan">
      <formula>0</formula>
    </cfRule>
    <cfRule type="cellIs" dxfId="3689" priority="215" operator="lessThan">
      <formula>0</formula>
    </cfRule>
    <cfRule type="cellIs" dxfId="3688" priority="216" operator="lessThan">
      <formula>0</formula>
    </cfRule>
    <cfRule type="cellIs" dxfId="3687" priority="217" operator="lessThan">
      <formula>0</formula>
    </cfRule>
    <cfRule type="cellIs" dxfId="3686" priority="218" operator="lessThan">
      <formula>0</formula>
    </cfRule>
    <cfRule type="cellIs" dxfId="3685" priority="259" operator="lessThan">
      <formula>0</formula>
    </cfRule>
    <cfRule type="cellIs" dxfId="3684" priority="260" operator="lessThan">
      <formula>0</formula>
    </cfRule>
    <cfRule type="cellIs" dxfId="3683" priority="263" operator="lessThan">
      <formula>0</formula>
    </cfRule>
    <cfRule type="cellIs" dxfId="3682" priority="269" operator="lessThan">
      <formula>0</formula>
    </cfRule>
    <cfRule type="cellIs" dxfId="3681" priority="270" operator="lessThan">
      <formula>0</formula>
    </cfRule>
    <cfRule type="cellIs" dxfId="3680" priority="271" operator="lessThan">
      <formula>0</formula>
    </cfRule>
    <cfRule type="cellIs" dxfId="3679" priority="272" operator="lessThan">
      <formula>0</formula>
    </cfRule>
    <cfRule type="cellIs" dxfId="3678" priority="275" operator="lessThan">
      <formula>0</formula>
    </cfRule>
    <cfRule type="cellIs" dxfId="3677" priority="282" operator="lessThan">
      <formula>0</formula>
    </cfRule>
    <cfRule type="cellIs" dxfId="3676" priority="284" operator="lessThan">
      <formula>0</formula>
    </cfRule>
  </conditionalFormatting>
  <conditionalFormatting sqref="X43">
    <cfRule type="cellIs" dxfId="3675" priority="285" operator="lessThan">
      <formula>0</formula>
    </cfRule>
  </conditionalFormatting>
  <conditionalFormatting sqref="X6:X28 Y24:Y28 Y30:Y32">
    <cfRule type="cellIs" dxfId="3674" priority="283" operator="greaterThan">
      <formula>0</formula>
    </cfRule>
  </conditionalFormatting>
  <conditionalFormatting sqref="J47">
    <cfRule type="cellIs" dxfId="3673" priority="280" operator="greaterThan">
      <formula>0</formula>
    </cfRule>
    <cfRule type="cellIs" dxfId="3672" priority="281" operator="lessThan">
      <formula>0</formula>
    </cfRule>
  </conditionalFormatting>
  <conditionalFormatting sqref="Y6">
    <cfRule type="cellIs" dxfId="3671" priority="278" operator="greaterThan">
      <formula>0</formula>
    </cfRule>
    <cfRule type="cellIs" dxfId="3670" priority="279" operator="lessThan">
      <formula>0</formula>
    </cfRule>
  </conditionalFormatting>
  <conditionalFormatting sqref="Z6">
    <cfRule type="cellIs" dxfId="3669" priority="276" operator="greaterThan">
      <formula>0</formula>
    </cfRule>
    <cfRule type="cellIs" dxfId="3668" priority="277" operator="lessThan">
      <formula>0</formula>
    </cfRule>
  </conditionalFormatting>
  <conditionalFormatting sqref="AB6:AB18">
    <cfRule type="cellIs" dxfId="3667" priority="273" operator="lessThan">
      <formula>0</formula>
    </cfRule>
    <cfRule type="cellIs" dxfId="3666" priority="274" operator="greaterThan">
      <formula>0</formula>
    </cfRule>
  </conditionalFormatting>
  <conditionalFormatting sqref="W19">
    <cfRule type="cellIs" dxfId="3665" priority="266" operator="greaterThan">
      <formula>0.8</formula>
    </cfRule>
    <cfRule type="cellIs" dxfId="3664" priority="267" operator="between">
      <formula>0.51</formula>
      <formula>0.8</formula>
    </cfRule>
    <cfRule type="cellIs" dxfId="3663" priority="268" operator="lessThan">
      <formula>0.5</formula>
    </cfRule>
  </conditionalFormatting>
  <conditionalFormatting sqref="X148">
    <cfRule type="cellIs" dxfId="3662" priority="265" operator="lessThan">
      <formula>0</formula>
    </cfRule>
  </conditionalFormatting>
  <conditionalFormatting sqref="X161:X163">
    <cfRule type="cellIs" dxfId="3661" priority="264" operator="lessThan">
      <formula>0</formula>
    </cfRule>
  </conditionalFormatting>
  <conditionalFormatting sqref="Y39">
    <cfRule type="cellIs" dxfId="3660" priority="261" operator="greaterThan">
      <formula>0</formula>
    </cfRule>
    <cfRule type="cellIs" dxfId="3659" priority="262" operator="lessThan">
      <formula>0</formula>
    </cfRule>
  </conditionalFormatting>
  <conditionalFormatting sqref="X39">
    <cfRule type="cellIs" dxfId="3658" priority="252" operator="lessThan">
      <formula>0</formula>
    </cfRule>
    <cfRule type="cellIs" dxfId="3657" priority="253" operator="lessThan">
      <formula>0</formula>
    </cfRule>
    <cfRule type="cellIs" dxfId="3656" priority="254" operator="lessThan">
      <formula>0</formula>
    </cfRule>
    <cfRule type="cellIs" dxfId="3655" priority="255" operator="lessThan">
      <formula>0</formula>
    </cfRule>
    <cfRule type="cellIs" dxfId="3654" priority="256" operator="lessThan">
      <formula>0</formula>
    </cfRule>
    <cfRule type="cellIs" dxfId="3653" priority="257" operator="greaterThan">
      <formula>0</formula>
    </cfRule>
    <cfRule type="cellIs" dxfId="3652" priority="258" operator="lessThan">
      <formula>0</formula>
    </cfRule>
  </conditionalFormatting>
  <conditionalFormatting sqref="Z108:Z109">
    <cfRule type="cellIs" dxfId="3651" priority="250" operator="lessThan">
      <formula>0</formula>
    </cfRule>
    <cfRule type="cellIs" dxfId="3650" priority="251" operator="greaterThan">
      <formula>0</formula>
    </cfRule>
  </conditionalFormatting>
  <conditionalFormatting sqref="X166:X167">
    <cfRule type="cellIs" dxfId="3649" priority="249" operator="lessThan">
      <formula>0</formula>
    </cfRule>
  </conditionalFormatting>
  <conditionalFormatting sqref="X168:X169">
    <cfRule type="cellIs" dxfId="3648" priority="248" operator="lessThan">
      <formula>0</formula>
    </cfRule>
  </conditionalFormatting>
  <conditionalFormatting sqref="X171:X172">
    <cfRule type="cellIs" dxfId="3647" priority="247" operator="lessThan">
      <formula>0</formula>
    </cfRule>
  </conditionalFormatting>
  <conditionalFormatting sqref="X36:X38">
    <cfRule type="cellIs" dxfId="3646" priority="240" operator="lessThan">
      <formula>0</formula>
    </cfRule>
    <cfRule type="cellIs" dxfId="3645" priority="241" operator="lessThan">
      <formula>0</formula>
    </cfRule>
    <cfRule type="cellIs" dxfId="3644" priority="242" operator="lessThan">
      <formula>0</formula>
    </cfRule>
    <cfRule type="cellIs" dxfId="3643" priority="243" operator="lessThan">
      <formula>0</formula>
    </cfRule>
    <cfRule type="cellIs" dxfId="3642" priority="244" operator="lessThan">
      <formula>0</formula>
    </cfRule>
    <cfRule type="cellIs" dxfId="3641" priority="245" operator="greaterThan">
      <formula>0</formula>
    </cfRule>
    <cfRule type="cellIs" dxfId="3640" priority="246" operator="lessThan">
      <formula>0</formula>
    </cfRule>
  </conditionalFormatting>
  <conditionalFormatting sqref="Y36:Y38">
    <cfRule type="cellIs" dxfId="3639" priority="238" operator="greaterThan">
      <formula>0</formula>
    </cfRule>
    <cfRule type="cellIs" dxfId="3638" priority="239" operator="lessThan">
      <formula>0</formula>
    </cfRule>
  </conditionalFormatting>
  <conditionalFormatting sqref="K66:W77">
    <cfRule type="cellIs" dxfId="3637" priority="236" operator="lessThan">
      <formula>0</formula>
    </cfRule>
    <cfRule type="cellIs" dxfId="3636" priority="237" operator="greaterThan">
      <formula>0.1</formula>
    </cfRule>
  </conditionalFormatting>
  <conditionalFormatting sqref="K78">
    <cfRule type="cellIs" dxfId="3635" priority="234" operator="lessThan">
      <formula>0</formula>
    </cfRule>
    <cfRule type="cellIs" dxfId="3634" priority="235" operator="greaterThan">
      <formula>0.1</formula>
    </cfRule>
  </conditionalFormatting>
  <conditionalFormatting sqref="W66">
    <cfRule type="cellIs" dxfId="3633" priority="232" operator="lessThan">
      <formula>0</formula>
    </cfRule>
    <cfRule type="cellIs" dxfId="3632" priority="233" operator="greaterThan">
      <formula>0.1</formula>
    </cfRule>
  </conditionalFormatting>
  <conditionalFormatting sqref="L66:V69 L71:V73 L75:V77">
    <cfRule type="cellIs" dxfId="3631" priority="229" operator="lessThan">
      <formula>0</formula>
    </cfRule>
    <cfRule type="cellIs" dxfId="3630" priority="230" operator="greaterThan">
      <formula>0.1</formula>
    </cfRule>
  </conditionalFormatting>
  <conditionalFormatting sqref="K70:V70">
    <cfRule type="cellIs" dxfId="3629" priority="225" operator="lessThan">
      <formula>0</formula>
    </cfRule>
    <cfRule type="cellIs" dxfId="3628" priority="226" operator="greaterThan">
      <formula>0.1</formula>
    </cfRule>
    <cfRule type="cellIs" dxfId="3627" priority="227" operator="lessThan">
      <formula>0</formula>
    </cfRule>
    <cfRule type="cellIs" dxfId="3626" priority="228" operator="greaterThan">
      <formula>0.1</formula>
    </cfRule>
  </conditionalFormatting>
  <conditionalFormatting sqref="L70:V70">
    <cfRule type="cellIs" dxfId="3625" priority="221" operator="lessThan">
      <formula>0</formula>
    </cfRule>
    <cfRule type="cellIs" dxfId="3624" priority="222" operator="greaterThan">
      <formula>0.1</formula>
    </cfRule>
    <cfRule type="cellIs" dxfId="3623" priority="223" operator="lessThan">
      <formula>0</formula>
    </cfRule>
    <cfRule type="cellIs" dxfId="3622" priority="224" operator="greaterThan">
      <formula>0.1</formula>
    </cfRule>
  </conditionalFormatting>
  <conditionalFormatting sqref="L78:W78">
    <cfRule type="cellIs" dxfId="3621" priority="219" operator="lessThan">
      <formula>0</formula>
    </cfRule>
    <cfRule type="cellIs" dxfId="3620" priority="220" operator="greaterThan">
      <formula>0.1</formula>
    </cfRule>
  </conditionalFormatting>
  <conditionalFormatting sqref="Z41">
    <cfRule type="cellIs" dxfId="3619" priority="199" operator="greaterThan">
      <formula>0</formula>
    </cfRule>
    <cfRule type="cellIs" dxfId="3618" priority="200" operator="lessThan">
      <formula>0</formula>
    </cfRule>
  </conditionalFormatting>
  <conditionalFormatting sqref="X35">
    <cfRule type="cellIs" dxfId="3617" priority="181" operator="lessThan">
      <formula>0</formula>
    </cfRule>
    <cfRule type="cellIs" dxfId="3616" priority="182" operator="lessThan">
      <formula>0</formula>
    </cfRule>
    <cfRule type="cellIs" dxfId="3615" priority="183" operator="lessThan">
      <formula>0</formula>
    </cfRule>
    <cfRule type="cellIs" dxfId="3614" priority="184" operator="lessThan">
      <formula>0</formula>
    </cfRule>
    <cfRule type="cellIs" dxfId="3613" priority="185" operator="lessThan">
      <formula>0</formula>
    </cfRule>
    <cfRule type="cellIs" dxfId="3612" priority="186" operator="greaterThan">
      <formula>0</formula>
    </cfRule>
    <cfRule type="cellIs" dxfId="3611" priority="187" operator="lessThan">
      <formula>0</formula>
    </cfRule>
  </conditionalFormatting>
  <conditionalFormatting sqref="Z7:Z18">
    <cfRule type="cellIs" dxfId="3610" priority="175" operator="greaterThan">
      <formula>0</formula>
    </cfRule>
    <cfRule type="cellIs" dxfId="3609" priority="176" operator="lessThan">
      <formula>0</formula>
    </cfRule>
  </conditionalFormatting>
  <conditionalFormatting sqref="K19:V19 K20:W20">
    <cfRule type="cellIs" dxfId="3608" priority="196" operator="greaterThan">
      <formula>0.81</formula>
    </cfRule>
    <cfRule type="cellIs" dxfId="3607" priority="197" operator="between">
      <formula>0.301</formula>
      <formula>0.8</formula>
    </cfRule>
    <cfRule type="cellIs" dxfId="3606" priority="198" operator="lessThan">
      <formula>0.3</formula>
    </cfRule>
  </conditionalFormatting>
  <conditionalFormatting sqref="K24:W24">
    <cfRule type="cellIs" dxfId="3605" priority="194" operator="lessThan">
      <formula>0</formula>
    </cfRule>
    <cfRule type="cellIs" dxfId="3604" priority="195" operator="greaterThan">
      <formula>0.0001</formula>
    </cfRule>
  </conditionalFormatting>
  <conditionalFormatting sqref="Q19">
    <cfRule type="cellIs" dxfId="3603" priority="191" operator="greaterThan">
      <formula>0.75</formula>
    </cfRule>
    <cfRule type="cellIs" dxfId="3602" priority="192" operator="between">
      <formula>0.301</formula>
      <formula>0.7499</formula>
    </cfRule>
    <cfRule type="cellIs" dxfId="3601" priority="193" operator="lessThan">
      <formula>0.3</formula>
    </cfRule>
  </conditionalFormatting>
  <conditionalFormatting sqref="Y41">
    <cfRule type="cellIs" dxfId="3600" priority="189" operator="lessThan">
      <formula>0</formula>
    </cfRule>
    <cfRule type="cellIs" dxfId="3599" priority="190" operator="greaterThan">
      <formula>0</formula>
    </cfRule>
  </conditionalFormatting>
  <conditionalFormatting sqref="X34">
    <cfRule type="cellIs" dxfId="3598" priority="162" operator="lessThan">
      <formula>0</formula>
    </cfRule>
    <cfRule type="cellIs" dxfId="3597" priority="163" operator="lessThan">
      <formula>0</formula>
    </cfRule>
    <cfRule type="cellIs" dxfId="3596" priority="164" operator="lessThan">
      <formula>0</formula>
    </cfRule>
    <cfRule type="cellIs" dxfId="3595" priority="165" operator="lessThan">
      <formula>0</formula>
    </cfRule>
    <cfRule type="cellIs" dxfId="3594" priority="166" operator="lessThan">
      <formula>0</formula>
    </cfRule>
    <cfRule type="cellIs" dxfId="3593" priority="167" operator="greaterThan">
      <formula>0</formula>
    </cfRule>
    <cfRule type="cellIs" dxfId="3592" priority="168" operator="lessThan">
      <formula>0</formula>
    </cfRule>
  </conditionalFormatting>
  <conditionalFormatting sqref="X149:X158">
    <cfRule type="cellIs" dxfId="3591" priority="188" operator="lessThan">
      <formula>0</formula>
    </cfRule>
  </conditionalFormatting>
  <conditionalFormatting sqref="Y35">
    <cfRule type="cellIs" dxfId="3590" priority="179" operator="greaterThan">
      <formula>0</formula>
    </cfRule>
    <cfRule type="cellIs" dxfId="3589" priority="180" operator="lessThan">
      <formula>0</formula>
    </cfRule>
  </conditionalFormatting>
  <conditionalFormatting sqref="X128:X135">
    <cfRule type="cellIs" dxfId="3588" priority="178" operator="lessThan">
      <formula>0</formula>
    </cfRule>
  </conditionalFormatting>
  <conditionalFormatting sqref="K6:V17 K18:W18">
    <cfRule type="cellIs" dxfId="3587" priority="177" operator="lessThan">
      <formula>0</formula>
    </cfRule>
  </conditionalFormatting>
  <conditionalFormatting sqref="K31:V40">
    <cfRule type="aboveAverage" dxfId="3586" priority="119"/>
    <cfRule type="aboveAverage" dxfId="3585" priority="120"/>
    <cfRule type="aboveAverage" dxfId="3584" priority="169"/>
    <cfRule type="aboveAverage" dxfId="3583" priority="174"/>
  </conditionalFormatting>
  <conditionalFormatting sqref="E84">
    <cfRule type="cellIs" dxfId="3582" priority="173" operator="lessThan">
      <formula>0</formula>
    </cfRule>
  </conditionalFormatting>
  <conditionalFormatting sqref="X66:X78">
    <cfRule type="cellIs" dxfId="3581" priority="170" operator="greaterThan">
      <formula>0</formula>
    </cfRule>
    <cfRule type="cellIs" dxfId="3580" priority="171" operator="greaterThan">
      <formula>0</formula>
    </cfRule>
    <cfRule type="cellIs" dxfId="3579" priority="172" operator="lessThan">
      <formula>0</formula>
    </cfRule>
  </conditionalFormatting>
  <conditionalFormatting sqref="Y34">
    <cfRule type="cellIs" dxfId="3578" priority="160" operator="greaterThan">
      <formula>0</formula>
    </cfRule>
    <cfRule type="cellIs" dxfId="3577" priority="161" operator="lessThan">
      <formula>0</formula>
    </cfRule>
  </conditionalFormatting>
  <conditionalFormatting sqref="L167:V167">
    <cfRule type="cellIs" dxfId="3576" priority="155" operator="lessThan">
      <formula>0</formula>
    </cfRule>
  </conditionalFormatting>
  <conditionalFormatting sqref="K74:V74">
    <cfRule type="cellIs" dxfId="3575" priority="158" operator="lessThan">
      <formula>0</formula>
    </cfRule>
    <cfRule type="cellIs" dxfId="3574" priority="159" operator="greaterThan">
      <formula>0.1</formula>
    </cfRule>
  </conditionalFormatting>
  <conditionalFormatting sqref="K81:K92">
    <cfRule type="cellIs" dxfId="3573" priority="157" operator="lessThan">
      <formula>0</formula>
    </cfRule>
  </conditionalFormatting>
  <conditionalFormatting sqref="L81:V81">
    <cfRule type="cellIs" dxfId="3572" priority="156" operator="lessThan">
      <formula>0</formula>
    </cfRule>
  </conditionalFormatting>
  <conditionalFormatting sqref="Y19:Y23">
    <cfRule type="cellIs" dxfId="3571" priority="153" operator="greaterThan">
      <formula>0</formula>
    </cfRule>
    <cfRule type="cellIs" dxfId="3570" priority="154" operator="lessThan">
      <formula>0</formula>
    </cfRule>
  </conditionalFormatting>
  <conditionalFormatting sqref="X33">
    <cfRule type="cellIs" dxfId="3569" priority="142" operator="lessThan">
      <formula>0</formula>
    </cfRule>
    <cfRule type="cellIs" dxfId="3568" priority="143" operator="lessThan">
      <formula>0</formula>
    </cfRule>
    <cfRule type="cellIs" dxfId="3567" priority="144" operator="lessThan">
      <formula>0</formula>
    </cfRule>
    <cfRule type="cellIs" dxfId="3566" priority="145" operator="lessThan">
      <formula>0</formula>
    </cfRule>
    <cfRule type="cellIs" dxfId="3565" priority="146" operator="lessThan">
      <formula>0</formula>
    </cfRule>
    <cfRule type="cellIs" dxfId="3564" priority="147" operator="greaterThan">
      <formula>0</formula>
    </cfRule>
    <cfRule type="cellIs" dxfId="3563" priority="148" operator="lessThan">
      <formula>0</formula>
    </cfRule>
  </conditionalFormatting>
  <conditionalFormatting sqref="Y7:Y18">
    <cfRule type="cellIs" dxfId="3562" priority="151" operator="greaterThan">
      <formula>0</formula>
    </cfRule>
    <cfRule type="cellIs" dxfId="3561" priority="152" operator="lessThan">
      <formula>0</formula>
    </cfRule>
  </conditionalFormatting>
  <conditionalFormatting sqref="W67:W77">
    <cfRule type="cellIs" dxfId="3560" priority="149" operator="lessThan">
      <formula>0</formula>
    </cfRule>
    <cfRule type="cellIs" dxfId="3559" priority="150" operator="greaterThan">
      <formula>0.1</formula>
    </cfRule>
  </conditionalFormatting>
  <conditionalFormatting sqref="Y33">
    <cfRule type="cellIs" dxfId="3558" priority="140" operator="greaterThan">
      <formula>0</formula>
    </cfRule>
    <cfRule type="cellIs" dxfId="3557" priority="141" operator="lessThan">
      <formula>0</formula>
    </cfRule>
  </conditionalFormatting>
  <conditionalFormatting sqref="K127:K135">
    <cfRule type="cellIs" dxfId="3556" priority="139" operator="lessThan">
      <formula>0</formula>
    </cfRule>
  </conditionalFormatting>
  <conditionalFormatting sqref="L127:V127">
    <cfRule type="cellIs" dxfId="3555" priority="138" operator="lessThan">
      <formula>0</formula>
    </cfRule>
  </conditionalFormatting>
  <conditionalFormatting sqref="K148:K157">
    <cfRule type="cellIs" dxfId="3554" priority="137" operator="lessThan">
      <formula>0</formula>
    </cfRule>
  </conditionalFormatting>
  <conditionalFormatting sqref="L148:V148">
    <cfRule type="cellIs" dxfId="3553" priority="136" operator="lessThan">
      <formula>0</formula>
    </cfRule>
  </conditionalFormatting>
  <conditionalFormatting sqref="E39">
    <cfRule type="cellIs" dxfId="3552" priority="135" operator="lessThan">
      <formula>0</formula>
    </cfRule>
  </conditionalFormatting>
  <conditionalFormatting sqref="E38">
    <cfRule type="cellIs" dxfId="3551" priority="133" operator="lessThan">
      <formula>0</formula>
    </cfRule>
  </conditionalFormatting>
  <conditionalFormatting sqref="E37">
    <cfRule type="cellIs" dxfId="3550" priority="132" operator="lessThan">
      <formula>0</formula>
    </cfRule>
  </conditionalFormatting>
  <conditionalFormatting sqref="S32">
    <cfRule type="aboveAverage" dxfId="3549" priority="130"/>
    <cfRule type="aboveAverage" dxfId="3548" priority="131"/>
  </conditionalFormatting>
  <conditionalFormatting sqref="T32">
    <cfRule type="aboveAverage" dxfId="3547" priority="128"/>
    <cfRule type="aboveAverage" dxfId="3546" priority="129"/>
  </conditionalFormatting>
  <conditionalFormatting sqref="U32">
    <cfRule type="aboveAverage" dxfId="3545" priority="124"/>
    <cfRule type="aboveAverage" dxfId="3544" priority="125"/>
    <cfRule type="aboveAverage" dxfId="3543" priority="126"/>
    <cfRule type="aboveAverage" dxfId="3542" priority="127"/>
  </conditionalFormatting>
  <conditionalFormatting sqref="W29">
    <cfRule type="cellIs" dxfId="3541" priority="123" operator="lessThan">
      <formula>0</formula>
    </cfRule>
  </conditionalFormatting>
  <conditionalFormatting sqref="V29:V32">
    <cfRule type="cellIs" dxfId="3540" priority="122" operator="lessThan">
      <formula>0</formula>
    </cfRule>
  </conditionalFormatting>
  <conditionalFormatting sqref="E41">
    <cfRule type="cellIs" dxfId="3539" priority="121" operator="lessThan">
      <formula>0</formula>
    </cfRule>
  </conditionalFormatting>
  <conditionalFormatting sqref="X30:X32">
    <cfRule type="cellIs" dxfId="3538" priority="112" operator="lessThan">
      <formula>0</formula>
    </cfRule>
    <cfRule type="cellIs" dxfId="3537" priority="113" operator="lessThan">
      <formula>0</formula>
    </cfRule>
    <cfRule type="cellIs" dxfId="3536" priority="114" operator="lessThan">
      <formula>0</formula>
    </cfRule>
    <cfRule type="cellIs" dxfId="3535" priority="115" operator="lessThan">
      <formula>0</formula>
    </cfRule>
    <cfRule type="cellIs" dxfId="3534" priority="116" operator="lessThan">
      <formula>0</formula>
    </cfRule>
    <cfRule type="cellIs" dxfId="3533" priority="117" operator="greaterThan">
      <formula>0</formula>
    </cfRule>
    <cfRule type="cellIs" dxfId="3532" priority="118" operator="lessThan">
      <formula>0</formula>
    </cfRule>
  </conditionalFormatting>
  <conditionalFormatting sqref="K149:K157">
    <cfRule type="cellIs" dxfId="3531" priority="109" operator="lessThan">
      <formula>0</formula>
    </cfRule>
  </conditionalFormatting>
  <conditionalFormatting sqref="L28:P28 U25:V25">
    <cfRule type="cellIs" dxfId="3530" priority="107" operator="lessThan">
      <formula>0</formula>
    </cfRule>
  </conditionalFormatting>
  <conditionalFormatting sqref="U25:V25">
    <cfRule type="cellIs" dxfId="3529" priority="60" operator="greaterThan">
      <formula>935</formula>
    </cfRule>
    <cfRule type="cellIs" dxfId="3528" priority="61" operator="lessThan">
      <formula>935</formula>
    </cfRule>
    <cfRule type="cellIs" dxfId="3527" priority="106" operator="lessThan">
      <formula>0</formula>
    </cfRule>
  </conditionalFormatting>
  <conditionalFormatting sqref="L82:L92">
    <cfRule type="cellIs" dxfId="3526" priority="105" operator="lessThan">
      <formula>0</formula>
    </cfRule>
  </conditionalFormatting>
  <conditionalFormatting sqref="M82:M92">
    <cfRule type="cellIs" dxfId="3525" priority="104" operator="lessThan">
      <formula>0</formula>
    </cfRule>
  </conditionalFormatting>
  <conditionalFormatting sqref="N82:N92">
    <cfRule type="cellIs" dxfId="3524" priority="103" operator="lessThan">
      <formula>0</formula>
    </cfRule>
  </conditionalFormatting>
  <conditionalFormatting sqref="O82:O92">
    <cfRule type="cellIs" dxfId="3523" priority="102" operator="lessThan">
      <formula>0</formula>
    </cfRule>
  </conditionalFormatting>
  <conditionalFormatting sqref="P82:P92">
    <cfRule type="cellIs" dxfId="3522" priority="101" operator="lessThan">
      <formula>0</formula>
    </cfRule>
  </conditionalFormatting>
  <conditionalFormatting sqref="Q82:Q92">
    <cfRule type="cellIs" dxfId="3521" priority="100" operator="lessThan">
      <formula>0</formula>
    </cfRule>
  </conditionalFormatting>
  <conditionalFormatting sqref="R82:R92">
    <cfRule type="cellIs" dxfId="3520" priority="99" operator="lessThan">
      <formula>0</formula>
    </cfRule>
  </conditionalFormatting>
  <conditionalFormatting sqref="S82:S92">
    <cfRule type="cellIs" dxfId="3519" priority="98" operator="lessThan">
      <formula>0</formula>
    </cfRule>
  </conditionalFormatting>
  <conditionalFormatting sqref="T82:T92">
    <cfRule type="cellIs" dxfId="3518" priority="97" operator="lessThan">
      <formula>0</formula>
    </cfRule>
  </conditionalFormatting>
  <conditionalFormatting sqref="U82:U92">
    <cfRule type="cellIs" dxfId="3517" priority="96" operator="lessThan">
      <formula>0</formula>
    </cfRule>
  </conditionalFormatting>
  <conditionalFormatting sqref="L128:L135">
    <cfRule type="cellIs" dxfId="3516" priority="94" operator="lessThan">
      <formula>0</formula>
    </cfRule>
  </conditionalFormatting>
  <conditionalFormatting sqref="M128:M135">
    <cfRule type="cellIs" dxfId="3515" priority="93" operator="lessThan">
      <formula>0</formula>
    </cfRule>
  </conditionalFormatting>
  <conditionalFormatting sqref="N128:N135">
    <cfRule type="cellIs" dxfId="3514" priority="92" operator="lessThan">
      <formula>0</formula>
    </cfRule>
  </conditionalFormatting>
  <conditionalFormatting sqref="O128:O135">
    <cfRule type="cellIs" dxfId="3513" priority="91" operator="lessThan">
      <formula>0</formula>
    </cfRule>
  </conditionalFormatting>
  <conditionalFormatting sqref="P128:P135">
    <cfRule type="cellIs" dxfId="3512" priority="90" operator="lessThan">
      <formula>0</formula>
    </cfRule>
  </conditionalFormatting>
  <conditionalFormatting sqref="Q128:Q135">
    <cfRule type="cellIs" dxfId="3511" priority="89" operator="lessThan">
      <formula>0</formula>
    </cfRule>
  </conditionalFormatting>
  <conditionalFormatting sqref="R128:R135">
    <cfRule type="cellIs" dxfId="3510" priority="88" operator="lessThan">
      <formula>0</formula>
    </cfRule>
  </conditionalFormatting>
  <conditionalFormatting sqref="S128:S135">
    <cfRule type="cellIs" dxfId="3509" priority="87" operator="lessThan">
      <formula>0</formula>
    </cfRule>
  </conditionalFormatting>
  <conditionalFormatting sqref="T128:T135">
    <cfRule type="cellIs" dxfId="3508" priority="86" operator="lessThan">
      <formula>0</formula>
    </cfRule>
  </conditionalFormatting>
  <conditionalFormatting sqref="U128:U135">
    <cfRule type="cellIs" dxfId="3507" priority="85" operator="lessThan">
      <formula>0</formula>
    </cfRule>
  </conditionalFormatting>
  <conditionalFormatting sqref="L149:L157">
    <cfRule type="cellIs" dxfId="3506" priority="83" operator="lessThan">
      <formula>0</formula>
    </cfRule>
  </conditionalFormatting>
  <conditionalFormatting sqref="M149:M157">
    <cfRule type="cellIs" dxfId="3505" priority="82" operator="lessThan">
      <formula>0</formula>
    </cfRule>
  </conditionalFormatting>
  <conditionalFormatting sqref="N149:N157">
    <cfRule type="cellIs" dxfId="3504" priority="81" operator="lessThan">
      <formula>0</formula>
    </cfRule>
  </conditionalFormatting>
  <conditionalFormatting sqref="O149:O157">
    <cfRule type="cellIs" dxfId="3503" priority="80" operator="lessThan">
      <formula>0</formula>
    </cfRule>
  </conditionalFormatting>
  <conditionalFormatting sqref="P149:P157">
    <cfRule type="cellIs" dxfId="3502" priority="79" operator="lessThan">
      <formula>0</formula>
    </cfRule>
  </conditionalFormatting>
  <conditionalFormatting sqref="Q149:Q157">
    <cfRule type="cellIs" dxfId="3501" priority="78" operator="lessThan">
      <formula>0</formula>
    </cfRule>
  </conditionalFormatting>
  <conditionalFormatting sqref="R149:R157">
    <cfRule type="cellIs" dxfId="3500" priority="77" operator="lessThan">
      <formula>0</formula>
    </cfRule>
  </conditionalFormatting>
  <conditionalFormatting sqref="S149:S157">
    <cfRule type="cellIs" dxfId="3499" priority="76" operator="lessThan">
      <formula>0</formula>
    </cfRule>
  </conditionalFormatting>
  <conditionalFormatting sqref="T149:T157">
    <cfRule type="cellIs" dxfId="3498" priority="75" operator="lessThan">
      <formula>0</formula>
    </cfRule>
  </conditionalFormatting>
  <conditionalFormatting sqref="U149:U157">
    <cfRule type="cellIs" dxfId="3497" priority="74" operator="lessThan">
      <formula>0</formula>
    </cfRule>
  </conditionalFormatting>
  <conditionalFormatting sqref="K22:W22 W23">
    <cfRule type="cellIs" dxfId="3496" priority="64" operator="between">
      <formula>1601</formula>
      <formula>1800</formula>
    </cfRule>
    <cfRule type="aboveAverage" dxfId="3495" priority="67"/>
  </conditionalFormatting>
  <conditionalFormatting sqref="W23">
    <cfRule type="aboveAverage" dxfId="3494" priority="65"/>
    <cfRule type="aboveAverage" dxfId="3493" priority="66"/>
  </conditionalFormatting>
  <conditionalFormatting sqref="K22:V22 W23">
    <cfRule type="cellIs" dxfId="3492" priority="62" operator="lessThan">
      <formula>1600</formula>
    </cfRule>
    <cfRule type="cellIs" dxfId="3491" priority="63" operator="greaterThan">
      <formula>1801</formula>
    </cfRule>
  </conditionalFormatting>
  <conditionalFormatting sqref="G6:G17">
    <cfRule type="cellIs" dxfId="3490" priority="51" operator="lessThan">
      <formula>0.04</formula>
    </cfRule>
    <cfRule type="cellIs" dxfId="3489" priority="52" operator="between">
      <formula>0.04</formula>
      <formula>0.09</formula>
    </cfRule>
    <cfRule type="cellIs" dxfId="3488" priority="53" operator="greaterThan">
      <formula>10%</formula>
    </cfRule>
  </conditionalFormatting>
  <conditionalFormatting sqref="H6:H17">
    <cfRule type="cellIs" dxfId="3487" priority="47" operator="lessThan">
      <formula>0.04</formula>
    </cfRule>
    <cfRule type="cellIs" dxfId="3486" priority="48" operator="between">
      <formula>0.04</formula>
      <formula>0.09</formula>
    </cfRule>
    <cfRule type="cellIs" dxfId="3485" priority="49" operator="greaterThan">
      <formula>10%</formula>
    </cfRule>
  </conditionalFormatting>
  <conditionalFormatting sqref="K30:V30">
    <cfRule type="aboveAverage" dxfId="3484" priority="42"/>
    <cfRule type="aboveAverage" dxfId="3483" priority="43"/>
    <cfRule type="aboveAverage" dxfId="3482" priority="44"/>
    <cfRule type="aboveAverage" dxfId="3481" priority="45"/>
  </conditionalFormatting>
  <conditionalFormatting sqref="E512:E513">
    <cfRule type="cellIs" dxfId="3480" priority="41" operator="lessThan">
      <formula>0</formula>
    </cfRule>
  </conditionalFormatting>
  <conditionalFormatting sqref="D9">
    <cfRule type="cellIs" dxfId="3479" priority="39" operator="lessThan">
      <formula>0</formula>
    </cfRule>
    <cfRule type="cellIs" dxfId="3478" priority="40" operator="greaterThan">
      <formula>0.01</formula>
    </cfRule>
  </conditionalFormatting>
  <conditionalFormatting sqref="E479:E480">
    <cfRule type="cellIs" dxfId="3477" priority="38" operator="lessThan">
      <formula>0</formula>
    </cfRule>
  </conditionalFormatting>
  <conditionalFormatting sqref="E438:E439">
    <cfRule type="cellIs" dxfId="3476" priority="37" operator="lessThan">
      <formula>0</formula>
    </cfRule>
  </conditionalFormatting>
  <conditionalFormatting sqref="D5">
    <cfRule type="cellIs" dxfId="3475" priority="35" operator="greaterThan">
      <formula>15.01</formula>
    </cfRule>
    <cfRule type="cellIs" dxfId="3474" priority="36" operator="lessThan">
      <formula>15</formula>
    </cfRule>
  </conditionalFormatting>
  <conditionalFormatting sqref="E414:E415">
    <cfRule type="cellIs" dxfId="3473" priority="34" operator="lessThan">
      <formula>0</formula>
    </cfRule>
  </conditionalFormatting>
  <conditionalFormatting sqref="E367:E368">
    <cfRule type="cellIs" dxfId="3472" priority="33" operator="lessThan">
      <formula>0</formula>
    </cfRule>
  </conditionalFormatting>
  <conditionalFormatting sqref="E345:E346">
    <cfRule type="cellIs" dxfId="3471" priority="32" operator="lessThan">
      <formula>0</formula>
    </cfRule>
  </conditionalFormatting>
  <conditionalFormatting sqref="E329">
    <cfRule type="cellIs" dxfId="3470" priority="31" operator="lessThan">
      <formula>0</formula>
    </cfRule>
  </conditionalFormatting>
  <conditionalFormatting sqref="E309:E310">
    <cfRule type="cellIs" dxfId="3469" priority="30" operator="lessThan">
      <formula>0</formula>
    </cfRule>
  </conditionalFormatting>
  <conditionalFormatting sqref="E284">
    <cfRule type="cellIs" dxfId="3468" priority="29" operator="lessThan">
      <formula>0</formula>
    </cfRule>
  </conditionalFormatting>
  <conditionalFormatting sqref="E264">
    <cfRule type="cellIs" dxfId="3467" priority="28" operator="lessThan">
      <formula>0</formula>
    </cfRule>
  </conditionalFormatting>
  <conditionalFormatting sqref="E240:E241">
    <cfRule type="cellIs" dxfId="3466" priority="27" operator="lessThan">
      <formula>0</formula>
    </cfRule>
  </conditionalFormatting>
  <conditionalFormatting sqref="E220:E221">
    <cfRule type="cellIs" dxfId="3465" priority="26" operator="lessThan">
      <formula>0</formula>
    </cfRule>
  </conditionalFormatting>
  <conditionalFormatting sqref="V128:V135">
    <cfRule type="cellIs" dxfId="3464" priority="25" operator="lessThan">
      <formula>0</formula>
    </cfRule>
  </conditionalFormatting>
  <conditionalFormatting sqref="V82:V92">
    <cfRule type="cellIs" dxfId="3463" priority="24" operator="lessThan">
      <formula>0</formula>
    </cfRule>
  </conditionalFormatting>
  <conditionalFormatting sqref="V149:V157">
    <cfRule type="cellIs" dxfId="3462" priority="23" operator="lessThan">
      <formula>0</formula>
    </cfRule>
  </conditionalFormatting>
  <conditionalFormatting sqref="K51:W62">
    <cfRule type="cellIs" dxfId="3461" priority="21" operator="lessThan">
      <formula>0</formula>
    </cfRule>
    <cfRule type="cellIs" dxfId="3460" priority="22" operator="greaterThan">
      <formula>0.1</formula>
    </cfRule>
  </conditionalFormatting>
  <conditionalFormatting sqref="K63">
    <cfRule type="cellIs" dxfId="3459" priority="19" operator="lessThan">
      <formula>0</formula>
    </cfRule>
    <cfRule type="cellIs" dxfId="3458" priority="20" operator="greaterThan">
      <formula>0.1</formula>
    </cfRule>
  </conditionalFormatting>
  <conditionalFormatting sqref="W51">
    <cfRule type="cellIs" dxfId="3457" priority="17" operator="lessThan">
      <formula>0</formula>
    </cfRule>
    <cfRule type="cellIs" dxfId="3456" priority="18" operator="greaterThan">
      <formula>0.1</formula>
    </cfRule>
  </conditionalFormatting>
  <conditionalFormatting sqref="L51:V54 L55:N55 L56:V58 L59:N59 L60:V62">
    <cfRule type="cellIs" dxfId="3455" priority="15" operator="lessThan">
      <formula>0</formula>
    </cfRule>
    <cfRule type="cellIs" dxfId="3454" priority="16" operator="greaterThan">
      <formula>0.1</formula>
    </cfRule>
  </conditionalFormatting>
  <conditionalFormatting sqref="K55:V55">
    <cfRule type="cellIs" dxfId="3453" priority="11" operator="lessThan">
      <formula>0</formula>
    </cfRule>
    <cfRule type="cellIs" dxfId="3452" priority="12" operator="greaterThan">
      <formula>0.1</formula>
    </cfRule>
    <cfRule type="cellIs" dxfId="3451" priority="13" operator="lessThan">
      <formula>0</formula>
    </cfRule>
    <cfRule type="cellIs" dxfId="3450" priority="14" operator="greaterThan">
      <formula>0.1</formula>
    </cfRule>
  </conditionalFormatting>
  <conditionalFormatting sqref="L55:V55">
    <cfRule type="cellIs" dxfId="3449" priority="7" operator="lessThan">
      <formula>0</formula>
    </cfRule>
    <cfRule type="cellIs" dxfId="3448" priority="8" operator="greaterThan">
      <formula>0.1</formula>
    </cfRule>
    <cfRule type="cellIs" dxfId="3447" priority="9" operator="lessThan">
      <formula>0</formula>
    </cfRule>
    <cfRule type="cellIs" dxfId="3446" priority="10" operator="greaterThan">
      <formula>0.1</formula>
    </cfRule>
  </conditionalFormatting>
  <conditionalFormatting sqref="L63:W63">
    <cfRule type="cellIs" dxfId="3445" priority="5" operator="lessThan">
      <formula>0</formula>
    </cfRule>
    <cfRule type="cellIs" dxfId="3444" priority="6" operator="greaterThan">
      <formula>0.1</formula>
    </cfRule>
  </conditionalFormatting>
  <conditionalFormatting sqref="K59:V59">
    <cfRule type="cellIs" dxfId="3443" priority="3" operator="lessThan">
      <formula>0</formula>
    </cfRule>
    <cfRule type="cellIs" dxfId="3442" priority="4" operator="greaterThan">
      <formula>0.1</formula>
    </cfRule>
  </conditionalFormatting>
  <conditionalFormatting sqref="W52:W62">
    <cfRule type="cellIs" dxfId="3441" priority="1" operator="lessThan">
      <formula>0</formula>
    </cfRule>
    <cfRule type="cellIs" dxfId="3440" priority="2" operator="greaterThan">
      <formula>0.1</formula>
    </cfRule>
  </conditionalFormatting>
  <dataValidations count="3">
    <dataValidation type="list" allowBlank="1" showInputMessage="1" showErrorMessage="1" sqref="C15:C19 C33 C40 C84:C91 C510:C555 C562:C593 C596:C621 C623:C631 C633:C660 C662:C665 C668:C672 C674 C676:C677 C679:C701 C703:C737 C740:C751 C753:C782 C784:C836 C839:C873" xr:uid="{00000000-0002-0000-0700-000000000000}">
      <formula1>$I$5:$I$43</formula1>
    </dataValidation>
    <dataValidation type="list" allowBlank="1" showInputMessage="1" showErrorMessage="1" sqref="C20:C25 C27:C30 C32 C34:C35 C37:C39 C41:C43 C45 C47:C53 C61:C62 C64:C70 C80 C82:C83" xr:uid="{00000000-0002-0000-0700-000001000000}">
      <formula1>$I$4:$I$40</formula1>
    </dataValidation>
    <dataValidation type="list" allowBlank="1" showInputMessage="1" showErrorMessage="1" sqref="C205:C509" xr:uid="{00000000-0002-0000-0700-000002000000}">
      <formula1>$I$6:$I$17</formula1>
    </dataValidation>
  </dataValidations>
  <pageMargins left="0.25" right="0.25" top="0.75" bottom="0.75" header="0.3" footer="0.3"/>
  <pageSetup paperSize="9" scale="10" orientation="landscape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3000000}">
          <x14:formula1>
            <xm:f>ProductList!$A$2:$A$100</xm:f>
          </x14:formula1>
          <xm:sqref>I206:I513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pageSetUpPr fitToPage="1"/>
  </sheetPr>
  <dimension ref="A1:AJ566"/>
  <sheetViews>
    <sheetView showZeros="0" topLeftCell="A109" zoomScaleNormal="100" workbookViewId="0">
      <selection activeCell="K18" sqref="K18:V18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21.46484375" style="426" customWidth="1"/>
    <col min="5" max="5" width="11.86328125" style="435" customWidth="1"/>
    <col min="6" max="6" width="16.33203125" style="426" customWidth="1"/>
    <col min="7" max="7" width="13.46484375" style="426" customWidth="1"/>
    <col min="8" max="8" width="11.53125" style="426" customWidth="1"/>
    <col min="9" max="9" width="24.1328125" style="426" bestFit="1" customWidth="1"/>
    <col min="10" max="10" width="16.46484375" style="426" bestFit="1" customWidth="1"/>
    <col min="11" max="11" width="8.86328125" style="426" customWidth="1"/>
    <col min="12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1" style="426" customWidth="1"/>
    <col min="28" max="28" width="10.4648437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6" width="9.1328125" style="426" customWidth="1"/>
    <col min="37" max="16384" width="9.1328125" style="426"/>
  </cols>
  <sheetData>
    <row r="1" spans="1:35" ht="20.65" customHeight="1" x14ac:dyDescent="0.6">
      <c r="I1" s="908" t="s">
        <v>103</v>
      </c>
      <c r="J1" s="45" t="s">
        <v>1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</row>
    <row r="2" spans="1:35" ht="13.15" customHeight="1" x14ac:dyDescent="0.4">
      <c r="A2" s="418" t="s">
        <v>187</v>
      </c>
      <c r="B2" s="418"/>
      <c r="C2" s="418"/>
      <c r="D2" s="418"/>
      <c r="E2" s="419"/>
      <c r="F2" s="418"/>
      <c r="J2" s="45" t="s">
        <v>3</v>
      </c>
      <c r="K2" s="800">
        <f t="shared" ref="K2:V2" si="0">SUM(K38/$W38)</f>
        <v>0.1008155465784944</v>
      </c>
      <c r="L2" s="800">
        <f t="shared" si="0"/>
        <v>7.5889064869386139E-2</v>
      </c>
      <c r="M2" s="800">
        <f t="shared" si="0"/>
        <v>0.11038807337529905</v>
      </c>
      <c r="N2" s="800">
        <f t="shared" si="0"/>
        <v>7.1204895536084625E-2</v>
      </c>
      <c r="O2" s="800">
        <f t="shared" si="0"/>
        <v>6.8147357298174338E-2</v>
      </c>
      <c r="P2" s="800">
        <f t="shared" si="0"/>
        <v>6.5548926490067536E-2</v>
      </c>
      <c r="Q2" s="800">
        <f t="shared" si="0"/>
        <v>5.1953184575838599E-2</v>
      </c>
      <c r="R2" s="800">
        <f t="shared" si="0"/>
        <v>9.5495817607933478E-2</v>
      </c>
      <c r="S2" s="800">
        <f t="shared" si="0"/>
        <v>9.799828878170809E-2</v>
      </c>
      <c r="T2" s="800">
        <f t="shared" si="0"/>
        <v>8.3623021172538212E-2</v>
      </c>
      <c r="U2" s="800">
        <f t="shared" si="0"/>
        <v>8.3987685520456004E-2</v>
      </c>
      <c r="V2" s="800">
        <f t="shared" si="0"/>
        <v>9.4948138194019496E-2</v>
      </c>
      <c r="W2" s="836">
        <f>SUM(K2:V2)</f>
        <v>0.99999999999999989</v>
      </c>
      <c r="AD2" s="46" t="s">
        <v>4</v>
      </c>
      <c r="AE2" s="46"/>
      <c r="AF2" s="46" t="s">
        <v>5</v>
      </c>
      <c r="AG2" s="45" t="s">
        <v>6</v>
      </c>
      <c r="AH2" s="45" t="s">
        <v>7</v>
      </c>
      <c r="AI2" s="45" t="s">
        <v>8</v>
      </c>
    </row>
    <row r="3" spans="1:35" ht="26.25" customHeight="1" x14ac:dyDescent="0.4">
      <c r="A3" s="427"/>
      <c r="B3" s="701"/>
      <c r="C3" s="427"/>
      <c r="D3" s="427"/>
      <c r="E3" s="695"/>
      <c r="F3" s="427"/>
      <c r="G3" s="59" t="s">
        <v>10</v>
      </c>
      <c r="H3" s="59" t="s">
        <v>11</v>
      </c>
      <c r="I3"/>
      <c r="J3" s="647" t="s">
        <v>12</v>
      </c>
      <c r="K3" s="737">
        <f t="shared" ref="K3:V3" si="1">SUM(K2+K1)*$J19</f>
        <v>6048.9327947096635</v>
      </c>
      <c r="L3" s="737">
        <f t="shared" si="1"/>
        <v>4553.3438921631687</v>
      </c>
      <c r="M3" s="737">
        <f t="shared" si="1"/>
        <v>6623.2844025179429</v>
      </c>
      <c r="N3" s="737">
        <f t="shared" si="1"/>
        <v>4272.2937321650779</v>
      </c>
      <c r="O3" s="737">
        <f t="shared" si="1"/>
        <v>4088.8414378904604</v>
      </c>
      <c r="P3" s="737">
        <f t="shared" si="1"/>
        <v>3932.9355894040523</v>
      </c>
      <c r="Q3" s="737">
        <f t="shared" si="1"/>
        <v>3117.191074550316</v>
      </c>
      <c r="R3" s="737">
        <f t="shared" si="1"/>
        <v>5729.7490564760083</v>
      </c>
      <c r="S3" s="737">
        <f t="shared" si="1"/>
        <v>5879.8973269024855</v>
      </c>
      <c r="T3" s="737">
        <f t="shared" si="1"/>
        <v>5017.3812703522926</v>
      </c>
      <c r="U3" s="737">
        <f t="shared" si="1"/>
        <v>5039.2611312273602</v>
      </c>
      <c r="V3" s="737">
        <f t="shared" si="1"/>
        <v>5696.8882916411694</v>
      </c>
      <c r="W3" s="801">
        <f>SUM(K3:V3)</f>
        <v>60000</v>
      </c>
      <c r="AA3" s="559" t="s">
        <v>13</v>
      </c>
      <c r="AB3" s="816">
        <v>12</v>
      </c>
      <c r="AD3" s="426">
        <v>0.9995056846267919</v>
      </c>
      <c r="AF3" s="46"/>
    </row>
    <row r="4" spans="1:35" ht="13.9" customHeight="1" x14ac:dyDescent="0.4">
      <c r="A4" s="427"/>
      <c r="B4" s="701"/>
      <c r="C4" s="427"/>
      <c r="D4" s="427"/>
      <c r="E4" s="695"/>
      <c r="F4" s="427"/>
      <c r="I4"/>
      <c r="J4" s="647"/>
      <c r="K4" s="737"/>
      <c r="L4" s="737"/>
      <c r="M4" s="737"/>
      <c r="N4" s="737"/>
      <c r="O4" s="737"/>
      <c r="P4" s="737"/>
      <c r="Q4" s="737"/>
      <c r="R4" s="737"/>
      <c r="S4" s="737"/>
      <c r="T4" s="737"/>
      <c r="U4" s="737"/>
      <c r="V4" s="737"/>
      <c r="W4" s="801"/>
      <c r="AF4" s="46"/>
    </row>
    <row r="5" spans="1:35" ht="13.9" customHeight="1" x14ac:dyDescent="0.4">
      <c r="A5" s="463"/>
      <c r="B5" s="464"/>
      <c r="C5" s="464"/>
      <c r="D5" s="49"/>
      <c r="E5" s="695"/>
      <c r="F5" s="49"/>
      <c r="I5" s="420" t="s">
        <v>140</v>
      </c>
      <c r="J5" s="421" t="s">
        <v>18</v>
      </c>
      <c r="K5" s="577" t="s">
        <v>142</v>
      </c>
      <c r="L5" s="577" t="s">
        <v>143</v>
      </c>
      <c r="M5" s="577" t="s">
        <v>144</v>
      </c>
      <c r="N5" s="577" t="s">
        <v>145</v>
      </c>
      <c r="O5" s="577" t="s">
        <v>146</v>
      </c>
      <c r="P5" s="577" t="s">
        <v>147</v>
      </c>
      <c r="Q5" s="577" t="s">
        <v>148</v>
      </c>
      <c r="R5" s="577" t="s">
        <v>149</v>
      </c>
      <c r="S5" s="577" t="s">
        <v>150</v>
      </c>
      <c r="T5" s="577" t="s">
        <v>151</v>
      </c>
      <c r="U5" s="577" t="s">
        <v>152</v>
      </c>
      <c r="V5" s="577" t="s">
        <v>153</v>
      </c>
      <c r="W5" s="423" t="s">
        <v>19</v>
      </c>
      <c r="X5" s="812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25</v>
      </c>
      <c r="AE5" s="45" t="s">
        <v>26</v>
      </c>
      <c r="AF5" s="928">
        <f>AG5+AH5</f>
        <v>37708.959999999999</v>
      </c>
      <c r="AG5" s="443">
        <f>SUM(N18:V18)</f>
        <v>37708.959999999999</v>
      </c>
      <c r="AH5" s="443"/>
      <c r="AI5" s="445">
        <f>SUM(AF5-AF6)/AF6</f>
        <v>-0.23757548382739987</v>
      </c>
    </row>
    <row r="6" spans="1:35" ht="13.9" customHeight="1" x14ac:dyDescent="0.4">
      <c r="A6" s="463"/>
      <c r="B6" s="464"/>
      <c r="C6" s="464"/>
      <c r="D6" s="49"/>
      <c r="E6" s="695"/>
      <c r="F6" s="49"/>
      <c r="G6" s="445">
        <f t="shared" ref="G6:G18" si="2">W93/$W$105</f>
        <v>0.17625941916621884</v>
      </c>
      <c r="H6" s="445">
        <f t="shared" ref="H6:H18" si="3">W6/$W$18</f>
        <v>0.14104772531397938</v>
      </c>
      <c r="I6" s="581" t="s">
        <v>28</v>
      </c>
      <c r="J6" s="431">
        <v>1000</v>
      </c>
      <c r="K6" s="432">
        <f t="shared" ref="K6:K17" si="4">SUMIFS($E$164:$E$566,$A$164:$A$566,"&gt;31/12/2022",$A$164:$A$566,"&lt;1/2/2023",$C$164:$C$566,$I6)</f>
        <v>1492.5</v>
      </c>
      <c r="L6" s="432">
        <f t="shared" ref="L6:L17" si="5">SUMIFS($E$164:$E$566,$A$164:$A$566,"&gt;31/1/2023",$A$164:$A$566,"&lt;1/3/2023",$C$164:$C$566,$I6)</f>
        <v>260</v>
      </c>
      <c r="M6" s="432">
        <f t="shared" ref="M6:M17" si="6">SUMIFS($E$164:$E$566,$A$164:$A$566,"&gt;28/2/2023",$A$164:$A$566,"&lt;1/4/2023",$C$164:$C$566,$I6)</f>
        <v>1111.5</v>
      </c>
      <c r="N6" s="432">
        <f t="shared" ref="N6:N17" si="7">SUMIFS($E$164:$E$566,$A$164:$A$566,"&gt;31/3/2023",$A$164:$A$566,"&lt;1/5/2023",$C$164:$C$566,$I6)</f>
        <v>955</v>
      </c>
      <c r="O6" s="432">
        <f t="shared" ref="O6:O17" si="8">SUMIFS($E$164:$E$566,$A$164:$A$566,"&gt;30/4/2023",$A$164:$A$566,"&lt;1/6/2023",$C$164:$C$566,$I6)</f>
        <v>300</v>
      </c>
      <c r="P6" s="432">
        <f t="shared" ref="P6:P17" si="9">SUMIFS($E$164:$E$566,$A$164:$A$566,"&gt;31/5/2023",$A$164:$A$566,"&lt;1/7/2023",$C$164:$C$566,$I6)</f>
        <v>0</v>
      </c>
      <c r="Q6" s="432">
        <f t="shared" ref="Q6:Q17" si="10">SUMIFS($E$164:$E$566,$A$164:$A$566,"&gt;30/6/2023",$A$164:$A$566,"&lt;1/8/2023",$C$164:$C$566,$I6)</f>
        <v>280</v>
      </c>
      <c r="R6" s="432">
        <f t="shared" ref="R6:R17" si="11">SUMIFS($E$164:$E$566,$A$164:$A$566,"&gt;31/7/2023",$A$164:$A$566,"&lt;1/9/2023",$C$164:$C$566,$I6)</f>
        <v>1377.5</v>
      </c>
      <c r="S6" s="432">
        <f t="shared" ref="S6:S17" si="12">SUMIFS($E$164:$E$566,$A$164:$A$566,"&gt;31/8/2023",$A$164:$A$566,"&lt;1/10/2023",$C$164:$C$566,$I6)</f>
        <v>1180</v>
      </c>
      <c r="T6" s="432">
        <f t="shared" ref="T6:T17" si="13">SUMIFS($E$164:$E$566,$A$164:$A$566,"&gt;30/9/2023",$A$164:$A$566,"&lt;1/11/2023",$C$164:$C$566,$I6)</f>
        <v>250</v>
      </c>
      <c r="U6" s="432">
        <f t="shared" ref="U6:U17" si="14">SUMIFS($E$164:$E$566,$A$164:$A$566,"&gt;31/10/2023",$A$164:$A$566,"&lt;1/12/2023",$C$164:$C$566,$I6)</f>
        <v>75</v>
      </c>
      <c r="V6" s="432">
        <f t="shared" ref="V6:V17" si="15">SUMIFS($E$164:$E$566,$A$164:$A$566,"&gt;30/11/2023",$A$164:$A$566,"&lt;1/1/2024",$C$164:$C$566,$I6)</f>
        <v>250</v>
      </c>
      <c r="W6" s="431">
        <f t="shared" ref="W6:W17" si="16">SUM(K6:V6)</f>
        <v>7531.5</v>
      </c>
      <c r="X6" s="432">
        <f t="shared" ref="X6:X18" si="17">SUM(U6-(J6*12)*(V$2+V$1))</f>
        <v>-1064.377658328234</v>
      </c>
      <c r="Y6" s="432">
        <f t="shared" ref="Y6:Y18" si="18">W6-AA6</f>
        <v>-4468.4999999999982</v>
      </c>
      <c r="Z6" s="433">
        <f t="shared" ref="Z6:Z18" si="19">Y6/AA6</f>
        <v>-0.3723749999999999</v>
      </c>
      <c r="AA6" s="814">
        <f t="shared" ref="AA6:AA18" si="20">SUM(J6*12)*((K$2+K$1+L$1+L$2+M$2+M$1+N$2+N$1+O$1+O$2+P$1+P$2+Q$1+Q$2+R$2+R$1+S$1+S$2+T$1+T$2+U$1+U$2+V$1+V$2))</f>
        <v>11999.999999999998</v>
      </c>
      <c r="AB6" s="813">
        <f t="shared" ref="AB6:AB18" si="21">W6/$AB$3</f>
        <v>627.625</v>
      </c>
      <c r="AD6" s="48" t="s">
        <v>29</v>
      </c>
      <c r="AE6" s="584" t="s">
        <v>30</v>
      </c>
      <c r="AF6" s="928">
        <f>AG6+AH6</f>
        <v>49459.270000000004</v>
      </c>
      <c r="AG6" s="443">
        <f>SUM(N27:V27)</f>
        <v>33771.410000000003</v>
      </c>
      <c r="AH6" s="443">
        <f>SUM(K18:M18)</f>
        <v>15687.86</v>
      </c>
      <c r="AI6" s="445">
        <f>SUM(AF6-AF7)/AF7</f>
        <v>-0.32845261712503676</v>
      </c>
    </row>
    <row r="7" spans="1:35" ht="13.9" customHeight="1" x14ac:dyDescent="0.4">
      <c r="A7" s="693"/>
      <c r="B7" s="693"/>
      <c r="C7" s="693"/>
      <c r="D7" s="49"/>
      <c r="E7" s="695"/>
      <c r="F7" s="49"/>
      <c r="G7" s="445">
        <f t="shared" si="2"/>
        <v>0.23816935862374056</v>
      </c>
      <c r="H7" s="445">
        <f t="shared" si="3"/>
        <v>0.21441351750909513</v>
      </c>
      <c r="I7" s="581" t="s">
        <v>1274</v>
      </c>
      <c r="J7" s="431">
        <v>1000</v>
      </c>
      <c r="K7" s="432">
        <f t="shared" si="4"/>
        <v>770</v>
      </c>
      <c r="L7" s="432">
        <f t="shared" si="5"/>
        <v>650</v>
      </c>
      <c r="M7" s="432">
        <f t="shared" si="6"/>
        <v>2040</v>
      </c>
      <c r="N7" s="432">
        <f t="shared" si="7"/>
        <v>623.5</v>
      </c>
      <c r="O7" s="432">
        <f t="shared" si="8"/>
        <v>1065</v>
      </c>
      <c r="P7" s="432">
        <f t="shared" si="9"/>
        <v>1557</v>
      </c>
      <c r="Q7" s="432">
        <f t="shared" si="10"/>
        <v>770</v>
      </c>
      <c r="R7" s="432">
        <f t="shared" si="11"/>
        <v>982</v>
      </c>
      <c r="S7" s="432">
        <f t="shared" si="12"/>
        <v>173</v>
      </c>
      <c r="T7" s="432">
        <f t="shared" si="13"/>
        <v>1825.5</v>
      </c>
      <c r="U7" s="432">
        <f t="shared" si="14"/>
        <v>662</v>
      </c>
      <c r="V7" s="432">
        <f t="shared" si="15"/>
        <v>331</v>
      </c>
      <c r="W7" s="431">
        <f t="shared" si="16"/>
        <v>11449</v>
      </c>
      <c r="X7" s="432">
        <f t="shared" si="17"/>
        <v>-477.37765832823402</v>
      </c>
      <c r="Y7" s="432">
        <f t="shared" si="18"/>
        <v>-550.99999999999818</v>
      </c>
      <c r="Z7" s="433">
        <f t="shared" si="19"/>
        <v>-4.5916666666666522E-2</v>
      </c>
      <c r="AA7" s="814">
        <f t="shared" si="20"/>
        <v>11999.999999999998</v>
      </c>
      <c r="AB7" s="813">
        <f t="shared" si="21"/>
        <v>954.08333333333337</v>
      </c>
      <c r="AD7" s="48" t="s">
        <v>32</v>
      </c>
      <c r="AE7" s="584" t="s">
        <v>33</v>
      </c>
      <c r="AF7" s="928">
        <f>AG7+AH7</f>
        <v>73649.709999999992</v>
      </c>
      <c r="AG7" s="443">
        <f>SUM(N28:V28)</f>
        <v>46094.1</v>
      </c>
      <c r="AH7" s="443">
        <f>SUM(K27:M27)</f>
        <v>27555.61</v>
      </c>
      <c r="AI7" s="445">
        <f>SUM(AF7-AF9)/AF9</f>
        <v>0.20558309119269375</v>
      </c>
    </row>
    <row r="8" spans="1:35" ht="13.9" customHeight="1" x14ac:dyDescent="0.4">
      <c r="A8" s="693"/>
      <c r="B8" s="693"/>
      <c r="C8" s="693"/>
      <c r="D8" s="49"/>
      <c r="E8" s="695"/>
      <c r="F8" s="49"/>
      <c r="G8" s="445">
        <f t="shared" si="2"/>
        <v>0.18990334685312124</v>
      </c>
      <c r="H8" s="445">
        <f t="shared" si="3"/>
        <v>0.30393195699669007</v>
      </c>
      <c r="I8" s="582" t="s">
        <v>1275</v>
      </c>
      <c r="J8" s="431">
        <v>1200</v>
      </c>
      <c r="K8" s="432">
        <f t="shared" si="4"/>
        <v>2310</v>
      </c>
      <c r="L8" s="432">
        <f t="shared" si="5"/>
        <v>0</v>
      </c>
      <c r="M8" s="432">
        <f t="shared" si="6"/>
        <v>2505</v>
      </c>
      <c r="N8" s="432">
        <f t="shared" si="7"/>
        <v>1905</v>
      </c>
      <c r="O8" s="432">
        <f t="shared" si="8"/>
        <v>775</v>
      </c>
      <c r="P8" s="432">
        <f t="shared" si="9"/>
        <v>0</v>
      </c>
      <c r="Q8" s="432">
        <f t="shared" si="10"/>
        <v>695</v>
      </c>
      <c r="R8" s="432">
        <f t="shared" si="11"/>
        <v>2050</v>
      </c>
      <c r="S8" s="432">
        <f t="shared" si="12"/>
        <v>725</v>
      </c>
      <c r="T8" s="432">
        <f t="shared" si="13"/>
        <v>550</v>
      </c>
      <c r="U8" s="432">
        <f t="shared" si="14"/>
        <v>1622</v>
      </c>
      <c r="V8" s="432">
        <f t="shared" si="15"/>
        <v>3092</v>
      </c>
      <c r="W8" s="431">
        <f t="shared" si="16"/>
        <v>16229</v>
      </c>
      <c r="X8" s="432">
        <f t="shared" si="17"/>
        <v>254.74681000611918</v>
      </c>
      <c r="Y8" s="432">
        <f t="shared" si="18"/>
        <v>1829.0000000000018</v>
      </c>
      <c r="Z8" s="433">
        <f t="shared" si="19"/>
        <v>0.12701388888888904</v>
      </c>
      <c r="AA8" s="814">
        <f t="shared" si="20"/>
        <v>14399.999999999998</v>
      </c>
      <c r="AB8" s="813">
        <f t="shared" si="21"/>
        <v>1352.4166666666667</v>
      </c>
      <c r="AD8" s="48"/>
      <c r="AE8" s="584"/>
      <c r="AF8" s="928"/>
      <c r="AG8" s="443"/>
      <c r="AH8" s="443"/>
      <c r="AI8" s="445"/>
    </row>
    <row r="9" spans="1:35" ht="13.9" customHeight="1" x14ac:dyDescent="0.4">
      <c r="A9" s="693"/>
      <c r="B9" s="693"/>
      <c r="C9" s="693"/>
      <c r="D9" s="49"/>
      <c r="E9" s="695"/>
      <c r="F9" s="49"/>
      <c r="G9" s="445">
        <f t="shared" si="2"/>
        <v>0.10063274280219625</v>
      </c>
      <c r="H9" s="445">
        <f t="shared" si="3"/>
        <v>0.12079371018723586</v>
      </c>
      <c r="I9" s="581" t="s">
        <v>1276</v>
      </c>
      <c r="J9" s="431">
        <f>3000/12</f>
        <v>250</v>
      </c>
      <c r="K9" s="432">
        <f t="shared" si="4"/>
        <v>0</v>
      </c>
      <c r="L9" s="432">
        <f t="shared" si="5"/>
        <v>1200</v>
      </c>
      <c r="M9" s="432">
        <f t="shared" si="6"/>
        <v>50</v>
      </c>
      <c r="N9" s="432">
        <f t="shared" si="7"/>
        <v>50</v>
      </c>
      <c r="O9" s="432">
        <f t="shared" si="8"/>
        <v>100</v>
      </c>
      <c r="P9" s="432">
        <f t="shared" si="9"/>
        <v>50</v>
      </c>
      <c r="Q9" s="432">
        <f t="shared" si="10"/>
        <v>300</v>
      </c>
      <c r="R9" s="432">
        <f t="shared" si="11"/>
        <v>50</v>
      </c>
      <c r="S9" s="432">
        <f t="shared" si="12"/>
        <v>50</v>
      </c>
      <c r="T9" s="432">
        <f t="shared" si="13"/>
        <v>300</v>
      </c>
      <c r="U9" s="432">
        <f t="shared" si="14"/>
        <v>50</v>
      </c>
      <c r="V9" s="432">
        <f t="shared" si="15"/>
        <v>4250</v>
      </c>
      <c r="W9" s="431">
        <f t="shared" si="16"/>
        <v>6450</v>
      </c>
      <c r="X9" s="432">
        <f t="shared" si="17"/>
        <v>-234.8444145820585</v>
      </c>
      <c r="Y9" s="432">
        <f t="shared" si="18"/>
        <v>3450.0000000000005</v>
      </c>
      <c r="Z9" s="433">
        <f t="shared" si="19"/>
        <v>1.1500000000000004</v>
      </c>
      <c r="AA9" s="814">
        <f t="shared" si="20"/>
        <v>2999.9999999999995</v>
      </c>
      <c r="AB9" s="813">
        <f t="shared" si="21"/>
        <v>537.5</v>
      </c>
      <c r="AD9" s="48" t="s">
        <v>38</v>
      </c>
      <c r="AE9" s="584" t="s">
        <v>39</v>
      </c>
      <c r="AF9" s="928">
        <f t="shared" ref="AF9:AF16" si="22">AG9+AH9</f>
        <v>61090.53</v>
      </c>
      <c r="AG9" s="443">
        <f t="shared" ref="AG9:AG16" si="23">SUM(N29:V29)</f>
        <v>37518.659999999996</v>
      </c>
      <c r="AH9" s="443">
        <f t="shared" ref="AH9:AH16" si="24">SUM(K28:M28)</f>
        <v>23571.870000000003</v>
      </c>
      <c r="AI9" s="445">
        <f t="shared" ref="AI9:AI14" si="25">SUM(AF9-AF10)/AF10</f>
        <v>-0.12252847628215617</v>
      </c>
    </row>
    <row r="10" spans="1:35" ht="13.9" customHeight="1" x14ac:dyDescent="0.4">
      <c r="A10" s="693"/>
      <c r="B10" s="693"/>
      <c r="C10" s="464"/>
      <c r="D10" s="49"/>
      <c r="E10" s="695"/>
      <c r="F10" s="49"/>
      <c r="G10" s="445">
        <f t="shared" si="2"/>
        <v>-6.2532718318015906E-2</v>
      </c>
      <c r="H10" s="445">
        <f t="shared" si="3"/>
        <v>-7.5060649679138197E-2</v>
      </c>
      <c r="I10" s="581" t="s">
        <v>1277</v>
      </c>
      <c r="J10" s="431">
        <f>-3000/12</f>
        <v>-250</v>
      </c>
      <c r="K10" s="432">
        <f t="shared" si="4"/>
        <v>0</v>
      </c>
      <c r="L10" s="432">
        <f t="shared" si="5"/>
        <v>-475</v>
      </c>
      <c r="M10" s="432">
        <f t="shared" si="6"/>
        <v>-192</v>
      </c>
      <c r="N10" s="432">
        <f t="shared" si="7"/>
        <v>-490.5</v>
      </c>
      <c r="O10" s="432">
        <f t="shared" si="8"/>
        <v>-587</v>
      </c>
      <c r="P10" s="432">
        <f t="shared" si="9"/>
        <v>-190</v>
      </c>
      <c r="Q10" s="432">
        <f t="shared" si="10"/>
        <v>-160</v>
      </c>
      <c r="R10" s="432">
        <f t="shared" si="11"/>
        <v>0</v>
      </c>
      <c r="S10" s="432">
        <f t="shared" si="12"/>
        <v>0</v>
      </c>
      <c r="T10" s="432">
        <f t="shared" si="13"/>
        <v>-617.5</v>
      </c>
      <c r="U10" s="432">
        <f t="shared" si="14"/>
        <v>0</v>
      </c>
      <c r="V10" s="432">
        <f t="shared" si="15"/>
        <v>-1296</v>
      </c>
      <c r="W10" s="704">
        <f t="shared" si="16"/>
        <v>-4008</v>
      </c>
      <c r="X10" s="432">
        <f t="shared" si="17"/>
        <v>284.8444145820585</v>
      </c>
      <c r="Y10" s="432">
        <f t="shared" si="18"/>
        <v>-1008.0000000000005</v>
      </c>
      <c r="Z10" s="433">
        <f t="shared" si="19"/>
        <v>0.33600000000000019</v>
      </c>
      <c r="AA10" s="814">
        <f t="shared" si="20"/>
        <v>-2999.9999999999995</v>
      </c>
      <c r="AB10" s="813">
        <f t="shared" si="21"/>
        <v>-334</v>
      </c>
      <c r="AD10" s="48" t="s">
        <v>42</v>
      </c>
      <c r="AE10" s="584" t="s">
        <v>43</v>
      </c>
      <c r="AF10" s="928">
        <f t="shared" si="22"/>
        <v>69621.096923076926</v>
      </c>
      <c r="AG10" s="443">
        <f t="shared" si="23"/>
        <v>52137.860000000008</v>
      </c>
      <c r="AH10" s="443">
        <f t="shared" si="24"/>
        <v>17483.236923076925</v>
      </c>
      <c r="AI10" s="445">
        <f t="shared" si="25"/>
        <v>0.25201643354615522</v>
      </c>
    </row>
    <row r="11" spans="1:35" ht="13.9" customHeight="1" x14ac:dyDescent="0.4">
      <c r="A11" s="693"/>
      <c r="B11" s="693"/>
      <c r="C11" s="693"/>
      <c r="D11" s="693"/>
      <c r="E11" s="695"/>
      <c r="F11" s="693"/>
      <c r="G11" s="445">
        <f t="shared" si="2"/>
        <v>2.420906551649734E-2</v>
      </c>
      <c r="H11" s="445">
        <f t="shared" si="3"/>
        <v>1.8353152865657543E-2</v>
      </c>
      <c r="I11" s="581" t="s">
        <v>1278</v>
      </c>
      <c r="J11" s="431">
        <v>100</v>
      </c>
      <c r="K11" s="432">
        <f t="shared" si="4"/>
        <v>80</v>
      </c>
      <c r="L11" s="432">
        <f t="shared" si="5"/>
        <v>60</v>
      </c>
      <c r="M11" s="432">
        <f t="shared" si="6"/>
        <v>60</v>
      </c>
      <c r="N11" s="432">
        <f t="shared" si="7"/>
        <v>40</v>
      </c>
      <c r="O11" s="432">
        <f t="shared" si="8"/>
        <v>60</v>
      </c>
      <c r="P11" s="432">
        <f t="shared" si="9"/>
        <v>40</v>
      </c>
      <c r="Q11" s="432">
        <f t="shared" si="10"/>
        <v>40</v>
      </c>
      <c r="R11" s="432">
        <f t="shared" si="11"/>
        <v>220</v>
      </c>
      <c r="S11" s="432">
        <f t="shared" si="12"/>
        <v>20</v>
      </c>
      <c r="T11" s="432">
        <f t="shared" si="13"/>
        <v>40</v>
      </c>
      <c r="U11" s="432">
        <f t="shared" si="14"/>
        <v>40</v>
      </c>
      <c r="V11" s="432">
        <f t="shared" si="15"/>
        <v>280</v>
      </c>
      <c r="W11" s="431">
        <f t="shared" si="16"/>
        <v>980</v>
      </c>
      <c r="X11" s="432">
        <f t="shared" si="17"/>
        <v>-73.937765832823402</v>
      </c>
      <c r="Y11" s="432">
        <f t="shared" si="18"/>
        <v>-219.99999999999977</v>
      </c>
      <c r="Z11" s="433">
        <f t="shared" si="19"/>
        <v>-0.18333333333333318</v>
      </c>
      <c r="AA11" s="814">
        <f t="shared" si="20"/>
        <v>1199.9999999999998</v>
      </c>
      <c r="AB11" s="813">
        <f t="shared" si="21"/>
        <v>81.666666666666671</v>
      </c>
      <c r="AD11" s="48" t="s">
        <v>45</v>
      </c>
      <c r="AE11" s="45" t="s">
        <v>46</v>
      </c>
      <c r="AF11" s="928">
        <f t="shared" si="22"/>
        <v>55607.175000000003</v>
      </c>
      <c r="AG11" s="443">
        <f t="shared" si="23"/>
        <v>42562.105000000003</v>
      </c>
      <c r="AH11" s="443">
        <f t="shared" si="24"/>
        <v>13045.07</v>
      </c>
      <c r="AI11" s="445">
        <f t="shared" si="25"/>
        <v>-0.35771029934576909</v>
      </c>
    </row>
    <row r="12" spans="1:35" ht="13.9" customHeight="1" x14ac:dyDescent="0.4">
      <c r="A12" s="463"/>
      <c r="B12" s="464"/>
      <c r="C12" s="464"/>
      <c r="D12" s="463"/>
      <c r="E12" s="465"/>
      <c r="F12" s="45"/>
      <c r="G12" s="445">
        <f t="shared" si="2"/>
        <v>0.15298647218741637</v>
      </c>
      <c r="H12" s="445">
        <f t="shared" si="3"/>
        <v>0.11598068948675221</v>
      </c>
      <c r="I12" s="582" t="s">
        <v>1279</v>
      </c>
      <c r="J12" s="431">
        <f>12000/12</f>
        <v>1000</v>
      </c>
      <c r="K12" s="432">
        <f t="shared" si="4"/>
        <v>190</v>
      </c>
      <c r="L12" s="432">
        <f t="shared" si="5"/>
        <v>720</v>
      </c>
      <c r="M12" s="432">
        <f t="shared" si="6"/>
        <v>862</v>
      </c>
      <c r="N12" s="432">
        <f t="shared" si="7"/>
        <v>0</v>
      </c>
      <c r="O12" s="432">
        <f t="shared" si="8"/>
        <v>341</v>
      </c>
      <c r="P12" s="432">
        <f t="shared" si="9"/>
        <v>645</v>
      </c>
      <c r="Q12" s="432">
        <f t="shared" si="10"/>
        <v>555</v>
      </c>
      <c r="R12" s="432">
        <f t="shared" si="11"/>
        <v>815</v>
      </c>
      <c r="S12" s="432">
        <f t="shared" si="12"/>
        <v>475</v>
      </c>
      <c r="T12" s="432">
        <f t="shared" si="13"/>
        <v>360</v>
      </c>
      <c r="U12" s="432">
        <f t="shared" si="14"/>
        <v>590</v>
      </c>
      <c r="V12" s="432">
        <f t="shared" si="15"/>
        <v>640</v>
      </c>
      <c r="W12" s="431">
        <f t="shared" si="16"/>
        <v>6193</v>
      </c>
      <c r="X12" s="432">
        <f t="shared" si="17"/>
        <v>-549.37765832823402</v>
      </c>
      <c r="Y12" s="432">
        <f t="shared" si="18"/>
        <v>-5806.9999999999982</v>
      </c>
      <c r="Z12" s="433">
        <f t="shared" si="19"/>
        <v>-0.48391666666666661</v>
      </c>
      <c r="AA12" s="814">
        <f t="shared" si="20"/>
        <v>11999.999999999998</v>
      </c>
      <c r="AB12" s="813">
        <f t="shared" si="21"/>
        <v>516.08333333333337</v>
      </c>
      <c r="AD12" s="48" t="s">
        <v>48</v>
      </c>
      <c r="AE12" s="45" t="s">
        <v>49</v>
      </c>
      <c r="AF12" s="928">
        <f t="shared" si="22"/>
        <v>86576.47</v>
      </c>
      <c r="AG12" s="443">
        <f t="shared" si="23"/>
        <v>60536.84</v>
      </c>
      <c r="AH12" s="443">
        <f t="shared" si="24"/>
        <v>26039.63</v>
      </c>
      <c r="AI12" s="445">
        <f t="shared" si="25"/>
        <v>0.41480239758156645</v>
      </c>
    </row>
    <row r="13" spans="1:35" ht="13.9" customHeight="1" x14ac:dyDescent="0.4">
      <c r="A13" s="463"/>
      <c r="B13" s="464"/>
      <c r="C13" s="464"/>
      <c r="D13" s="463"/>
      <c r="E13" s="465"/>
      <c r="F13" s="45"/>
      <c r="G13" s="445">
        <f t="shared" si="2"/>
        <v>4.8626157374704645E-2</v>
      </c>
      <c r="H13" s="445">
        <f t="shared" si="3"/>
        <v>7.0041624201591032E-2</v>
      </c>
      <c r="I13" s="582" t="s">
        <v>1280</v>
      </c>
      <c r="J13" s="431">
        <v>300</v>
      </c>
      <c r="K13" s="432">
        <f t="shared" si="4"/>
        <v>0</v>
      </c>
      <c r="L13" s="432">
        <f t="shared" si="5"/>
        <v>0</v>
      </c>
      <c r="M13" s="432">
        <f t="shared" si="6"/>
        <v>1050</v>
      </c>
      <c r="N13" s="432">
        <f t="shared" si="7"/>
        <v>175</v>
      </c>
      <c r="O13" s="432">
        <f t="shared" si="8"/>
        <v>425</v>
      </c>
      <c r="P13" s="432">
        <f t="shared" si="9"/>
        <v>0</v>
      </c>
      <c r="Q13" s="432">
        <f t="shared" si="10"/>
        <v>225</v>
      </c>
      <c r="R13" s="432">
        <f t="shared" si="11"/>
        <v>100</v>
      </c>
      <c r="S13" s="432">
        <f t="shared" si="12"/>
        <v>150</v>
      </c>
      <c r="T13" s="432">
        <f t="shared" si="13"/>
        <v>0</v>
      </c>
      <c r="U13" s="432">
        <f t="shared" si="14"/>
        <v>1125</v>
      </c>
      <c r="V13" s="432">
        <f t="shared" si="15"/>
        <v>490</v>
      </c>
      <c r="W13" s="431">
        <f t="shared" si="16"/>
        <v>3740</v>
      </c>
      <c r="X13" s="432">
        <f t="shared" si="17"/>
        <v>783.18670250152979</v>
      </c>
      <c r="Y13" s="432">
        <f t="shared" si="18"/>
        <v>140.00000000000045</v>
      </c>
      <c r="Z13" s="433">
        <f t="shared" si="19"/>
        <v>3.8888888888889021E-2</v>
      </c>
      <c r="AA13" s="814">
        <f t="shared" si="20"/>
        <v>3599.9999999999995</v>
      </c>
      <c r="AB13" s="813">
        <f t="shared" si="21"/>
        <v>311.66666666666669</v>
      </c>
      <c r="AD13" s="48" t="s">
        <v>51</v>
      </c>
      <c r="AE13" s="584" t="s">
        <v>52</v>
      </c>
      <c r="AF13" s="928">
        <f t="shared" si="22"/>
        <v>61193.33</v>
      </c>
      <c r="AG13" s="443">
        <f t="shared" si="23"/>
        <v>45062</v>
      </c>
      <c r="AH13" s="443">
        <f t="shared" si="24"/>
        <v>16131.33</v>
      </c>
      <c r="AI13" s="445">
        <f t="shared" si="25"/>
        <v>7.2175246171636856E-2</v>
      </c>
    </row>
    <row r="14" spans="1:35" ht="13.9" customHeight="1" x14ac:dyDescent="0.4">
      <c r="A14" s="463"/>
      <c r="B14" s="464"/>
      <c r="C14" s="464"/>
      <c r="D14" s="463"/>
      <c r="E14" s="465"/>
      <c r="F14" s="45"/>
      <c r="G14" s="445">
        <f t="shared" si="2"/>
        <v>-1.8163299960551441E-2</v>
      </c>
      <c r="H14" s="445">
        <f t="shared" si="3"/>
        <v>-2.6162606687064886E-2</v>
      </c>
      <c r="I14" s="582" t="s">
        <v>1281</v>
      </c>
      <c r="J14" s="431">
        <v>-200</v>
      </c>
      <c r="K14" s="432">
        <f t="shared" si="4"/>
        <v>0</v>
      </c>
      <c r="L14" s="432">
        <f t="shared" si="5"/>
        <v>0</v>
      </c>
      <c r="M14" s="432">
        <f t="shared" si="6"/>
        <v>-390</v>
      </c>
      <c r="N14" s="432">
        <f t="shared" si="7"/>
        <v>0</v>
      </c>
      <c r="O14" s="432">
        <f t="shared" si="8"/>
        <v>-125</v>
      </c>
      <c r="P14" s="432">
        <f t="shared" si="9"/>
        <v>-60</v>
      </c>
      <c r="Q14" s="432">
        <f t="shared" si="10"/>
        <v>-10</v>
      </c>
      <c r="R14" s="432">
        <f t="shared" si="11"/>
        <v>0</v>
      </c>
      <c r="S14" s="432">
        <f t="shared" si="12"/>
        <v>-500</v>
      </c>
      <c r="T14" s="432">
        <f t="shared" si="13"/>
        <v>-12</v>
      </c>
      <c r="U14" s="432">
        <f t="shared" si="14"/>
        <v>-250</v>
      </c>
      <c r="V14" s="432">
        <f t="shared" si="15"/>
        <v>-50</v>
      </c>
      <c r="W14" s="431">
        <f t="shared" si="16"/>
        <v>-1397</v>
      </c>
      <c r="X14" s="432">
        <f t="shared" si="17"/>
        <v>-22.124468334353196</v>
      </c>
      <c r="Y14" s="432">
        <f t="shared" si="18"/>
        <v>1002.9999999999995</v>
      </c>
      <c r="Z14" s="433">
        <f t="shared" si="19"/>
        <v>-0.41791666666666655</v>
      </c>
      <c r="AA14" s="814">
        <f t="shared" si="20"/>
        <v>-2399.9999999999995</v>
      </c>
      <c r="AB14" s="813">
        <f t="shared" si="21"/>
        <v>-116.41666666666667</v>
      </c>
      <c r="AD14" s="48" t="s">
        <v>54</v>
      </c>
      <c r="AE14" s="45" t="s">
        <v>55</v>
      </c>
      <c r="AF14" s="928">
        <f t="shared" si="22"/>
        <v>57074</v>
      </c>
      <c r="AG14" s="443">
        <f t="shared" si="23"/>
        <v>44496</v>
      </c>
      <c r="AH14" s="443">
        <f t="shared" si="24"/>
        <v>12578</v>
      </c>
      <c r="AI14" s="445">
        <f t="shared" si="25"/>
        <v>5.0776934973120261E-2</v>
      </c>
    </row>
    <row r="15" spans="1:35" ht="13.9" customHeight="1" x14ac:dyDescent="0.4">
      <c r="A15" s="463"/>
      <c r="B15" s="464"/>
      <c r="C15" s="464"/>
      <c r="D15" s="463"/>
      <c r="E15" s="465"/>
      <c r="F15" s="45"/>
      <c r="G15" s="445">
        <f t="shared" si="2"/>
        <v>5.8472725414106461E-2</v>
      </c>
      <c r="H15" s="445">
        <f t="shared" si="3"/>
        <v>4.2537739138772686E-2</v>
      </c>
      <c r="I15" s="582" t="s">
        <v>1282</v>
      </c>
      <c r="J15" s="431">
        <v>150</v>
      </c>
      <c r="K15" s="432">
        <f t="shared" si="4"/>
        <v>169.98000000000002</v>
      </c>
      <c r="L15" s="432">
        <f t="shared" si="5"/>
        <v>70.58</v>
      </c>
      <c r="M15" s="432">
        <f t="shared" si="6"/>
        <v>107.30000000000001</v>
      </c>
      <c r="N15" s="432">
        <f t="shared" si="7"/>
        <v>45.37</v>
      </c>
      <c r="O15" s="432">
        <f t="shared" si="8"/>
        <v>1114.3899999999999</v>
      </c>
      <c r="P15" s="432">
        <f t="shared" si="9"/>
        <v>266.64999999999998</v>
      </c>
      <c r="Q15" s="432">
        <f t="shared" si="10"/>
        <v>29.84</v>
      </c>
      <c r="R15" s="432">
        <f t="shared" si="11"/>
        <v>44.19</v>
      </c>
      <c r="S15" s="432">
        <f t="shared" si="12"/>
        <v>24.6</v>
      </c>
      <c r="T15" s="432">
        <f t="shared" si="13"/>
        <v>35</v>
      </c>
      <c r="U15" s="432">
        <f t="shared" si="14"/>
        <v>98.42</v>
      </c>
      <c r="V15" s="432">
        <f t="shared" si="15"/>
        <v>265.06</v>
      </c>
      <c r="W15" s="431">
        <f t="shared" si="16"/>
        <v>2271.38</v>
      </c>
      <c r="X15" s="432">
        <f t="shared" si="17"/>
        <v>-72.486648749235101</v>
      </c>
      <c r="Y15" s="432">
        <f t="shared" si="18"/>
        <v>471.38000000000034</v>
      </c>
      <c r="Z15" s="433">
        <f t="shared" si="19"/>
        <v>0.26187777777777799</v>
      </c>
      <c r="AA15" s="814">
        <f t="shared" si="20"/>
        <v>1799.9999999999998</v>
      </c>
      <c r="AB15" s="813">
        <f t="shared" si="21"/>
        <v>189.28166666666667</v>
      </c>
      <c r="AD15" s="48" t="s">
        <v>57</v>
      </c>
      <c r="AE15" s="45" t="s">
        <v>58</v>
      </c>
      <c r="AF15" s="928">
        <f t="shared" si="22"/>
        <v>54316</v>
      </c>
      <c r="AG15" s="443">
        <f t="shared" si="23"/>
        <v>39743</v>
      </c>
      <c r="AH15" s="443">
        <f t="shared" si="24"/>
        <v>14573</v>
      </c>
      <c r="AI15" s="445"/>
    </row>
    <row r="16" spans="1:35" ht="13.9" customHeight="1" x14ac:dyDescent="0.4">
      <c r="A16" s="463"/>
      <c r="B16" s="464"/>
      <c r="C16" s="464"/>
      <c r="D16" s="463"/>
      <c r="E16" s="465"/>
      <c r="F16" s="45"/>
      <c r="G16" s="445">
        <f t="shared" si="2"/>
        <v>8.1910372048299276E-2</v>
      </c>
      <c r="H16" s="445">
        <f t="shared" si="3"/>
        <v>6.5546974520205512E-2</v>
      </c>
      <c r="I16" s="582" t="s">
        <v>1283</v>
      </c>
      <c r="J16" s="431">
        <v>400</v>
      </c>
      <c r="K16" s="432">
        <f t="shared" si="4"/>
        <v>300</v>
      </c>
      <c r="L16" s="432">
        <f t="shared" si="5"/>
        <v>300</v>
      </c>
      <c r="M16" s="432">
        <f t="shared" si="6"/>
        <v>275</v>
      </c>
      <c r="N16" s="432">
        <f t="shared" si="7"/>
        <v>0</v>
      </c>
      <c r="O16" s="432">
        <f t="shared" si="8"/>
        <v>295</v>
      </c>
      <c r="P16" s="432">
        <f t="shared" si="9"/>
        <v>520</v>
      </c>
      <c r="Q16" s="432">
        <f t="shared" si="10"/>
        <v>0</v>
      </c>
      <c r="R16" s="432">
        <f t="shared" si="11"/>
        <v>175</v>
      </c>
      <c r="S16" s="432">
        <f t="shared" si="12"/>
        <v>200</v>
      </c>
      <c r="T16" s="432">
        <f t="shared" si="13"/>
        <v>445</v>
      </c>
      <c r="U16" s="432">
        <f t="shared" si="14"/>
        <v>990</v>
      </c>
      <c r="V16" s="432">
        <f t="shared" si="15"/>
        <v>0</v>
      </c>
      <c r="W16" s="431">
        <f t="shared" si="16"/>
        <v>3500</v>
      </c>
      <c r="X16" s="432">
        <f t="shared" si="17"/>
        <v>534.24893666870639</v>
      </c>
      <c r="Y16" s="432">
        <f t="shared" si="18"/>
        <v>-1299.9999999999991</v>
      </c>
      <c r="Z16" s="433">
        <f t="shared" si="19"/>
        <v>-0.2708333333333332</v>
      </c>
      <c r="AA16" s="814">
        <f t="shared" si="20"/>
        <v>4799.9999999999991</v>
      </c>
      <c r="AB16" s="813">
        <f t="shared" si="21"/>
        <v>291.66666666666669</v>
      </c>
      <c r="AD16" s="48" t="s">
        <v>60</v>
      </c>
      <c r="AE16" s="45" t="s">
        <v>61</v>
      </c>
      <c r="AF16" s="928">
        <f t="shared" si="22"/>
        <v>20273</v>
      </c>
      <c r="AG16" s="443">
        <f t="shared" si="23"/>
        <v>9394</v>
      </c>
      <c r="AH16" s="443">
        <f t="shared" si="24"/>
        <v>10879</v>
      </c>
    </row>
    <row r="17" spans="2:36" ht="13.5" customHeight="1" x14ac:dyDescent="0.35">
      <c r="B17" s="464"/>
      <c r="C17" s="464"/>
      <c r="E17" s="465">
        <v>0</v>
      </c>
      <c r="F17" s="49"/>
      <c r="G17" s="445">
        <f t="shared" si="2"/>
        <v>9.526358292266203E-3</v>
      </c>
      <c r="H17" s="445">
        <f t="shared" si="3"/>
        <v>8.5761661462236891E-3</v>
      </c>
      <c r="I17" s="582" t="s">
        <v>1284</v>
      </c>
      <c r="J17" s="431">
        <v>50</v>
      </c>
      <c r="K17" s="432">
        <f t="shared" si="4"/>
        <v>42</v>
      </c>
      <c r="L17" s="432">
        <f t="shared" si="5"/>
        <v>52</v>
      </c>
      <c r="M17" s="432">
        <f t="shared" si="6"/>
        <v>17</v>
      </c>
      <c r="N17" s="432">
        <f t="shared" si="7"/>
        <v>0</v>
      </c>
      <c r="O17" s="432">
        <f t="shared" si="8"/>
        <v>31</v>
      </c>
      <c r="P17" s="432">
        <f t="shared" si="9"/>
        <v>2</v>
      </c>
      <c r="Q17" s="432">
        <f t="shared" si="10"/>
        <v>84.44</v>
      </c>
      <c r="R17" s="432">
        <f t="shared" si="11"/>
        <v>98.93</v>
      </c>
      <c r="S17" s="432">
        <f t="shared" si="12"/>
        <v>71</v>
      </c>
      <c r="T17" s="432">
        <f t="shared" si="13"/>
        <v>39.39</v>
      </c>
      <c r="U17" s="432">
        <f t="shared" si="14"/>
        <v>20.18</v>
      </c>
      <c r="V17" s="432">
        <f t="shared" si="15"/>
        <v>0</v>
      </c>
      <c r="W17" s="431">
        <f t="shared" si="16"/>
        <v>457.94</v>
      </c>
      <c r="X17" s="432">
        <f t="shared" si="17"/>
        <v>-36.788882916411701</v>
      </c>
      <c r="Y17" s="432">
        <f t="shared" si="18"/>
        <v>-142.05999999999989</v>
      </c>
      <c r="Z17" s="433">
        <f t="shared" si="19"/>
        <v>-0.23676666666666651</v>
      </c>
      <c r="AA17" s="814">
        <f t="shared" si="20"/>
        <v>599.99999999999989</v>
      </c>
      <c r="AB17" s="813">
        <f t="shared" si="21"/>
        <v>38.161666666666669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2"/>
        <v>1</v>
      </c>
      <c r="H18" s="445">
        <f t="shared" si="3"/>
        <v>1</v>
      </c>
      <c r="I18" s="821" t="s">
        <v>63</v>
      </c>
      <c r="J18" s="926">
        <f t="shared" ref="J18:W18" si="26">SUM(J6:J17)</f>
        <v>5000</v>
      </c>
      <c r="K18" s="927">
        <f t="shared" si="26"/>
        <v>5354.48</v>
      </c>
      <c r="L18" s="927">
        <f t="shared" si="26"/>
        <v>2837.58</v>
      </c>
      <c r="M18" s="927">
        <f t="shared" si="26"/>
        <v>7495.8</v>
      </c>
      <c r="N18" s="927">
        <f t="shared" si="26"/>
        <v>3303.37</v>
      </c>
      <c r="O18" s="927">
        <f t="shared" si="26"/>
        <v>3794.39</v>
      </c>
      <c r="P18" s="927">
        <f t="shared" si="26"/>
        <v>2830.65</v>
      </c>
      <c r="Q18" s="927">
        <f t="shared" si="26"/>
        <v>2809.28</v>
      </c>
      <c r="R18" s="927">
        <f t="shared" si="26"/>
        <v>5912.62</v>
      </c>
      <c r="S18" s="927">
        <f t="shared" si="26"/>
        <v>2568.6</v>
      </c>
      <c r="T18" s="927">
        <f t="shared" si="26"/>
        <v>3215.39</v>
      </c>
      <c r="U18" s="927">
        <f t="shared" si="26"/>
        <v>5022.6000000000004</v>
      </c>
      <c r="V18" s="927">
        <f t="shared" si="26"/>
        <v>8252.06</v>
      </c>
      <c r="W18" s="822">
        <f t="shared" si="26"/>
        <v>53396.82</v>
      </c>
      <c r="X18" s="432">
        <f t="shared" si="17"/>
        <v>-674.28829164116905</v>
      </c>
      <c r="Y18" s="820">
        <f t="shared" si="18"/>
        <v>-6603.179999999993</v>
      </c>
      <c r="Z18" s="833">
        <f t="shared" si="19"/>
        <v>-0.1100529999999999</v>
      </c>
      <c r="AA18" s="814">
        <f t="shared" si="20"/>
        <v>59999.999999999993</v>
      </c>
      <c r="AB18" s="834">
        <f t="shared" si="21"/>
        <v>4449.7349999999997</v>
      </c>
      <c r="AE18" s="928">
        <f>AF18-W40</f>
        <v>0</v>
      </c>
      <c r="AF18" s="928">
        <f>SUM(AF5:AF16)</f>
        <v>626569.54192307685</v>
      </c>
      <c r="AG18" s="928">
        <f>SUM(AG5:AG16)</f>
        <v>449024.93500000006</v>
      </c>
      <c r="AH18" s="928">
        <f>SUM(AH5:AH16)</f>
        <v>177544.60692307691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18</v>
      </c>
      <c r="J19" s="441">
        <f>J18*12</f>
        <v>60000</v>
      </c>
      <c r="K19" s="671">
        <f t="shared" ref="K19:V19" si="27">K18/K3</f>
        <v>0.88519416262699668</v>
      </c>
      <c r="L19" s="671">
        <f t="shared" si="27"/>
        <v>0.62318596337162302</v>
      </c>
      <c r="M19" s="671">
        <f t="shared" si="27"/>
        <v>1.1317345812827178</v>
      </c>
      <c r="N19" s="671">
        <f t="shared" si="27"/>
        <v>0.77320760394579546</v>
      </c>
      <c r="O19" s="671">
        <f t="shared" si="27"/>
        <v>0.92798658437526116</v>
      </c>
      <c r="P19" s="671">
        <f t="shared" si="27"/>
        <v>0.71972955967705565</v>
      </c>
      <c r="Q19" s="671">
        <f t="shared" si="27"/>
        <v>0.90122162319012322</v>
      </c>
      <c r="R19" s="671">
        <f t="shared" si="27"/>
        <v>1.0319160475828</v>
      </c>
      <c r="S19" s="671">
        <f t="shared" si="27"/>
        <v>0.43684436261289816</v>
      </c>
      <c r="T19" s="671">
        <f t="shared" si="27"/>
        <v>0.64085024173860183</v>
      </c>
      <c r="U19" s="671">
        <f t="shared" si="27"/>
        <v>0.99669373529303451</v>
      </c>
      <c r="V19" s="671">
        <f t="shared" si="27"/>
        <v>1.4485205918655519</v>
      </c>
      <c r="W19" s="671">
        <f>W18/AA18</f>
        <v>0.88994700000000015</v>
      </c>
      <c r="X19" s="583"/>
      <c r="Y19" s="832"/>
      <c r="AB19" s="445"/>
    </row>
    <row r="20" spans="2:36" ht="15.75" customHeight="1" thickBot="1" x14ac:dyDescent="0.45">
      <c r="B20" s="427"/>
      <c r="C20" s="427"/>
      <c r="D20" s="463"/>
      <c r="E20" s="1020">
        <f>53337.25-W18</f>
        <v>-59.569999999999709</v>
      </c>
      <c r="I20" s="968" t="s">
        <v>68</v>
      </c>
      <c r="J20" s="969"/>
      <c r="K20" s="970">
        <f t="shared" ref="K20:W20" si="28">K105</f>
        <v>3727.1302000000001</v>
      </c>
      <c r="L20" s="970">
        <f t="shared" si="28"/>
        <v>2311.4742000000001</v>
      </c>
      <c r="M20" s="970">
        <f t="shared" si="28"/>
        <v>5247.6270000000004</v>
      </c>
      <c r="N20" s="970">
        <f t="shared" si="28"/>
        <v>2121.6662999999999</v>
      </c>
      <c r="O20" s="970">
        <f t="shared" si="28"/>
        <v>3103.0461</v>
      </c>
      <c r="P20" s="970">
        <f t="shared" si="28"/>
        <v>2515.9335000000001</v>
      </c>
      <c r="Q20" s="970">
        <f t="shared" si="28"/>
        <v>2034.5935999999999</v>
      </c>
      <c r="R20" s="970">
        <f t="shared" si="28"/>
        <v>4291.4920999999995</v>
      </c>
      <c r="S20" s="970">
        <f t="shared" si="28"/>
        <v>2113.0540000000001</v>
      </c>
      <c r="T20" s="970">
        <f t="shared" si="28"/>
        <v>2583.0620000000004</v>
      </c>
      <c r="U20" s="970">
        <f t="shared" si="28"/>
        <v>3397.5798</v>
      </c>
      <c r="V20" s="970">
        <f t="shared" si="28"/>
        <v>5010.0094000000008</v>
      </c>
      <c r="W20" s="971">
        <f t="shared" si="28"/>
        <v>38456.668200000007</v>
      </c>
      <c r="X20" s="583">
        <f>W20/AB3</f>
        <v>3204.7223500000005</v>
      </c>
      <c r="Y20" s="832"/>
      <c r="AB20" s="445"/>
      <c r="AD20" s="469" t="s">
        <v>70</v>
      </c>
      <c r="AE20" s="469"/>
      <c r="AF20" s="469" t="s">
        <v>71</v>
      </c>
      <c r="AG20" s="469" t="s">
        <v>72</v>
      </c>
      <c r="AH20" s="469" t="s">
        <v>73</v>
      </c>
      <c r="AI20" s="469" t="s">
        <v>74</v>
      </c>
      <c r="AJ20" s="469" t="s">
        <v>75</v>
      </c>
    </row>
    <row r="21" spans="2:36" ht="13.9" customHeight="1" x14ac:dyDescent="0.4">
      <c r="B21" s="693"/>
      <c r="C21" s="693"/>
      <c r="D21" s="463"/>
      <c r="E21" s="933"/>
      <c r="F21" s="934"/>
      <c r="I21" s="46" t="s">
        <v>76</v>
      </c>
      <c r="J21" s="441"/>
      <c r="K21" s="918">
        <f t="shared" ref="K21:W21" si="29">K20/K18</f>
        <v>0.69607696732455815</v>
      </c>
      <c r="L21" s="918">
        <f t="shared" si="29"/>
        <v>0.81459349163724026</v>
      </c>
      <c r="M21" s="918">
        <f t="shared" si="29"/>
        <v>0.70007564235972153</v>
      </c>
      <c r="N21" s="918">
        <f t="shared" si="29"/>
        <v>0.64227328455486365</v>
      </c>
      <c r="O21" s="918">
        <f t="shared" si="29"/>
        <v>0.81779840764918743</v>
      </c>
      <c r="P21" s="918">
        <f t="shared" si="29"/>
        <v>0.88881829261830325</v>
      </c>
      <c r="Q21" s="918">
        <f t="shared" si="29"/>
        <v>0.72424023237270752</v>
      </c>
      <c r="R21" s="918">
        <f t="shared" si="29"/>
        <v>0.72581902777448903</v>
      </c>
      <c r="S21" s="918">
        <f t="shared" si="29"/>
        <v>0.82264813517091029</v>
      </c>
      <c r="T21" s="918">
        <f t="shared" si="29"/>
        <v>0.80334329583658604</v>
      </c>
      <c r="U21" s="918">
        <f t="shared" si="29"/>
        <v>0.67645836817584515</v>
      </c>
      <c r="V21" s="918">
        <f t="shared" si="29"/>
        <v>0.60712227007559338</v>
      </c>
      <c r="W21" s="918">
        <f t="shared" si="29"/>
        <v>0.72020521446782804</v>
      </c>
      <c r="X21" s="583"/>
      <c r="Y21" s="832"/>
      <c r="AB21" s="445"/>
    </row>
    <row r="22" spans="2:36" ht="14.25" customHeight="1" thickBot="1" x14ac:dyDescent="0.45">
      <c r="B22" s="693"/>
      <c r="C22" s="693"/>
      <c r="D22" s="463"/>
      <c r="E22" s="933"/>
      <c r="F22" s="934"/>
      <c r="I22" s="919" t="s">
        <v>77</v>
      </c>
      <c r="J22" s="920"/>
      <c r="K22" s="921">
        <f t="shared" ref="K22:V22" si="30">SUM((K108+K109)*-25%)+(K108+K109)+(K110+K111+K112+K113+K114+K115+K116)</f>
        <v>4189.4750000000004</v>
      </c>
      <c r="L22" s="921">
        <f t="shared" si="30"/>
        <v>2493.1849999999999</v>
      </c>
      <c r="M22" s="921">
        <f t="shared" si="30"/>
        <v>5977.8</v>
      </c>
      <c r="N22" s="921">
        <f t="shared" si="30"/>
        <v>2547.2775000000001</v>
      </c>
      <c r="O22" s="921">
        <f t="shared" si="30"/>
        <v>3426.89</v>
      </c>
      <c r="P22" s="921">
        <f t="shared" si="30"/>
        <v>2224.65</v>
      </c>
      <c r="Q22" s="921">
        <f t="shared" si="30"/>
        <v>2450.0699999999997</v>
      </c>
      <c r="R22" s="921">
        <f t="shared" si="30"/>
        <v>4789.8225000000002</v>
      </c>
      <c r="S22" s="921">
        <f t="shared" si="30"/>
        <v>1993.9499999999998</v>
      </c>
      <c r="T22" s="921">
        <f t="shared" si="30"/>
        <v>2700.14</v>
      </c>
      <c r="U22" s="921">
        <f t="shared" si="30"/>
        <v>4200.9949999999999</v>
      </c>
      <c r="V22" s="921">
        <f t="shared" si="30"/>
        <v>6561.5450000000001</v>
      </c>
      <c r="W22" s="921">
        <f>SUM((W108+W109)*-30%)+(W108+W109)+(W110+W111+W112+W113+W114+W115+W116)</f>
        <v>41587.595999999998</v>
      </c>
      <c r="X22" s="583">
        <f>W22/AB3</f>
        <v>3465.6329999999998</v>
      </c>
      <c r="Y22" s="832"/>
      <c r="AB22" s="445"/>
    </row>
    <row r="23" spans="2:36" ht="13.9" customHeight="1" x14ac:dyDescent="0.4">
      <c r="B23" s="693" t="s">
        <v>1285</v>
      </c>
      <c r="C23" s="693" t="s">
        <v>123</v>
      </c>
      <c r="D23" s="463" t="s">
        <v>1286</v>
      </c>
      <c r="E23" s="933">
        <v>250</v>
      </c>
      <c r="F23" s="934">
        <v>45047</v>
      </c>
      <c r="I23" s="922" t="s">
        <v>79</v>
      </c>
      <c r="J23" s="923"/>
      <c r="K23" s="925">
        <f t="shared" ref="K23:W23" si="31">K22/K18</f>
        <v>0.78242425034737284</v>
      </c>
      <c r="L23" s="925">
        <f t="shared" si="31"/>
        <v>0.87863073464008068</v>
      </c>
      <c r="M23" s="925">
        <f t="shared" si="31"/>
        <v>0.79748659249179543</v>
      </c>
      <c r="N23" s="925">
        <f t="shared" si="31"/>
        <v>0.77111480094570095</v>
      </c>
      <c r="O23" s="925">
        <f t="shared" si="31"/>
        <v>0.90314648731416647</v>
      </c>
      <c r="P23" s="925">
        <f t="shared" si="31"/>
        <v>0.78591489587197283</v>
      </c>
      <c r="Q23" s="925">
        <f t="shared" si="31"/>
        <v>0.87213449709534097</v>
      </c>
      <c r="R23" s="925">
        <f t="shared" si="31"/>
        <v>0.81010152859476858</v>
      </c>
      <c r="S23" s="925">
        <f t="shared" si="31"/>
        <v>0.77627890679747713</v>
      </c>
      <c r="T23" s="925">
        <f t="shared" si="31"/>
        <v>0.83975505304177722</v>
      </c>
      <c r="U23" s="925">
        <f t="shared" si="31"/>
        <v>0.83641838888225217</v>
      </c>
      <c r="V23" s="925">
        <f t="shared" si="31"/>
        <v>0.7951402437694346</v>
      </c>
      <c r="W23" s="924">
        <f t="shared" si="31"/>
        <v>0.77884031296245726</v>
      </c>
      <c r="X23" s="583"/>
      <c r="Y23" s="832"/>
      <c r="AB23" s="445"/>
    </row>
    <row r="24" spans="2:36" ht="13.9" customHeight="1" x14ac:dyDescent="0.4">
      <c r="B24" s="693"/>
      <c r="C24" s="693"/>
      <c r="D24" s="463"/>
      <c r="E24" s="697"/>
      <c r="F24" s="934"/>
      <c r="I24" s="446" t="s">
        <v>82</v>
      </c>
      <c r="J24" s="850" t="s">
        <v>1287</v>
      </c>
      <c r="K24" s="917">
        <f t="shared" ref="K24:W24" si="32">IFERROR((K18-K27)/K27,0)</f>
        <v>-0.71456124255481568</v>
      </c>
      <c r="L24" s="917">
        <f t="shared" si="32"/>
        <v>-6.2948286110560692E-2</v>
      </c>
      <c r="M24" s="917">
        <f t="shared" si="32"/>
        <v>0.29940505907804954</v>
      </c>
      <c r="N24" s="917">
        <f t="shared" si="32"/>
        <v>-0.55729404685483475</v>
      </c>
      <c r="O24" s="917">
        <f t="shared" si="32"/>
        <v>-0.27995407664645672</v>
      </c>
      <c r="P24" s="917">
        <f t="shared" si="32"/>
        <v>0.27334682860998655</v>
      </c>
      <c r="Q24" s="917">
        <f t="shared" si="32"/>
        <v>0.12328964309419664</v>
      </c>
      <c r="R24" s="917">
        <f t="shared" si="32"/>
        <v>1.1144062796144976</v>
      </c>
      <c r="S24" s="917">
        <f t="shared" si="32"/>
        <v>-0.34617264341132631</v>
      </c>
      <c r="T24" s="917">
        <f t="shared" si="32"/>
        <v>0.34591460862285472</v>
      </c>
      <c r="U24" s="917">
        <f t="shared" si="32"/>
        <v>0.40376472561103444</v>
      </c>
      <c r="V24" s="917">
        <f t="shared" si="32"/>
        <v>1.2769391229488518</v>
      </c>
      <c r="W24" s="917">
        <f t="shared" si="32"/>
        <v>-0.12931004963228288</v>
      </c>
      <c r="X24" s="583"/>
      <c r="Y24" s="585"/>
      <c r="Z24" s="45" t="s">
        <v>84</v>
      </c>
      <c r="AB24" s="817">
        <f>SUM(O18+P18+Q18+R18+S18+T18)/6</f>
        <v>3521.8216666666663</v>
      </c>
    </row>
    <row r="25" spans="2:36" ht="13.9" customHeight="1" x14ac:dyDescent="0.4">
      <c r="B25" s="693"/>
      <c r="C25" s="693"/>
      <c r="D25" s="463"/>
      <c r="E25" s="697"/>
      <c r="F25" s="934"/>
      <c r="I25" s="446"/>
      <c r="J25" s="441"/>
      <c r="V25" s="432">
        <v>4785</v>
      </c>
      <c r="W25" s="432">
        <f>V18-V25</f>
        <v>3467.0599999999995</v>
      </c>
      <c r="X25" s="583"/>
      <c r="Y25" s="585"/>
      <c r="Z25" s="45"/>
      <c r="AB25" s="817"/>
    </row>
    <row r="26" spans="2:36" ht="13.9" customHeight="1" x14ac:dyDescent="0.4">
      <c r="B26" s="693"/>
      <c r="C26" s="693"/>
      <c r="D26" s="463"/>
      <c r="E26" s="697"/>
      <c r="F26" s="934"/>
      <c r="I26" s="446"/>
      <c r="J26" s="441"/>
      <c r="N26" s="454"/>
      <c r="P26" s="454"/>
      <c r="Q26" s="454"/>
      <c r="R26" s="454"/>
      <c r="S26" s="454"/>
      <c r="T26" s="454"/>
      <c r="U26" s="454"/>
      <c r="V26" s="454"/>
      <c r="W26" s="432"/>
      <c r="X26" s="583">
        <f t="array" ref="X26">SUM((K18:V18)-(K27:V27))</f>
        <v>-7930.2000000000007</v>
      </c>
      <c r="Y26" s="585">
        <f t="shared" ref="Y26:Y35" si="33">X26/W27</f>
        <v>-0.12931004963228279</v>
      </c>
      <c r="Z26" s="45"/>
      <c r="AB26" s="817"/>
    </row>
    <row r="27" spans="2:36" ht="13.9" customHeight="1" x14ac:dyDescent="0.4">
      <c r="D27" s="463"/>
      <c r="E27" s="697"/>
      <c r="F27" s="934"/>
      <c r="I27" s="541" t="s">
        <v>105</v>
      </c>
      <c r="J27" s="584" t="s">
        <v>30</v>
      </c>
      <c r="K27" s="558">
        <v>18758.77</v>
      </c>
      <c r="L27" s="558">
        <v>3028.2</v>
      </c>
      <c r="M27" s="558">
        <v>5768.64</v>
      </c>
      <c r="N27" s="558">
        <v>7461.77</v>
      </c>
      <c r="O27" s="558">
        <v>5269.6500000000005</v>
      </c>
      <c r="P27" s="558">
        <v>2223</v>
      </c>
      <c r="Q27" s="558">
        <v>2500.94</v>
      </c>
      <c r="R27" s="558">
        <v>2796.35</v>
      </c>
      <c r="S27" s="558">
        <v>3928.56</v>
      </c>
      <c r="T27" s="558">
        <v>2389</v>
      </c>
      <c r="U27" s="558">
        <v>3577.95</v>
      </c>
      <c r="V27" s="558">
        <v>3624.19</v>
      </c>
      <c r="W27" s="431">
        <f t="shared" ref="W27:W36" si="34">SUM(K27:V27)</f>
        <v>61327.020000000004</v>
      </c>
      <c r="X27" s="583">
        <f t="shared" ref="X27:X35" si="35">W27-W28</f>
        <v>-8338.9499999999971</v>
      </c>
      <c r="Y27" s="585">
        <f t="shared" si="33"/>
        <v>-0.11969904388039092</v>
      </c>
      <c r="Z27" s="45"/>
      <c r="AB27" s="817"/>
    </row>
    <row r="28" spans="2:36" ht="13.9" customHeight="1" x14ac:dyDescent="0.4">
      <c r="D28" s="463"/>
      <c r="E28" s="751"/>
      <c r="F28" s="934"/>
      <c r="I28" s="541" t="s">
        <v>106</v>
      </c>
      <c r="J28" s="584" t="s">
        <v>33</v>
      </c>
      <c r="K28" s="558">
        <v>1633</v>
      </c>
      <c r="L28" s="558">
        <v>3730.19</v>
      </c>
      <c r="M28" s="558">
        <v>18208.68</v>
      </c>
      <c r="N28" s="558">
        <v>3783</v>
      </c>
      <c r="O28" s="558">
        <v>3750.38</v>
      </c>
      <c r="P28" s="558">
        <v>4858.6000000000004</v>
      </c>
      <c r="Q28" s="558">
        <v>3785.35</v>
      </c>
      <c r="R28" s="558">
        <v>7391.76</v>
      </c>
      <c r="S28" s="558">
        <v>5355.23</v>
      </c>
      <c r="T28" s="558">
        <v>5201</v>
      </c>
      <c r="U28" s="558">
        <v>4340.0200000000004</v>
      </c>
      <c r="V28" s="558">
        <v>7628.76</v>
      </c>
      <c r="W28" s="431">
        <f t="shared" si="34"/>
        <v>69665.97</v>
      </c>
      <c r="X28" s="583">
        <f t="shared" si="35"/>
        <v>14664.073076923072</v>
      </c>
      <c r="Y28" s="585">
        <f t="shared" si="33"/>
        <v>0.26661031523024664</v>
      </c>
      <c r="Z28" s="45"/>
      <c r="AB28" s="817"/>
    </row>
    <row r="29" spans="2:36" ht="13.9" customHeight="1" x14ac:dyDescent="0.4">
      <c r="D29" s="463"/>
      <c r="E29" s="751"/>
      <c r="I29" s="541" t="s">
        <v>108</v>
      </c>
      <c r="J29" s="584" t="s">
        <v>39</v>
      </c>
      <c r="K29" s="558">
        <v>7647.85</v>
      </c>
      <c r="L29" s="558">
        <v>5051.6400000000003</v>
      </c>
      <c r="M29" s="558">
        <v>4783.7469230769229</v>
      </c>
      <c r="N29" s="558">
        <v>1598.35</v>
      </c>
      <c r="O29" s="558">
        <v>1786.66</v>
      </c>
      <c r="P29" s="558">
        <v>6854.62</v>
      </c>
      <c r="Q29" s="558">
        <v>2667</v>
      </c>
      <c r="R29" s="558">
        <v>11694.07</v>
      </c>
      <c r="S29" s="558">
        <v>4126.62</v>
      </c>
      <c r="T29" s="558">
        <v>2423.69</v>
      </c>
      <c r="U29" s="558">
        <v>3332.58</v>
      </c>
      <c r="V29" s="558">
        <v>3035.07</v>
      </c>
      <c r="W29" s="431">
        <f t="shared" si="34"/>
        <v>55001.896923076929</v>
      </c>
      <c r="X29" s="583">
        <f t="shared" si="35"/>
        <v>-10181.033076923071</v>
      </c>
      <c r="Y29" s="585">
        <f t="shared" si="33"/>
        <v>-0.15619170658519141</v>
      </c>
      <c r="Z29" s="45"/>
      <c r="AB29" s="817"/>
    </row>
    <row r="30" spans="2:36" ht="13.9" customHeight="1" x14ac:dyDescent="0.4">
      <c r="B30" s="427"/>
      <c r="C30" s="427"/>
      <c r="D30" s="463"/>
      <c r="E30" s="751"/>
      <c r="F30" s="763"/>
      <c r="G30" s="427"/>
      <c r="I30" s="541" t="s">
        <v>109</v>
      </c>
      <c r="J30" s="584" t="s">
        <v>43</v>
      </c>
      <c r="K30" s="558">
        <v>5891.07</v>
      </c>
      <c r="L30" s="558">
        <v>2739.5</v>
      </c>
      <c r="M30" s="558">
        <v>4414.5</v>
      </c>
      <c r="N30" s="558">
        <v>5147.5</v>
      </c>
      <c r="O30" s="558">
        <v>6878</v>
      </c>
      <c r="P30" s="558">
        <v>4875.34</v>
      </c>
      <c r="Q30" s="558">
        <v>5769.97</v>
      </c>
      <c r="R30" s="558">
        <v>7463.89</v>
      </c>
      <c r="S30" s="558">
        <v>6034.39</v>
      </c>
      <c r="T30" s="558">
        <v>4573.58</v>
      </c>
      <c r="U30" s="558">
        <v>5973.75</v>
      </c>
      <c r="V30" s="558">
        <v>5421.4400000000014</v>
      </c>
      <c r="W30" s="431">
        <f t="shared" si="34"/>
        <v>65182.93</v>
      </c>
      <c r="X30" s="583">
        <f t="shared" si="35"/>
        <v>-3418.8049999999857</v>
      </c>
      <c r="Y30" s="585">
        <f t="shared" si="33"/>
        <v>-4.983554716218163E-2</v>
      </c>
      <c r="Z30" s="45" t="s">
        <v>110</v>
      </c>
      <c r="AB30" s="817">
        <f>SUM(U27+V27+K18+L18+M18+N18)/6</f>
        <v>4365.5616666666665</v>
      </c>
    </row>
    <row r="31" spans="2:36" ht="13.9" customHeight="1" x14ac:dyDescent="0.4">
      <c r="B31" s="427"/>
      <c r="C31" s="427"/>
      <c r="E31" s="751"/>
      <c r="F31" s="763"/>
      <c r="I31" s="541" t="s">
        <v>115</v>
      </c>
      <c r="J31" s="46" t="s">
        <v>46</v>
      </c>
      <c r="K31" s="558">
        <v>8277.4700000000012</v>
      </c>
      <c r="L31" s="558">
        <v>10607.11</v>
      </c>
      <c r="M31" s="558">
        <v>7155.05</v>
      </c>
      <c r="N31" s="558">
        <v>4371.0150000000003</v>
      </c>
      <c r="O31" s="558">
        <v>4002.63</v>
      </c>
      <c r="P31" s="558">
        <v>3243.6</v>
      </c>
      <c r="Q31" s="558">
        <v>2859.03</v>
      </c>
      <c r="R31" s="558">
        <v>4792.59</v>
      </c>
      <c r="S31" s="558">
        <v>6443.88</v>
      </c>
      <c r="T31" s="558">
        <v>3908.03</v>
      </c>
      <c r="U31" s="558">
        <v>8299.08</v>
      </c>
      <c r="V31" s="558">
        <v>4642.25</v>
      </c>
      <c r="W31" s="431">
        <f t="shared" si="34"/>
        <v>68601.734999999986</v>
      </c>
      <c r="X31" s="583">
        <f t="shared" si="35"/>
        <v>-8066.4350000000122</v>
      </c>
      <c r="Y31" s="585">
        <f t="shared" si="33"/>
        <v>-0.10521230648912075</v>
      </c>
      <c r="AB31" s="445">
        <f>SUM(AB24-AB30)/AB24</f>
        <v>-0.23957487909902697</v>
      </c>
      <c r="AD31" s="470"/>
      <c r="AE31" s="470"/>
      <c r="AF31" s="471"/>
      <c r="AG31" s="471"/>
      <c r="AH31" s="472"/>
      <c r="AI31" s="472"/>
      <c r="AJ31" s="474"/>
    </row>
    <row r="32" spans="2:36" ht="15" customHeight="1" x14ac:dyDescent="0.4">
      <c r="B32" s="427"/>
      <c r="C32" s="427"/>
      <c r="D32" s="548"/>
      <c r="E32" s="751"/>
      <c r="F32" s="763"/>
      <c r="I32" s="440" t="s">
        <v>116</v>
      </c>
      <c r="J32" s="46" t="s">
        <v>49</v>
      </c>
      <c r="K32" s="558">
        <v>3203.5</v>
      </c>
      <c r="L32" s="558">
        <v>6685</v>
      </c>
      <c r="M32" s="558">
        <v>6242.83</v>
      </c>
      <c r="N32" s="558">
        <v>6063.17</v>
      </c>
      <c r="O32" s="558">
        <v>5851.71</v>
      </c>
      <c r="P32" s="558">
        <v>5479.93</v>
      </c>
      <c r="Q32" s="558">
        <v>3603.81</v>
      </c>
      <c r="R32" s="558">
        <v>4658.8500000000004</v>
      </c>
      <c r="S32" s="558">
        <v>10821.67</v>
      </c>
      <c r="T32" s="558">
        <v>9224.58</v>
      </c>
      <c r="U32" s="558">
        <v>10504.09</v>
      </c>
      <c r="V32" s="558">
        <v>4329.0300000000007</v>
      </c>
      <c r="W32" s="431">
        <f t="shared" si="34"/>
        <v>76668.17</v>
      </c>
      <c r="X32" s="583">
        <f t="shared" si="35"/>
        <v>19028.169999999998</v>
      </c>
      <c r="Y32" s="585">
        <f t="shared" si="33"/>
        <v>0.3301209229701596</v>
      </c>
      <c r="AA32" s="953" t="s">
        <v>1038</v>
      </c>
      <c r="AB32" s="954">
        <f>SUM((12-AB3)*AB18)+W18</f>
        <v>53396.82</v>
      </c>
      <c r="AD32" s="470"/>
      <c r="AE32" s="470"/>
      <c r="AF32" s="471"/>
      <c r="AG32" s="471"/>
      <c r="AH32" s="472"/>
      <c r="AI32" s="472"/>
      <c r="AJ32" s="474"/>
    </row>
    <row r="33" spans="2:28" ht="13.9" customHeight="1" x14ac:dyDescent="0.4">
      <c r="B33" s="427"/>
      <c r="C33" s="427"/>
      <c r="E33" s="751"/>
      <c r="F33" s="763"/>
      <c r="I33" s="440" t="s">
        <v>117</v>
      </c>
      <c r="J33" s="584" t="s">
        <v>52</v>
      </c>
      <c r="K33" s="558">
        <v>4537</v>
      </c>
      <c r="L33" s="558">
        <f>4583-264</f>
        <v>4319</v>
      </c>
      <c r="M33" s="558">
        <f>3935-213</f>
        <v>3722</v>
      </c>
      <c r="N33" s="558">
        <f>4947-396</f>
        <v>4551</v>
      </c>
      <c r="O33" s="558">
        <f>3911-293</f>
        <v>3618</v>
      </c>
      <c r="P33" s="558">
        <f>2992-213</f>
        <v>2779</v>
      </c>
      <c r="Q33" s="558">
        <f>2927-218</f>
        <v>2709</v>
      </c>
      <c r="R33" s="558">
        <f>7466-213</f>
        <v>7253</v>
      </c>
      <c r="S33" s="558">
        <f>4218-425</f>
        <v>3793</v>
      </c>
      <c r="T33" s="558">
        <f>10697-213</f>
        <v>10484</v>
      </c>
      <c r="U33" s="558">
        <f>5081-213</f>
        <v>4868</v>
      </c>
      <c r="V33" s="558">
        <f>5220-213</f>
        <v>5007</v>
      </c>
      <c r="W33" s="431">
        <f t="shared" si="34"/>
        <v>57640</v>
      </c>
      <c r="X33" s="583">
        <f t="shared" si="35"/>
        <v>-1429</v>
      </c>
      <c r="Y33" s="585">
        <f t="shared" si="33"/>
        <v>-2.4192046589581677E-2</v>
      </c>
      <c r="Z33" s="445"/>
      <c r="AA33" s="771"/>
      <c r="AB33" s="799"/>
    </row>
    <row r="34" spans="2:28" ht="13.9" customHeight="1" x14ac:dyDescent="0.4">
      <c r="B34" s="427" t="s">
        <v>64</v>
      </c>
      <c r="C34" s="427" t="s">
        <v>65</v>
      </c>
      <c r="D34" s="548" t="s">
        <v>66</v>
      </c>
      <c r="E34" s="751"/>
      <c r="F34" s="763" t="s">
        <v>67</v>
      </c>
      <c r="I34" s="440" t="s">
        <v>118</v>
      </c>
      <c r="J34" s="45" t="s">
        <v>55</v>
      </c>
      <c r="K34" s="558">
        <v>3710</v>
      </c>
      <c r="L34" s="558">
        <v>3750</v>
      </c>
      <c r="M34" s="558">
        <v>7113</v>
      </c>
      <c r="N34" s="558">
        <f>3928-213</f>
        <v>3715</v>
      </c>
      <c r="O34" s="558">
        <f>2501-213</f>
        <v>2288</v>
      </c>
      <c r="P34" s="558">
        <f>3468-213</f>
        <v>3255</v>
      </c>
      <c r="Q34" s="558">
        <f>1986-224</f>
        <v>1762</v>
      </c>
      <c r="R34" s="558">
        <f>4145-212</f>
        <v>3933</v>
      </c>
      <c r="S34" s="558">
        <f>8518-212</f>
        <v>8306</v>
      </c>
      <c r="T34" s="558">
        <f>5829-424</f>
        <v>5405</v>
      </c>
      <c r="U34" s="558">
        <f>3816-212</f>
        <v>3604</v>
      </c>
      <c r="V34" s="558">
        <f>12440-212</f>
        <v>12228</v>
      </c>
      <c r="W34" s="431">
        <f t="shared" si="34"/>
        <v>59069</v>
      </c>
      <c r="X34" s="583">
        <f t="shared" si="35"/>
        <v>8447</v>
      </c>
      <c r="Y34" s="585">
        <f t="shared" si="33"/>
        <v>0.16686420923709058</v>
      </c>
      <c r="Z34" s="445"/>
      <c r="AA34" s="445"/>
      <c r="AB34" s="45" t="s">
        <v>119</v>
      </c>
    </row>
    <row r="35" spans="2:28" ht="13.9" customHeight="1" x14ac:dyDescent="0.4">
      <c r="B35" s="427"/>
      <c r="C35" s="427"/>
      <c r="D35" s="470"/>
      <c r="E35" s="751"/>
      <c r="F35" s="462"/>
      <c r="I35" s="440" t="s">
        <v>120</v>
      </c>
      <c r="J35" s="45" t="s">
        <v>58</v>
      </c>
      <c r="K35" s="558">
        <f>4439-1260</f>
        <v>3179</v>
      </c>
      <c r="L35" s="558">
        <f>3071-197</f>
        <v>2874</v>
      </c>
      <c r="M35" s="558">
        <f>4958-132</f>
        <v>4826</v>
      </c>
      <c r="N35" s="558">
        <f>3585-132</f>
        <v>3453</v>
      </c>
      <c r="O35" s="558">
        <f>5008-33</f>
        <v>4975</v>
      </c>
      <c r="P35" s="558">
        <v>3386</v>
      </c>
      <c r="Q35" s="558">
        <v>3633</v>
      </c>
      <c r="R35" s="558">
        <v>3855</v>
      </c>
      <c r="S35" s="558">
        <v>6440</v>
      </c>
      <c r="T35" s="558">
        <v>3536</v>
      </c>
      <c r="U35" s="558">
        <v>2851</v>
      </c>
      <c r="V35" s="558">
        <v>7614</v>
      </c>
      <c r="W35" s="431">
        <f t="shared" si="34"/>
        <v>50622</v>
      </c>
      <c r="X35" s="583">
        <f t="shared" si="35"/>
        <v>41228</v>
      </c>
      <c r="Y35" s="585">
        <f t="shared" si="33"/>
        <v>4.3887587822014051</v>
      </c>
    </row>
    <row r="36" spans="2:28" ht="13.9" customHeight="1" x14ac:dyDescent="0.4">
      <c r="B36" s="427" t="s">
        <v>1288</v>
      </c>
      <c r="C36" s="427" t="s">
        <v>65</v>
      </c>
      <c r="D36" s="548"/>
      <c r="E36" s="751"/>
      <c r="F36" s="763"/>
      <c r="I36" s="541" t="s">
        <v>121</v>
      </c>
      <c r="J36" s="45" t="s">
        <v>61</v>
      </c>
      <c r="K36" s="558"/>
      <c r="L36" s="558"/>
      <c r="M36" s="558"/>
      <c r="N36" s="558"/>
      <c r="O36" s="558"/>
      <c r="P36" s="558"/>
      <c r="Q36" s="558"/>
      <c r="R36" s="558"/>
      <c r="S36" s="558"/>
      <c r="T36" s="558"/>
      <c r="U36" s="558">
        <f>3346-338</f>
        <v>3008</v>
      </c>
      <c r="V36" s="558">
        <f>6776-390</f>
        <v>6386</v>
      </c>
      <c r="W36" s="431">
        <f t="shared" si="34"/>
        <v>9394</v>
      </c>
    </row>
    <row r="37" spans="2:28" ht="13.9" customHeight="1" x14ac:dyDescent="0.4">
      <c r="B37" s="427" t="s">
        <v>78</v>
      </c>
      <c r="C37" s="427" t="s">
        <v>65</v>
      </c>
      <c r="D37" s="45"/>
      <c r="E37" s="751"/>
      <c r="F37" s="763"/>
      <c r="X37" s="45" t="s">
        <v>122</v>
      </c>
      <c r="Y37" s="688">
        <f>W18-K27-L27-M27-N27-O27-P27-Q27-R27-S27-T27-U27-V27</f>
        <v>-7930.2000000000007</v>
      </c>
      <c r="Z37" s="835">
        <f>Y37/W18</f>
        <v>-0.14851446209718108</v>
      </c>
    </row>
    <row r="38" spans="2:28" ht="15" customHeight="1" x14ac:dyDescent="0.4">
      <c r="B38" s="427" t="s">
        <v>78</v>
      </c>
      <c r="C38" s="427" t="s">
        <v>65</v>
      </c>
      <c r="D38" s="45"/>
      <c r="E38" s="751"/>
      <c r="F38" s="763"/>
      <c r="I38" s="447" t="s">
        <v>123</v>
      </c>
      <c r="J38" s="448">
        <f ca="1">SUMIF($C2:E110,I38,$E2:$E78)</f>
        <v>250</v>
      </c>
      <c r="K38" s="558">
        <f t="shared" ref="K38:V38" si="36">AVERAGE(K27:K35)</f>
        <v>6315.2955555555563</v>
      </c>
      <c r="L38" s="558">
        <f t="shared" si="36"/>
        <v>4753.8488888888887</v>
      </c>
      <c r="M38" s="558">
        <f t="shared" si="36"/>
        <v>6914.9385470085481</v>
      </c>
      <c r="N38" s="558">
        <f t="shared" si="36"/>
        <v>4460.4227777777778</v>
      </c>
      <c r="O38" s="558">
        <f t="shared" si="36"/>
        <v>4268.8922222222218</v>
      </c>
      <c r="P38" s="558">
        <f t="shared" si="36"/>
        <v>4106.1211111111106</v>
      </c>
      <c r="Q38" s="558">
        <f t="shared" si="36"/>
        <v>3254.4555555555557</v>
      </c>
      <c r="R38" s="558">
        <f t="shared" si="36"/>
        <v>5982.0566666666673</v>
      </c>
      <c r="S38" s="558">
        <f t="shared" si="36"/>
        <v>6138.8166666666666</v>
      </c>
      <c r="T38" s="558">
        <f t="shared" si="36"/>
        <v>5238.32</v>
      </c>
      <c r="U38" s="558">
        <f t="shared" si="36"/>
        <v>5261.1633333333339</v>
      </c>
      <c r="V38" s="558">
        <f t="shared" si="36"/>
        <v>5947.7488888888893</v>
      </c>
      <c r="W38" s="449">
        <f>SUM(K38:V38)</f>
        <v>62642.080213675217</v>
      </c>
      <c r="X38" s="449" t="s">
        <v>1039</v>
      </c>
    </row>
    <row r="39" spans="2:28" ht="15" customHeight="1" x14ac:dyDescent="0.4">
      <c r="B39" s="427" t="s">
        <v>78</v>
      </c>
      <c r="C39" s="427" t="s">
        <v>65</v>
      </c>
      <c r="D39" s="45"/>
      <c r="E39" s="751"/>
      <c r="F39" s="763"/>
      <c r="I39" s="450" t="s">
        <v>65</v>
      </c>
      <c r="J39" s="451">
        <f ca="1">SUMIF($C2:E78,I39,$E2:$E78)</f>
        <v>1157.3400000000001</v>
      </c>
      <c r="L39" s="449"/>
      <c r="M39" s="449"/>
      <c r="N39" s="449"/>
      <c r="O39" s="449"/>
      <c r="P39" s="449"/>
      <c r="Q39" s="449"/>
      <c r="R39" s="449"/>
      <c r="S39" s="449"/>
      <c r="T39" s="449"/>
      <c r="U39" s="449"/>
      <c r="V39" s="449"/>
      <c r="W39" s="449"/>
      <c r="X39" s="449"/>
    </row>
    <row r="40" spans="2:28" ht="15.4" customHeight="1" thickBot="1" x14ac:dyDescent="0.45">
      <c r="E40" s="751"/>
      <c r="F40" s="763"/>
      <c r="I40" s="452" t="s">
        <v>1289</v>
      </c>
      <c r="J40" s="453">
        <f ca="1">SUM(J38:J39)</f>
        <v>1407.3400000000001</v>
      </c>
      <c r="K40" s="454"/>
      <c r="L40" s="454"/>
      <c r="M40" s="454"/>
      <c r="N40" s="454"/>
      <c r="O40" s="454"/>
      <c r="P40" s="454"/>
      <c r="Q40" s="454"/>
      <c r="R40" s="454"/>
      <c r="S40" s="454"/>
      <c r="T40" s="454"/>
      <c r="U40" s="795" t="s">
        <v>132</v>
      </c>
      <c r="V40" s="796"/>
      <c r="W40" s="688">
        <f>SUM(W27:W36)+W18</f>
        <v>626569.54192307685</v>
      </c>
      <c r="X40" s="454"/>
    </row>
    <row r="41" spans="2:28" ht="13.9" customHeight="1" thickBot="1" x14ac:dyDescent="0.4">
      <c r="B41" s="427" t="s">
        <v>80</v>
      </c>
      <c r="C41" s="427" t="s">
        <v>65</v>
      </c>
      <c r="D41" s="470"/>
      <c r="E41" s="751">
        <v>32.340000000000003</v>
      </c>
      <c r="F41" s="45" t="s">
        <v>81</v>
      </c>
      <c r="J41" s="454"/>
      <c r="K41" s="454"/>
      <c r="L41" s="454"/>
      <c r="M41" s="454"/>
      <c r="N41" s="454"/>
      <c r="O41" s="454"/>
      <c r="P41" s="454"/>
      <c r="Q41" s="454"/>
      <c r="R41" s="454"/>
      <c r="S41" s="454"/>
      <c r="T41" s="454"/>
      <c r="U41" s="795" t="s">
        <v>133</v>
      </c>
      <c r="V41" s="796"/>
      <c r="W41" s="558">
        <f>SUM(W27:W35)/10</f>
        <v>56377.872192307688</v>
      </c>
      <c r="X41" s="454"/>
    </row>
    <row r="42" spans="2:28" ht="13.9" customHeight="1" x14ac:dyDescent="0.4">
      <c r="B42" s="427" t="s">
        <v>85</v>
      </c>
      <c r="E42" s="751">
        <v>15</v>
      </c>
      <c r="F42" s="45" t="s">
        <v>86</v>
      </c>
      <c r="I42" s="455" t="s">
        <v>134</v>
      </c>
      <c r="J42" s="456">
        <f>W18</f>
        <v>53396.82</v>
      </c>
      <c r="K42" s="454">
        <f>SUM(E164:E629)-J42</f>
        <v>0</v>
      </c>
      <c r="L42" s="454"/>
      <c r="M42" s="454"/>
      <c r="N42" s="454"/>
      <c r="O42" s="454"/>
      <c r="P42" s="454"/>
      <c r="Q42" s="454"/>
      <c r="R42" s="454"/>
      <c r="S42" s="454"/>
      <c r="T42" s="454"/>
      <c r="U42" s="454"/>
      <c r="V42" s="454"/>
      <c r="W42" s="454"/>
      <c r="X42" s="454"/>
    </row>
    <row r="43" spans="2:28" ht="14.25" customHeight="1" thickBot="1" x14ac:dyDescent="0.45">
      <c r="B43" s="427"/>
      <c r="C43" s="427"/>
      <c r="D43" s="548"/>
      <c r="E43" s="751"/>
      <c r="F43" s="763"/>
      <c r="I43" s="457" t="s">
        <v>135</v>
      </c>
      <c r="J43" s="458">
        <f>J42-AA18</f>
        <v>-6603.179999999993</v>
      </c>
      <c r="K43" s="454"/>
      <c r="L43" s="454"/>
      <c r="M43" s="454"/>
      <c r="N43" s="454"/>
      <c r="O43" s="454"/>
      <c r="P43" s="454"/>
      <c r="Q43" s="454"/>
      <c r="R43" s="454"/>
      <c r="S43" s="454"/>
      <c r="T43" s="454"/>
      <c r="U43" s="454"/>
      <c r="V43" s="454"/>
      <c r="W43" s="454"/>
      <c r="X43" s="454"/>
    </row>
    <row r="44" spans="2:28" ht="13.5" customHeight="1" x14ac:dyDescent="0.35">
      <c r="B44" s="427"/>
      <c r="C44" s="427"/>
      <c r="D44" s="45"/>
      <c r="E44" s="751"/>
      <c r="F44" s="45"/>
      <c r="J44" s="454"/>
      <c r="K44" s="454"/>
      <c r="L44" s="454"/>
      <c r="M44" s="454"/>
      <c r="N44" s="454"/>
      <c r="O44" s="454"/>
      <c r="P44" s="454"/>
      <c r="Q44" s="454"/>
      <c r="R44" s="454"/>
      <c r="S44" s="454"/>
      <c r="T44" s="454"/>
      <c r="U44" s="454"/>
      <c r="V44" s="454"/>
      <c r="W44" s="454"/>
      <c r="X44" s="454"/>
    </row>
    <row r="45" spans="2:28" ht="13.5" customHeight="1" x14ac:dyDescent="0.35">
      <c r="C45" s="427"/>
      <c r="E45" s="751"/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454"/>
      <c r="V45" s="454"/>
      <c r="W45" s="454"/>
      <c r="X45" s="454"/>
    </row>
    <row r="46" spans="2:28" ht="13.9" customHeight="1" x14ac:dyDescent="0.4">
      <c r="B46" s="427" t="s">
        <v>87</v>
      </c>
      <c r="C46" s="427" t="s">
        <v>65</v>
      </c>
      <c r="D46" s="470"/>
      <c r="E46" s="751"/>
      <c r="F46" s="763"/>
      <c r="G46" s="287"/>
      <c r="I46" s="420" t="s">
        <v>140</v>
      </c>
      <c r="J46" s="557" t="s">
        <v>1290</v>
      </c>
      <c r="K46" s="577" t="s">
        <v>142</v>
      </c>
      <c r="L46" s="577" t="s">
        <v>143</v>
      </c>
      <c r="M46" s="577" t="s">
        <v>144</v>
      </c>
      <c r="N46" s="577" t="s">
        <v>145</v>
      </c>
      <c r="O46" s="577" t="s">
        <v>146</v>
      </c>
      <c r="P46" s="577" t="s">
        <v>147</v>
      </c>
      <c r="Q46" s="577" t="s">
        <v>148</v>
      </c>
      <c r="R46" s="577" t="s">
        <v>149</v>
      </c>
      <c r="S46" s="577" t="s">
        <v>150</v>
      </c>
      <c r="T46" s="577" t="s">
        <v>151</v>
      </c>
      <c r="U46" s="577" t="s">
        <v>152</v>
      </c>
      <c r="V46" s="577" t="s">
        <v>153</v>
      </c>
      <c r="W46" s="423" t="s">
        <v>19</v>
      </c>
    </row>
    <row r="47" spans="2:28" ht="13.5" customHeight="1" x14ac:dyDescent="0.35">
      <c r="B47" s="464"/>
      <c r="C47" s="427"/>
      <c r="D47" s="470"/>
      <c r="E47" s="751"/>
      <c r="F47" s="763"/>
      <c r="G47" s="287"/>
      <c r="I47" s="581" t="s">
        <v>28</v>
      </c>
      <c r="J47" s="431"/>
      <c r="K47" s="432">
        <f>K6-'Sales 2022'!K6</f>
        <v>1242.5</v>
      </c>
      <c r="L47" s="432">
        <f>L6-'Sales 2022'!L6</f>
        <v>-40</v>
      </c>
      <c r="M47" s="432">
        <f>M6-'Sales 2022'!M6</f>
        <v>1111.5</v>
      </c>
      <c r="N47" s="432">
        <f>N6-'Sales 2022'!N6</f>
        <v>280</v>
      </c>
      <c r="O47" s="432">
        <f>O6-'Sales 2022'!O6</f>
        <v>-100</v>
      </c>
      <c r="P47" s="432">
        <f>P6-'Sales 2022'!P6</f>
        <v>-280</v>
      </c>
      <c r="Q47" s="432">
        <f>Q6-'Sales 2022'!Q6</f>
        <v>230</v>
      </c>
      <c r="R47" s="432">
        <f>R6-'Sales 2022'!R6</f>
        <v>915</v>
      </c>
      <c r="S47" s="432">
        <f>S6-'Sales 2022'!S6</f>
        <v>558.75</v>
      </c>
      <c r="T47" s="432">
        <f>T6-'Sales 2022'!T6</f>
        <v>-1055</v>
      </c>
      <c r="U47" s="432">
        <f>U6-'Sales 2022'!U6</f>
        <v>-940</v>
      </c>
      <c r="V47" s="432">
        <f>V6-'Sales 2022'!V6</f>
        <v>-30</v>
      </c>
      <c r="W47" s="788">
        <f t="shared" ref="W47:W58" si="37">SUM(K47:V47)</f>
        <v>1892.75</v>
      </c>
      <c r="X47" s="445">
        <f>W47/'Sales 2022'!W6</f>
        <v>0.33566836621591667</v>
      </c>
      <c r="Z47" s="445"/>
    </row>
    <row r="48" spans="2:28" ht="13.5" customHeight="1" x14ac:dyDescent="0.35">
      <c r="B48" s="427" t="s">
        <v>89</v>
      </c>
      <c r="C48" s="427" t="s">
        <v>65</v>
      </c>
      <c r="D48" s="470"/>
      <c r="E48" s="751"/>
      <c r="F48" s="763"/>
      <c r="G48" s="287"/>
      <c r="I48" s="581" t="s">
        <v>1274</v>
      </c>
      <c r="J48" s="431"/>
      <c r="K48" s="432">
        <f>K7-'Sales 2022'!K7</f>
        <v>-767</v>
      </c>
      <c r="L48" s="432">
        <f>L7-'Sales 2022'!L7</f>
        <v>-1271</v>
      </c>
      <c r="M48" s="432">
        <f>M7-'Sales 2022'!M7</f>
        <v>-235.05000000000018</v>
      </c>
      <c r="N48" s="432">
        <f>N7-'Sales 2022'!N7</f>
        <v>-3891.45</v>
      </c>
      <c r="O48" s="432">
        <f>O7-'Sales 2022'!O7</f>
        <v>-2614.2600000000002</v>
      </c>
      <c r="P48" s="432">
        <f>P7-'Sales 2022'!P7</f>
        <v>297</v>
      </c>
      <c r="Q48" s="432">
        <f>Q7-'Sales 2022'!Q7</f>
        <v>-139</v>
      </c>
      <c r="R48" s="432">
        <f>R7-'Sales 2022'!R7</f>
        <v>-829.84999999999991</v>
      </c>
      <c r="S48" s="432">
        <f>S7-'Sales 2022'!S7</f>
        <v>-2119</v>
      </c>
      <c r="T48" s="432">
        <f>T7-'Sales 2022'!T7</f>
        <v>1303.5</v>
      </c>
      <c r="U48" s="432">
        <f>U7-'Sales 2022'!U7</f>
        <v>-1273.95</v>
      </c>
      <c r="V48" s="432">
        <f>V7-'Sales 2022'!V7</f>
        <v>-2127.25</v>
      </c>
      <c r="W48" s="788">
        <f t="shared" si="37"/>
        <v>-13667.310000000001</v>
      </c>
      <c r="X48" s="445">
        <f>W48/'Sales 2022'!W7</f>
        <v>-0.54416074654278435</v>
      </c>
      <c r="Z48" s="445"/>
    </row>
    <row r="49" spans="2:24" ht="13.5" customHeight="1" x14ac:dyDescent="0.35">
      <c r="B49" s="427"/>
      <c r="C49" s="427"/>
      <c r="D49" s="470"/>
      <c r="E49" s="751"/>
      <c r="F49" s="763"/>
      <c r="G49" s="287"/>
      <c r="I49" s="582" t="s">
        <v>1275</v>
      </c>
      <c r="J49" s="431"/>
      <c r="K49" s="432">
        <f t="shared" ref="K49:V49" si="38">K8</f>
        <v>2310</v>
      </c>
      <c r="L49" s="432">
        <f t="shared" si="38"/>
        <v>0</v>
      </c>
      <c r="M49" s="432">
        <f t="shared" si="38"/>
        <v>2505</v>
      </c>
      <c r="N49" s="432">
        <f t="shared" si="38"/>
        <v>1905</v>
      </c>
      <c r="O49" s="432">
        <f t="shared" si="38"/>
        <v>775</v>
      </c>
      <c r="P49" s="432">
        <f t="shared" si="38"/>
        <v>0</v>
      </c>
      <c r="Q49" s="432">
        <f t="shared" si="38"/>
        <v>695</v>
      </c>
      <c r="R49" s="432">
        <f t="shared" si="38"/>
        <v>2050</v>
      </c>
      <c r="S49" s="432">
        <f t="shared" si="38"/>
        <v>725</v>
      </c>
      <c r="T49" s="432">
        <f t="shared" si="38"/>
        <v>550</v>
      </c>
      <c r="U49" s="432">
        <f t="shared" si="38"/>
        <v>1622</v>
      </c>
      <c r="V49" s="432">
        <f t="shared" si="38"/>
        <v>3092</v>
      </c>
      <c r="W49" s="788">
        <f t="shared" si="37"/>
        <v>16229</v>
      </c>
      <c r="X49" s="445">
        <f>W49/'Sales 2022'!W8</f>
        <v>5.7366560622127958</v>
      </c>
    </row>
    <row r="50" spans="2:24" ht="13.5" customHeight="1" x14ac:dyDescent="0.35">
      <c r="C50" s="427"/>
      <c r="D50" s="470"/>
      <c r="E50" s="751"/>
      <c r="F50" s="763"/>
      <c r="I50" s="581" t="s">
        <v>1276</v>
      </c>
      <c r="J50" s="431"/>
      <c r="K50" s="432">
        <f>K9-'Sales 2022'!K8</f>
        <v>-250</v>
      </c>
      <c r="L50" s="432">
        <f>L9-'Sales 2022'!L8</f>
        <v>950</v>
      </c>
      <c r="M50" s="432">
        <f>M9-'Sales 2022'!M8</f>
        <v>-387.5</v>
      </c>
      <c r="N50" s="432">
        <f>N9-'Sales 2022'!N8</f>
        <v>-491.5</v>
      </c>
      <c r="O50" s="432">
        <f>O9-'Sales 2022'!O8</f>
        <v>-150</v>
      </c>
      <c r="P50" s="432">
        <f>P9-'Sales 2022'!P8</f>
        <v>-200</v>
      </c>
      <c r="Q50" s="432">
        <f>Q9-'Sales 2022'!Q8</f>
        <v>50</v>
      </c>
      <c r="R50" s="432">
        <f>R9-'Sales 2022'!R8</f>
        <v>-100</v>
      </c>
      <c r="S50" s="432">
        <f>S9-'Sales 2022'!S8</f>
        <v>-100</v>
      </c>
      <c r="T50" s="432">
        <f>T9-'Sales 2022'!T8</f>
        <v>150</v>
      </c>
      <c r="U50" s="432">
        <f>U9-'Sales 2022'!U8</f>
        <v>-100</v>
      </c>
      <c r="V50" s="432">
        <f>V9-'Sales 2022'!V8</f>
        <v>4250</v>
      </c>
      <c r="W50" s="788">
        <f t="shared" si="37"/>
        <v>3621</v>
      </c>
      <c r="X50" s="445">
        <f>W50/'Sales 2022'!W8</f>
        <v>1.2799575821845175</v>
      </c>
    </row>
    <row r="51" spans="2:24" ht="13.5" customHeight="1" x14ac:dyDescent="0.35">
      <c r="B51" s="427" t="s">
        <v>92</v>
      </c>
      <c r="C51" s="427" t="s">
        <v>65</v>
      </c>
      <c r="D51" s="548"/>
      <c r="E51" s="751" t="s">
        <v>1291</v>
      </c>
      <c r="F51" s="763" t="s">
        <v>93</v>
      </c>
      <c r="G51" s="48" t="s">
        <v>1292</v>
      </c>
      <c r="I51" s="581" t="s">
        <v>1277</v>
      </c>
      <c r="J51" s="431"/>
      <c r="K51" s="432">
        <f>K10-'Sales 2022'!K9</f>
        <v>437</v>
      </c>
      <c r="L51" s="432">
        <f>L10-'Sales 2022'!L9</f>
        <v>-350</v>
      </c>
      <c r="M51" s="432">
        <f>M10-'Sales 2022'!M9</f>
        <v>483</v>
      </c>
      <c r="N51" s="432">
        <f>N10-'Sales 2022'!N9</f>
        <v>-440.5</v>
      </c>
      <c r="O51" s="432">
        <f>O10-'Sales 2022'!O9</f>
        <v>-587</v>
      </c>
      <c r="P51" s="432">
        <f>P10-'Sales 2022'!P9</f>
        <v>10</v>
      </c>
      <c r="Q51" s="432">
        <f>Q10-'Sales 2022'!Q9</f>
        <v>-160</v>
      </c>
      <c r="R51" s="432">
        <f>R10-'Sales 2022'!R9</f>
        <v>0</v>
      </c>
      <c r="S51" s="432">
        <f>S10-'Sales 2022'!S9</f>
        <v>135</v>
      </c>
      <c r="T51" s="432">
        <f>T10-'Sales 2022'!T9</f>
        <v>-617.5</v>
      </c>
      <c r="U51" s="432">
        <f>U10-'Sales 2022'!U9</f>
        <v>0</v>
      </c>
      <c r="V51" s="432">
        <f>V10-'Sales 2022'!V9</f>
        <v>-1296</v>
      </c>
      <c r="W51" s="788">
        <f t="shared" si="37"/>
        <v>-2386</v>
      </c>
      <c r="X51" s="445">
        <f>W51/'Sales 2022'!W9</f>
        <v>1.471023427866831</v>
      </c>
    </row>
    <row r="52" spans="2:24" ht="13.9" customHeight="1" x14ac:dyDescent="0.4">
      <c r="B52" s="916"/>
      <c r="C52" s="701"/>
      <c r="D52" s="913"/>
      <c r="E52" s="914"/>
      <c r="F52" s="915"/>
      <c r="I52" s="581" t="s">
        <v>1278</v>
      </c>
      <c r="J52" s="431"/>
      <c r="K52" s="432">
        <f>K11-'Sales 2022'!K10</f>
        <v>-20</v>
      </c>
      <c r="L52" s="432">
        <f>L11-'Sales 2022'!L10</f>
        <v>-60</v>
      </c>
      <c r="M52" s="432">
        <f>M11-'Sales 2022'!M10</f>
        <v>0</v>
      </c>
      <c r="N52" s="432">
        <f>N11-'Sales 2022'!N10</f>
        <v>-20</v>
      </c>
      <c r="O52" s="432">
        <f>O11-'Sales 2022'!O10</f>
        <v>0</v>
      </c>
      <c r="P52" s="432">
        <f>P11-'Sales 2022'!P10</f>
        <v>-20</v>
      </c>
      <c r="Q52" s="432">
        <f>Q11-'Sales 2022'!Q10</f>
        <v>-40</v>
      </c>
      <c r="R52" s="432">
        <f>R11-'Sales 2022'!R10</f>
        <v>160</v>
      </c>
      <c r="S52" s="432">
        <f>S11-'Sales 2022'!S10</f>
        <v>-40</v>
      </c>
      <c r="T52" s="432">
        <f>T11-'Sales 2022'!T10</f>
        <v>-220</v>
      </c>
      <c r="U52" s="432">
        <f>U11-'Sales 2022'!U10</f>
        <v>-20</v>
      </c>
      <c r="V52" s="432">
        <f>V11-'Sales 2022'!V10</f>
        <v>220</v>
      </c>
      <c r="W52" s="788">
        <f t="shared" si="37"/>
        <v>-60</v>
      </c>
      <c r="X52" s="445">
        <f>W52/'Sales 2022'!W10</f>
        <v>-5.7692307692307696E-2</v>
      </c>
    </row>
    <row r="53" spans="2:24" ht="13.5" customHeight="1" x14ac:dyDescent="0.35">
      <c r="B53" s="427" t="s">
        <v>97</v>
      </c>
      <c r="C53" s="427" t="s">
        <v>65</v>
      </c>
      <c r="D53" s="548"/>
      <c r="E53" s="751">
        <v>150</v>
      </c>
      <c r="F53" s="763" t="s">
        <v>98</v>
      </c>
      <c r="G53" s="48" t="s">
        <v>1293</v>
      </c>
      <c r="I53" s="582" t="s">
        <v>1279</v>
      </c>
      <c r="J53" s="431"/>
      <c r="K53" s="432">
        <f>K12-'Sales 2022'!K11</f>
        <v>-16232</v>
      </c>
      <c r="L53" s="432">
        <f>L12-'Sales 2022'!L11</f>
        <v>470</v>
      </c>
      <c r="M53" s="432">
        <f>M12-'Sales 2022'!M11</f>
        <v>-923</v>
      </c>
      <c r="N53" s="432">
        <f>N12-'Sales 2022'!N11</f>
        <v>-796.8</v>
      </c>
      <c r="O53" s="432">
        <f>O12-'Sales 2022'!O11</f>
        <v>-373.35</v>
      </c>
      <c r="P53" s="432">
        <f>P12-'Sales 2022'!P11</f>
        <v>445</v>
      </c>
      <c r="Q53" s="432">
        <f>Q12-'Sales 2022'!Q11</f>
        <v>503.2</v>
      </c>
      <c r="R53" s="432">
        <f>R12-'Sales 2022'!R11</f>
        <v>595</v>
      </c>
      <c r="S53" s="432">
        <f>S12-'Sales 2022'!S11</f>
        <v>425</v>
      </c>
      <c r="T53" s="432">
        <f>T12-'Sales 2022'!T11</f>
        <v>125</v>
      </c>
      <c r="U53" s="432">
        <f>U12-'Sales 2022'!U11</f>
        <v>110</v>
      </c>
      <c r="V53" s="432">
        <f>V12-'Sales 2022'!V11</f>
        <v>640</v>
      </c>
      <c r="W53" s="788">
        <f t="shared" si="37"/>
        <v>-15011.949999999997</v>
      </c>
      <c r="X53" s="445">
        <f>W53/'Sales 2022'!W11</f>
        <v>-0.70794555044930541</v>
      </c>
    </row>
    <row r="54" spans="2:24" ht="13.9" customHeight="1" x14ac:dyDescent="0.4">
      <c r="B54" s="701"/>
      <c r="C54" s="701"/>
      <c r="D54" s="913"/>
      <c r="E54" s="914"/>
      <c r="F54" s="915"/>
      <c r="I54" s="582" t="s">
        <v>1280</v>
      </c>
      <c r="J54" s="431"/>
      <c r="K54" s="432">
        <f>K13-'Sales 2022'!K12</f>
        <v>0</v>
      </c>
      <c r="L54" s="432">
        <f>L13-'Sales 2022'!L12</f>
        <v>-200</v>
      </c>
      <c r="M54" s="432">
        <f>M13-'Sales 2022'!M12</f>
        <v>1050</v>
      </c>
      <c r="N54" s="432">
        <f>N13-'Sales 2022'!N12</f>
        <v>-425</v>
      </c>
      <c r="O54" s="432">
        <f>O13-'Sales 2022'!O12</f>
        <v>275</v>
      </c>
      <c r="P54" s="432">
        <f>P13-'Sales 2022'!P12</f>
        <v>-350</v>
      </c>
      <c r="Q54" s="432">
        <f>Q13-'Sales 2022'!Q12</f>
        <v>-275</v>
      </c>
      <c r="R54" s="432">
        <f>R13-'Sales 2022'!R12</f>
        <v>-25</v>
      </c>
      <c r="S54" s="432">
        <f>S13-'Sales 2022'!S12</f>
        <v>0</v>
      </c>
      <c r="T54" s="432">
        <f>T13-'Sales 2022'!T12</f>
        <v>0</v>
      </c>
      <c r="U54" s="432">
        <f>U13-'Sales 2022'!U12</f>
        <v>925</v>
      </c>
      <c r="V54" s="432">
        <f>V13-'Sales 2022'!V12</f>
        <v>90</v>
      </c>
      <c r="W54" s="788">
        <f t="shared" si="37"/>
        <v>1065</v>
      </c>
      <c r="X54" s="445">
        <f>W54/'Sales 2022'!W12</f>
        <v>0.39813084112149533</v>
      </c>
    </row>
    <row r="55" spans="2:24" ht="13.5" customHeight="1" x14ac:dyDescent="0.35">
      <c r="B55" s="427" t="s">
        <v>101</v>
      </c>
      <c r="C55" s="427" t="s">
        <v>65</v>
      </c>
      <c r="D55" s="470"/>
      <c r="E55" s="751"/>
      <c r="F55" s="763" t="s">
        <v>102</v>
      </c>
      <c r="I55" s="582" t="s">
        <v>1281</v>
      </c>
      <c r="J55" s="431"/>
      <c r="K55" s="432">
        <f>K14-'Sales 2022'!K13</f>
        <v>0</v>
      </c>
      <c r="L55" s="432">
        <f>L14-'Sales 2022'!L13</f>
        <v>30</v>
      </c>
      <c r="M55" s="432">
        <f>M14-'Sales 2022'!M13</f>
        <v>-190</v>
      </c>
      <c r="N55" s="432">
        <f>N14-'Sales 2022'!N13</f>
        <v>0</v>
      </c>
      <c r="O55" s="432">
        <f>O14-'Sales 2022'!O13</f>
        <v>65</v>
      </c>
      <c r="P55" s="432">
        <f>P14-'Sales 2022'!P13</f>
        <v>-60</v>
      </c>
      <c r="Q55" s="432">
        <f>Q14-'Sales 2022'!Q13</f>
        <v>-10</v>
      </c>
      <c r="R55" s="432">
        <f>R14-'Sales 2022'!R13</f>
        <v>75</v>
      </c>
      <c r="S55" s="432">
        <f>S14-'Sales 2022'!S13</f>
        <v>-450</v>
      </c>
      <c r="T55" s="432">
        <f>T14-'Sales 2022'!T13</f>
        <v>108</v>
      </c>
      <c r="U55" s="432">
        <f>U14-'Sales 2022'!U13</f>
        <v>50</v>
      </c>
      <c r="V55" s="432">
        <f>V14-'Sales 2022'!V13</f>
        <v>-50</v>
      </c>
      <c r="W55" s="788">
        <f t="shared" si="37"/>
        <v>-432</v>
      </c>
      <c r="X55" s="445">
        <f>W55/'Sales 2022'!W13</f>
        <v>0.44766839378238343</v>
      </c>
    </row>
    <row r="56" spans="2:24" ht="13.5" customHeight="1" x14ac:dyDescent="0.35">
      <c r="F56" s="763"/>
      <c r="I56" s="582" t="s">
        <v>1282</v>
      </c>
      <c r="J56" s="431"/>
      <c r="K56" s="432">
        <f>K15-'Sales 2022'!K14</f>
        <v>-394.78999999999996</v>
      </c>
      <c r="L56" s="432">
        <f>L15-'Sales 2022'!L14</f>
        <v>-11.620000000000005</v>
      </c>
      <c r="M56" s="432">
        <f>M15-'Sales 2022'!M14</f>
        <v>-754.79</v>
      </c>
      <c r="N56" s="432">
        <f>N15-'Sales 2022'!N14</f>
        <v>-182.14999999999998</v>
      </c>
      <c r="O56" s="432">
        <f>O15-'Sales 2022'!O14</f>
        <v>963.34999999999991</v>
      </c>
      <c r="P56" s="432">
        <f>P15-'Sales 2022'!P14</f>
        <v>266.64999999999998</v>
      </c>
      <c r="Q56" s="432">
        <f>Q15-'Sales 2022'!Q14</f>
        <v>-387.3</v>
      </c>
      <c r="R56" s="432">
        <f>R15-'Sales 2022'!R14</f>
        <v>44.19</v>
      </c>
      <c r="S56" s="432">
        <f>S15-'Sales 2022'!S14</f>
        <v>-84.710000000000008</v>
      </c>
      <c r="T56" s="432">
        <f>T15-'Sales 2022'!T14</f>
        <v>35</v>
      </c>
      <c r="U56" s="432">
        <f>U15-'Sales 2022'!U14</f>
        <v>98.42</v>
      </c>
      <c r="V56" s="432">
        <f>V15-'Sales 2022'!V14</f>
        <v>27.120000000000005</v>
      </c>
      <c r="W56" s="788">
        <f t="shared" si="37"/>
        <v>-380.63000000000005</v>
      </c>
      <c r="X56" s="445">
        <f>W56/'Sales 2022'!W14</f>
        <v>-0.14352509982994036</v>
      </c>
    </row>
    <row r="57" spans="2:24" ht="13.5" customHeight="1" x14ac:dyDescent="0.35">
      <c r="B57" s="427"/>
      <c r="C57" s="427"/>
      <c r="D57" s="470"/>
      <c r="E57" s="751"/>
      <c r="I57" s="582" t="s">
        <v>1283</v>
      </c>
      <c r="J57" s="431"/>
      <c r="K57" s="432">
        <f>K16-'Sales 2022'!K15</f>
        <v>254</v>
      </c>
      <c r="L57" s="432">
        <f>L16-'Sales 2022'!L15</f>
        <v>300</v>
      </c>
      <c r="M57" s="432">
        <f>M16-'Sales 2022'!M15</f>
        <v>-925</v>
      </c>
      <c r="N57" s="432">
        <f>N16-'Sales 2022'!N15</f>
        <v>-56</v>
      </c>
      <c r="O57" s="432">
        <f>O16-'Sales 2022'!O15</f>
        <v>295</v>
      </c>
      <c r="P57" s="432">
        <f>P16-'Sales 2022'!P15</f>
        <v>520</v>
      </c>
      <c r="Q57" s="432">
        <f>Q16-'Sales 2022'!Q15</f>
        <v>-175</v>
      </c>
      <c r="R57" s="432">
        <f>R16-'Sales 2022'!R15</f>
        <v>175</v>
      </c>
      <c r="S57" s="432">
        <f>S16-'Sales 2022'!S15</f>
        <v>-400</v>
      </c>
      <c r="T57" s="432">
        <f>T16-'Sales 2022'!T15</f>
        <v>425</v>
      </c>
      <c r="U57" s="432">
        <f>U16-'Sales 2022'!U15</f>
        <v>990</v>
      </c>
      <c r="V57" s="432">
        <f>V16-'Sales 2022'!V15</f>
        <v>-150</v>
      </c>
      <c r="W57" s="788">
        <f t="shared" si="37"/>
        <v>1253</v>
      </c>
      <c r="X57" s="445">
        <f>W57/'Sales 2022'!W15</f>
        <v>0.55763239875389403</v>
      </c>
    </row>
    <row r="58" spans="2:24" ht="13.9" customHeight="1" thickBot="1" x14ac:dyDescent="0.4">
      <c r="B58" s="427"/>
      <c r="C58" s="427"/>
      <c r="D58" s="470"/>
      <c r="E58" s="751"/>
      <c r="F58" s="427"/>
      <c r="I58" s="582" t="s">
        <v>1284</v>
      </c>
      <c r="J58" s="431"/>
      <c r="K58" s="432">
        <f>K17-'Sales 2022'!K16</f>
        <v>16</v>
      </c>
      <c r="L58" s="432">
        <f>L17-'Sales 2022'!L16</f>
        <v>-8</v>
      </c>
      <c r="M58" s="432">
        <f>M17-'Sales 2022'!M16</f>
        <v>-7</v>
      </c>
      <c r="N58" s="432">
        <f>N17-'Sales 2022'!N16</f>
        <v>-40</v>
      </c>
      <c r="O58" s="432">
        <f>O17-'Sales 2022'!O16</f>
        <v>-24</v>
      </c>
      <c r="P58" s="432">
        <f>P17-'Sales 2022'!P16</f>
        <v>-21</v>
      </c>
      <c r="Q58" s="432">
        <f>Q17-'Sales 2022'!Q16</f>
        <v>16.439999999999998</v>
      </c>
      <c r="R58" s="432">
        <f>R17-'Sales 2022'!R16</f>
        <v>56.930000000000007</v>
      </c>
      <c r="S58" s="432">
        <f>S17-'Sales 2022'!S16</f>
        <v>-10</v>
      </c>
      <c r="T58" s="432">
        <f>T17-'Sales 2022'!T16</f>
        <v>22.39</v>
      </c>
      <c r="U58" s="432">
        <f>U17-'Sales 2022'!U16</f>
        <v>-16.82</v>
      </c>
      <c r="V58" s="432">
        <f>V17-'Sales 2022'!V16</f>
        <v>-38</v>
      </c>
      <c r="W58" s="788">
        <f t="shared" si="37"/>
        <v>-53.059999999999995</v>
      </c>
      <c r="X58" s="445">
        <f>W58/'Sales 2022'!W16</f>
        <v>-0.10383561643835615</v>
      </c>
    </row>
    <row r="59" spans="2:24" ht="13.9" customHeight="1" thickTop="1" thickBot="1" x14ac:dyDescent="0.45">
      <c r="E59" s="705" t="s">
        <v>74</v>
      </c>
      <c r="F59" s="56" t="s">
        <v>1294</v>
      </c>
      <c r="G59" s="56" t="s">
        <v>125</v>
      </c>
      <c r="H59" s="56" t="s">
        <v>187</v>
      </c>
      <c r="I59" s="437" t="s">
        <v>63</v>
      </c>
      <c r="J59" s="438"/>
      <c r="K59" s="587">
        <f t="shared" ref="K59:W59" si="39">SUM(K47:K58)</f>
        <v>-13404.29</v>
      </c>
      <c r="L59" s="587">
        <f t="shared" si="39"/>
        <v>-190.62</v>
      </c>
      <c r="M59" s="587">
        <f t="shared" si="39"/>
        <v>1727.1599999999999</v>
      </c>
      <c r="N59" s="587">
        <f t="shared" si="39"/>
        <v>-4158.3999999999996</v>
      </c>
      <c r="O59" s="587">
        <f t="shared" si="39"/>
        <v>-1475.2600000000002</v>
      </c>
      <c r="P59" s="587">
        <f t="shared" si="39"/>
        <v>607.65</v>
      </c>
      <c r="Q59" s="587">
        <f t="shared" si="39"/>
        <v>308.34000000000003</v>
      </c>
      <c r="R59" s="587">
        <f t="shared" si="39"/>
        <v>3116.27</v>
      </c>
      <c r="S59" s="587">
        <f t="shared" si="39"/>
        <v>-1359.96</v>
      </c>
      <c r="T59" s="587">
        <f t="shared" si="39"/>
        <v>826.39</v>
      </c>
      <c r="U59" s="587">
        <f t="shared" si="39"/>
        <v>1444.6500000000003</v>
      </c>
      <c r="V59" s="587">
        <f t="shared" si="39"/>
        <v>4627.87</v>
      </c>
      <c r="W59" s="789">
        <f t="shared" si="39"/>
        <v>-7930.199999999998</v>
      </c>
      <c r="X59" s="445">
        <f>W59/'Sales 2022'!W17</f>
        <v>-0.12931004963228276</v>
      </c>
    </row>
    <row r="60" spans="2:24" ht="13.9" customHeight="1" thickTop="1" x14ac:dyDescent="0.35">
      <c r="B60" s="940" t="s">
        <v>1295</v>
      </c>
      <c r="C60" s="940" t="s">
        <v>65</v>
      </c>
      <c r="D60" s="941" t="s">
        <v>1296</v>
      </c>
      <c r="E60" s="942">
        <v>200</v>
      </c>
      <c r="F60" s="943">
        <v>45088</v>
      </c>
      <c r="G60" s="940" t="s">
        <v>1297</v>
      </c>
      <c r="H60" s="944">
        <v>45013</v>
      </c>
    </row>
    <row r="61" spans="2:24" ht="15" customHeight="1" x14ac:dyDescent="0.4">
      <c r="B61" s="940" t="s">
        <v>1298</v>
      </c>
      <c r="C61" s="940" t="s">
        <v>65</v>
      </c>
      <c r="D61" s="941" t="s">
        <v>1296</v>
      </c>
      <c r="E61" s="942">
        <v>200</v>
      </c>
      <c r="F61" s="943">
        <v>45088</v>
      </c>
      <c r="G61" s="940" t="s">
        <v>1297</v>
      </c>
      <c r="H61" s="944">
        <v>44998</v>
      </c>
      <c r="I61" s="420" t="s">
        <v>140</v>
      </c>
      <c r="J61" s="557" t="s">
        <v>154</v>
      </c>
      <c r="K61" s="577" t="s">
        <v>142</v>
      </c>
      <c r="L61" s="577" t="s">
        <v>143</v>
      </c>
      <c r="M61" s="577" t="s">
        <v>144</v>
      </c>
      <c r="N61" s="577" t="s">
        <v>145</v>
      </c>
      <c r="O61" s="577" t="s">
        <v>146</v>
      </c>
      <c r="P61" s="577" t="s">
        <v>147</v>
      </c>
      <c r="Q61" s="577" t="s">
        <v>148</v>
      </c>
      <c r="R61" s="577" t="s">
        <v>149</v>
      </c>
      <c r="S61" s="577" t="s">
        <v>150</v>
      </c>
      <c r="T61" s="577" t="s">
        <v>151</v>
      </c>
      <c r="U61" s="577" t="s">
        <v>152</v>
      </c>
      <c r="V61" s="577" t="s">
        <v>153</v>
      </c>
      <c r="W61" s="577" t="s">
        <v>19</v>
      </c>
    </row>
    <row r="62" spans="2:24" ht="13.5" customHeight="1" x14ac:dyDescent="0.35">
      <c r="B62" s="940" t="s">
        <v>1299</v>
      </c>
      <c r="C62" s="940" t="s">
        <v>65</v>
      </c>
      <c r="D62" s="941" t="s">
        <v>1300</v>
      </c>
      <c r="E62" s="942">
        <v>200</v>
      </c>
      <c r="F62" s="943">
        <v>45103</v>
      </c>
      <c r="G62" s="940" t="s">
        <v>1301</v>
      </c>
      <c r="H62" s="944">
        <v>44998</v>
      </c>
      <c r="I62" s="581" t="s">
        <v>28</v>
      </c>
      <c r="J62" s="431"/>
      <c r="K62" s="432">
        <f t="shared" ref="K62:K73" si="40">COUNTIFS($A$164:$A$566,"&gt;31/12/2022",$A$164:$A$566,"&lt;1/2/2023",$C$164:$C$566,I62)</f>
        <v>9</v>
      </c>
      <c r="L62" s="432">
        <f t="shared" ref="L62:L73" si="41">COUNTIFS($A$164:$A$566,"&gt;31/1/2023",$A$164:$A$566,"&lt;1/3/2023",$C$164:$C$566,$I62)</f>
        <v>3</v>
      </c>
      <c r="M62" s="432">
        <f t="shared" ref="M62:M73" si="42">COUNTIFS($A$164:$A$566,"&gt;28/2/2023",$A$164:$A$566,"&lt;1/4/2023",$C$164:$C$566,$I62)</f>
        <v>11</v>
      </c>
      <c r="N62" s="432">
        <f t="shared" ref="N62:N73" si="43">COUNTIFS($A$164:$A$566,"&gt;31/3/2023",$A$164:$A$566,"&lt;1/5/2023",$C$164:$C$566,$I62)</f>
        <v>4</v>
      </c>
      <c r="O62" s="432">
        <f t="shared" ref="O62:O73" si="44">COUNTIFS($A$164:$A$566,"&gt;30/4/2023",$A$164:$A$566,"&lt;1/6/2023",$C$164:$C$566,$I62)</f>
        <v>2</v>
      </c>
      <c r="P62" s="432">
        <f t="shared" ref="P62:P73" si="45">COUNTIFS($A$164:$A$566,"&gt;31/5/2023",$A$164:$A$566,"&lt;1/7/2023",$C$164:$C$566,$I62)</f>
        <v>0</v>
      </c>
      <c r="Q62" s="432">
        <f t="shared" ref="Q62:Q73" si="46">COUNTIFS($A$164:$A$566,"&gt;30/6/2023",$A$164:$A$566,"&lt;1/8/2023",$C$164:$C$566,$I62)</f>
        <v>2</v>
      </c>
      <c r="R62" s="432">
        <f t="shared" ref="R62:R73" si="47">COUNTIFS($A$164:$A$566,"&gt;31/7/2023",$A$164:$A$566,"&lt;1/9/2023",$C$164:$C$566,$I62)</f>
        <v>6</v>
      </c>
      <c r="S62" s="432">
        <f t="shared" ref="S62:S73" si="48">COUNTIFS($A$164:$A$566,"&gt;31/8/2023",$A$164:$A$566,"&lt;1/10/2023",$C$164:$C$566,$I62)</f>
        <v>5</v>
      </c>
      <c r="T62" s="432">
        <f t="shared" ref="T62:T73" si="49">COUNTIFS($A$164:$A$566,"&gt;30/9/2023",$A$164:$A$566,"&lt;1/11/2023",$C$164:$C$566,$I62)</f>
        <v>1</v>
      </c>
      <c r="U62" s="432">
        <f t="shared" ref="U62:U73" si="50">COUNTIFS($A$164:$A$566,"&gt;31/10/2023",$A$164:$A$566,"&lt;1/12/2023",$C$164:$C$566,$I62)</f>
        <v>1</v>
      </c>
      <c r="V62" s="432">
        <f t="shared" ref="V62:V73" si="51">COUNTIFS($A$164:$A$566,"&gt;30/11/2023",$A$164:$A$566,"&lt;1/1/2024",$C$164:$C$566,$I62)</f>
        <v>1</v>
      </c>
      <c r="W62" s="431">
        <f t="shared" ref="W62:W73" si="52">SUM(K62:V62)</f>
        <v>45</v>
      </c>
    </row>
    <row r="63" spans="2:24" ht="13.5" customHeight="1" x14ac:dyDescent="0.35">
      <c r="B63" s="946" t="s">
        <v>1302</v>
      </c>
      <c r="C63" s="940" t="s">
        <v>65</v>
      </c>
      <c r="D63" s="941" t="s">
        <v>1296</v>
      </c>
      <c r="E63" s="942">
        <v>200</v>
      </c>
      <c r="F63" s="943">
        <v>45138</v>
      </c>
      <c r="G63" s="940" t="s">
        <v>1303</v>
      </c>
      <c r="H63" s="944">
        <v>45048</v>
      </c>
      <c r="I63" s="581" t="s">
        <v>1274</v>
      </c>
      <c r="J63" s="431"/>
      <c r="K63" s="432">
        <f t="shared" si="40"/>
        <v>7</v>
      </c>
      <c r="L63" s="432">
        <f t="shared" si="41"/>
        <v>9</v>
      </c>
      <c r="M63" s="432">
        <f t="shared" si="42"/>
        <v>16</v>
      </c>
      <c r="N63" s="432">
        <f t="shared" si="43"/>
        <v>8</v>
      </c>
      <c r="O63" s="432">
        <f t="shared" si="44"/>
        <v>11</v>
      </c>
      <c r="P63" s="432">
        <f t="shared" si="45"/>
        <v>21</v>
      </c>
      <c r="Q63" s="432">
        <f t="shared" si="46"/>
        <v>10</v>
      </c>
      <c r="R63" s="432">
        <f t="shared" si="47"/>
        <v>10</v>
      </c>
      <c r="S63" s="432">
        <f t="shared" si="48"/>
        <v>2</v>
      </c>
      <c r="T63" s="432">
        <f t="shared" si="49"/>
        <v>21</v>
      </c>
      <c r="U63" s="432">
        <f t="shared" si="50"/>
        <v>7</v>
      </c>
      <c r="V63" s="432">
        <f t="shared" si="51"/>
        <v>6</v>
      </c>
      <c r="W63" s="431">
        <f t="shared" si="52"/>
        <v>128</v>
      </c>
    </row>
    <row r="64" spans="2:24" ht="13.5" customHeight="1" x14ac:dyDescent="0.35">
      <c r="B64" s="946"/>
      <c r="C64" s="940"/>
      <c r="D64" s="941"/>
      <c r="E64" s="942"/>
      <c r="F64" s="943"/>
      <c r="G64" s="940"/>
      <c r="H64" s="944"/>
      <c r="I64" s="582" t="s">
        <v>1275</v>
      </c>
      <c r="J64" s="431"/>
      <c r="K64" s="432">
        <f t="shared" si="40"/>
        <v>5</v>
      </c>
      <c r="L64" s="432">
        <f t="shared" si="41"/>
        <v>0</v>
      </c>
      <c r="M64" s="432">
        <f t="shared" si="42"/>
        <v>5</v>
      </c>
      <c r="N64" s="432">
        <f t="shared" si="43"/>
        <v>2</v>
      </c>
      <c r="O64" s="432">
        <f t="shared" si="44"/>
        <v>1</v>
      </c>
      <c r="P64" s="432">
        <f t="shared" si="45"/>
        <v>0</v>
      </c>
      <c r="Q64" s="432">
        <f t="shared" si="46"/>
        <v>1</v>
      </c>
      <c r="R64" s="432">
        <f t="shared" si="47"/>
        <v>2</v>
      </c>
      <c r="S64" s="432">
        <f t="shared" si="48"/>
        <v>1</v>
      </c>
      <c r="T64" s="432">
        <f t="shared" si="49"/>
        <v>1</v>
      </c>
      <c r="U64" s="432">
        <f t="shared" si="50"/>
        <v>3</v>
      </c>
      <c r="V64" s="432">
        <f t="shared" si="51"/>
        <v>4</v>
      </c>
      <c r="W64" s="431">
        <f t="shared" si="52"/>
        <v>25</v>
      </c>
    </row>
    <row r="65" spans="2:23" ht="13.5" customHeight="1" x14ac:dyDescent="0.35">
      <c r="B65" s="943" t="s">
        <v>1304</v>
      </c>
      <c r="C65" s="947" t="s">
        <v>65</v>
      </c>
      <c r="D65" s="948" t="s">
        <v>1305</v>
      </c>
      <c r="E65" s="949">
        <v>125</v>
      </c>
      <c r="F65" s="946" t="s">
        <v>1306</v>
      </c>
      <c r="G65" s="940" t="s">
        <v>1307</v>
      </c>
      <c r="H65" s="944">
        <v>45090</v>
      </c>
      <c r="I65" s="581" t="s">
        <v>1276</v>
      </c>
      <c r="J65" s="431"/>
      <c r="K65" s="432">
        <f t="shared" si="40"/>
        <v>0</v>
      </c>
      <c r="L65" s="432">
        <f t="shared" si="41"/>
        <v>1</v>
      </c>
      <c r="M65" s="432">
        <f t="shared" si="42"/>
        <v>1</v>
      </c>
      <c r="N65" s="432">
        <f t="shared" si="43"/>
        <v>1</v>
      </c>
      <c r="O65" s="432">
        <f t="shared" si="44"/>
        <v>2</v>
      </c>
      <c r="P65" s="432">
        <f t="shared" si="45"/>
        <v>1</v>
      </c>
      <c r="Q65" s="432">
        <f t="shared" si="46"/>
        <v>2</v>
      </c>
      <c r="R65" s="432">
        <f t="shared" si="47"/>
        <v>1</v>
      </c>
      <c r="S65" s="432">
        <f t="shared" si="48"/>
        <v>1</v>
      </c>
      <c r="T65" s="432">
        <f t="shared" si="49"/>
        <v>1</v>
      </c>
      <c r="U65" s="432">
        <f t="shared" si="50"/>
        <v>1</v>
      </c>
      <c r="V65" s="432">
        <f t="shared" si="51"/>
        <v>4</v>
      </c>
      <c r="W65" s="431">
        <f t="shared" si="52"/>
        <v>16</v>
      </c>
    </row>
    <row r="66" spans="2:23" ht="13.5" customHeight="1" x14ac:dyDescent="0.35">
      <c r="B66" s="943" t="s">
        <v>1304</v>
      </c>
      <c r="C66" s="947" t="s">
        <v>65</v>
      </c>
      <c r="D66" s="948" t="s">
        <v>1212</v>
      </c>
      <c r="E66" s="949">
        <v>50</v>
      </c>
      <c r="F66" s="946" t="s">
        <v>1308</v>
      </c>
      <c r="G66" s="940" t="s">
        <v>1309</v>
      </c>
      <c r="H66" s="944">
        <v>45091</v>
      </c>
      <c r="I66" s="581" t="s">
        <v>1277</v>
      </c>
      <c r="J66" s="431"/>
      <c r="K66" s="432">
        <f t="shared" si="40"/>
        <v>0</v>
      </c>
      <c r="L66" s="432">
        <f t="shared" si="41"/>
        <v>1</v>
      </c>
      <c r="M66" s="432">
        <f t="shared" si="42"/>
        <v>2</v>
      </c>
      <c r="N66" s="432">
        <f t="shared" si="43"/>
        <v>4</v>
      </c>
      <c r="O66" s="432">
        <f t="shared" si="44"/>
        <v>6</v>
      </c>
      <c r="P66" s="432">
        <f t="shared" si="45"/>
        <v>2</v>
      </c>
      <c r="Q66" s="432">
        <f t="shared" si="46"/>
        <v>2</v>
      </c>
      <c r="R66" s="432">
        <f t="shared" si="47"/>
        <v>0</v>
      </c>
      <c r="S66" s="432">
        <f t="shared" si="48"/>
        <v>0</v>
      </c>
      <c r="T66" s="432">
        <f t="shared" si="49"/>
        <v>2</v>
      </c>
      <c r="U66" s="432">
        <f t="shared" si="50"/>
        <v>0</v>
      </c>
      <c r="V66" s="432">
        <f t="shared" si="51"/>
        <v>4</v>
      </c>
      <c r="W66" s="431">
        <f t="shared" si="52"/>
        <v>23</v>
      </c>
    </row>
    <row r="67" spans="2:23" x14ac:dyDescent="0.35">
      <c r="I67" s="581" t="s">
        <v>1278</v>
      </c>
      <c r="J67" s="431"/>
      <c r="K67" s="432">
        <f t="shared" si="40"/>
        <v>2</v>
      </c>
      <c r="L67" s="432">
        <f t="shared" si="41"/>
        <v>1</v>
      </c>
      <c r="M67" s="432">
        <f t="shared" si="42"/>
        <v>2</v>
      </c>
      <c r="N67" s="432">
        <f t="shared" si="43"/>
        <v>1</v>
      </c>
      <c r="O67" s="432">
        <f t="shared" si="44"/>
        <v>2</v>
      </c>
      <c r="P67" s="432">
        <f t="shared" si="45"/>
        <v>1</v>
      </c>
      <c r="Q67" s="432">
        <f t="shared" si="46"/>
        <v>2</v>
      </c>
      <c r="R67" s="432">
        <f t="shared" si="47"/>
        <v>2</v>
      </c>
      <c r="S67" s="432">
        <f t="shared" si="48"/>
        <v>1</v>
      </c>
      <c r="T67" s="432">
        <f t="shared" si="49"/>
        <v>1</v>
      </c>
      <c r="U67" s="432">
        <f t="shared" si="50"/>
        <v>1</v>
      </c>
      <c r="V67" s="432">
        <f t="shared" si="51"/>
        <v>4</v>
      </c>
      <c r="W67" s="431">
        <f t="shared" si="52"/>
        <v>20</v>
      </c>
    </row>
    <row r="68" spans="2:23" ht="13.9" customHeight="1" x14ac:dyDescent="0.4">
      <c r="E68" s="939">
        <f>SUM(E60:E67)</f>
        <v>975</v>
      </c>
      <c r="G68" s="427"/>
      <c r="I68" s="582" t="s">
        <v>1279</v>
      </c>
      <c r="J68" s="431"/>
      <c r="K68" s="432">
        <f t="shared" si="40"/>
        <v>2</v>
      </c>
      <c r="L68" s="432">
        <f t="shared" si="41"/>
        <v>2</v>
      </c>
      <c r="M68" s="432">
        <f t="shared" si="42"/>
        <v>6</v>
      </c>
      <c r="N68" s="432">
        <f t="shared" si="43"/>
        <v>0</v>
      </c>
      <c r="O68" s="432">
        <f t="shared" si="44"/>
        <v>5</v>
      </c>
      <c r="P68" s="432">
        <f t="shared" si="45"/>
        <v>4</v>
      </c>
      <c r="Q68" s="432">
        <f t="shared" si="46"/>
        <v>4</v>
      </c>
      <c r="R68" s="432">
        <f t="shared" si="47"/>
        <v>6</v>
      </c>
      <c r="S68" s="432">
        <f t="shared" si="48"/>
        <v>4</v>
      </c>
      <c r="T68" s="432">
        <f t="shared" si="49"/>
        <v>1</v>
      </c>
      <c r="U68" s="432">
        <f t="shared" si="50"/>
        <v>4</v>
      </c>
      <c r="V68" s="432">
        <f t="shared" si="51"/>
        <v>3</v>
      </c>
      <c r="W68" s="431">
        <f t="shared" si="52"/>
        <v>41</v>
      </c>
    </row>
    <row r="69" spans="2:23" ht="13.5" customHeight="1" x14ac:dyDescent="0.35">
      <c r="B69" s="781"/>
      <c r="E69" s="937"/>
      <c r="F69" s="781"/>
      <c r="G69" s="427"/>
      <c r="I69" s="582" t="s">
        <v>1280</v>
      </c>
      <c r="J69" s="431"/>
      <c r="K69" s="432">
        <f t="shared" si="40"/>
        <v>0</v>
      </c>
      <c r="L69" s="432">
        <f t="shared" si="41"/>
        <v>0</v>
      </c>
      <c r="M69" s="432">
        <f t="shared" si="42"/>
        <v>5</v>
      </c>
      <c r="N69" s="432">
        <f t="shared" si="43"/>
        <v>2</v>
      </c>
      <c r="O69" s="432">
        <f t="shared" si="44"/>
        <v>2</v>
      </c>
      <c r="P69" s="432">
        <f t="shared" si="45"/>
        <v>0</v>
      </c>
      <c r="Q69" s="432">
        <f t="shared" si="46"/>
        <v>2</v>
      </c>
      <c r="R69" s="432">
        <f t="shared" si="47"/>
        <v>1</v>
      </c>
      <c r="S69" s="432">
        <f t="shared" si="48"/>
        <v>1</v>
      </c>
      <c r="T69" s="432">
        <f t="shared" si="49"/>
        <v>0</v>
      </c>
      <c r="U69" s="432">
        <f t="shared" si="50"/>
        <v>3</v>
      </c>
      <c r="V69" s="432">
        <f t="shared" si="51"/>
        <v>8</v>
      </c>
      <c r="W69" s="431">
        <f t="shared" si="52"/>
        <v>24</v>
      </c>
    </row>
    <row r="70" spans="2:23" ht="13.5" customHeight="1" x14ac:dyDescent="0.35">
      <c r="B70" s="781"/>
      <c r="C70" s="427"/>
      <c r="D70" s="45"/>
      <c r="E70" s="937"/>
      <c r="F70" s="781"/>
      <c r="G70" s="427"/>
      <c r="I70" s="582" t="s">
        <v>1281</v>
      </c>
      <c r="J70" s="431"/>
      <c r="K70" s="432">
        <f t="shared" si="40"/>
        <v>0</v>
      </c>
      <c r="L70" s="432">
        <f t="shared" si="41"/>
        <v>0</v>
      </c>
      <c r="M70" s="432">
        <f t="shared" si="42"/>
        <v>3</v>
      </c>
      <c r="N70" s="432">
        <f t="shared" si="43"/>
        <v>0</v>
      </c>
      <c r="O70" s="432">
        <f t="shared" si="44"/>
        <v>1</v>
      </c>
      <c r="P70" s="432">
        <f t="shared" si="45"/>
        <v>1</v>
      </c>
      <c r="Q70" s="432">
        <f t="shared" si="46"/>
        <v>1</v>
      </c>
      <c r="R70" s="432">
        <f t="shared" si="47"/>
        <v>0</v>
      </c>
      <c r="S70" s="432">
        <f t="shared" si="48"/>
        <v>2</v>
      </c>
      <c r="T70" s="432">
        <f t="shared" si="49"/>
        <v>1</v>
      </c>
      <c r="U70" s="432">
        <f t="shared" si="50"/>
        <v>1</v>
      </c>
      <c r="V70" s="432">
        <f t="shared" si="51"/>
        <v>1</v>
      </c>
      <c r="W70" s="431">
        <f t="shared" si="52"/>
        <v>11</v>
      </c>
    </row>
    <row r="71" spans="2:23" ht="13.5" customHeight="1" x14ac:dyDescent="0.35">
      <c r="B71" s="781"/>
      <c r="C71" s="427"/>
      <c r="D71" s="45"/>
      <c r="E71" s="937"/>
      <c r="F71" s="781"/>
      <c r="G71" s="427"/>
      <c r="I71" s="582" t="s">
        <v>1282</v>
      </c>
      <c r="J71" s="431"/>
      <c r="K71" s="432">
        <f t="shared" si="40"/>
        <v>2</v>
      </c>
      <c r="L71" s="432">
        <f t="shared" si="41"/>
        <v>1</v>
      </c>
      <c r="M71" s="432">
        <f t="shared" si="42"/>
        <v>2</v>
      </c>
      <c r="N71" s="432">
        <f t="shared" si="43"/>
        <v>1</v>
      </c>
      <c r="O71" s="432">
        <f t="shared" si="44"/>
        <v>2</v>
      </c>
      <c r="P71" s="432">
        <f t="shared" si="45"/>
        <v>1</v>
      </c>
      <c r="Q71" s="432">
        <f t="shared" si="46"/>
        <v>1</v>
      </c>
      <c r="R71" s="432">
        <f t="shared" si="47"/>
        <v>1</v>
      </c>
      <c r="S71" s="432">
        <f t="shared" si="48"/>
        <v>1</v>
      </c>
      <c r="T71" s="432">
        <f t="shared" si="49"/>
        <v>1</v>
      </c>
      <c r="U71" s="432">
        <f t="shared" si="50"/>
        <v>2</v>
      </c>
      <c r="V71" s="432">
        <f t="shared" si="51"/>
        <v>3</v>
      </c>
      <c r="W71" s="431">
        <f t="shared" si="52"/>
        <v>18</v>
      </c>
    </row>
    <row r="72" spans="2:23" ht="13.5" customHeight="1" x14ac:dyDescent="0.35">
      <c r="B72" s="781"/>
      <c r="E72" s="937"/>
      <c r="F72" s="781"/>
      <c r="G72" s="427"/>
      <c r="I72" s="582" t="s">
        <v>1283</v>
      </c>
      <c r="J72" s="431"/>
      <c r="K72" s="432">
        <f t="shared" si="40"/>
        <v>2</v>
      </c>
      <c r="L72" s="432">
        <f t="shared" si="41"/>
        <v>2</v>
      </c>
      <c r="M72" s="432">
        <f t="shared" si="42"/>
        <v>2</v>
      </c>
      <c r="N72" s="432">
        <f t="shared" si="43"/>
        <v>0</v>
      </c>
      <c r="O72" s="432">
        <f t="shared" si="44"/>
        <v>1</v>
      </c>
      <c r="P72" s="432">
        <f t="shared" si="45"/>
        <v>2</v>
      </c>
      <c r="Q72" s="432">
        <f t="shared" si="46"/>
        <v>0</v>
      </c>
      <c r="R72" s="432">
        <f t="shared" si="47"/>
        <v>2</v>
      </c>
      <c r="S72" s="432">
        <f t="shared" si="48"/>
        <v>1</v>
      </c>
      <c r="T72" s="432">
        <f t="shared" si="49"/>
        <v>2</v>
      </c>
      <c r="U72" s="432">
        <f t="shared" si="50"/>
        <v>1</v>
      </c>
      <c r="V72" s="432">
        <f t="shared" si="51"/>
        <v>0</v>
      </c>
      <c r="W72" s="431">
        <f t="shared" si="52"/>
        <v>15</v>
      </c>
    </row>
    <row r="73" spans="2:23" x14ac:dyDescent="0.35">
      <c r="I73" s="582" t="s">
        <v>1284</v>
      </c>
      <c r="J73" s="431"/>
      <c r="K73" s="432">
        <f t="shared" si="40"/>
        <v>2</v>
      </c>
      <c r="L73" s="432">
        <f t="shared" si="41"/>
        <v>3</v>
      </c>
      <c r="M73" s="432">
        <f t="shared" si="42"/>
        <v>1</v>
      </c>
      <c r="N73" s="432">
        <f t="shared" si="43"/>
        <v>0</v>
      </c>
      <c r="O73" s="432">
        <f t="shared" si="44"/>
        <v>3</v>
      </c>
      <c r="P73" s="432">
        <f t="shared" si="45"/>
        <v>1</v>
      </c>
      <c r="Q73" s="432">
        <f t="shared" si="46"/>
        <v>4</v>
      </c>
      <c r="R73" s="432">
        <f t="shared" si="47"/>
        <v>3</v>
      </c>
      <c r="S73" s="432">
        <f t="shared" si="48"/>
        <v>3</v>
      </c>
      <c r="T73" s="432">
        <f t="shared" si="49"/>
        <v>1</v>
      </c>
      <c r="U73" s="432">
        <f t="shared" si="50"/>
        <v>1</v>
      </c>
      <c r="V73" s="432">
        <f t="shared" si="51"/>
        <v>0</v>
      </c>
      <c r="W73" s="431">
        <f t="shared" si="52"/>
        <v>22</v>
      </c>
    </row>
    <row r="74" spans="2:23" ht="14.25" customHeight="1" thickBot="1" x14ac:dyDescent="0.45">
      <c r="B74" s="781"/>
      <c r="C74" s="427"/>
      <c r="D74" s="45"/>
      <c r="E74" s="751"/>
      <c r="F74" s="781"/>
      <c r="G74" s="763"/>
      <c r="I74" s="824" t="s">
        <v>63</v>
      </c>
      <c r="J74" s="825"/>
      <c r="K74" s="909">
        <f t="shared" ref="K74:W74" si="53">SUM(K62:K73)</f>
        <v>31</v>
      </c>
      <c r="L74" s="909">
        <f t="shared" si="53"/>
        <v>23</v>
      </c>
      <c r="M74" s="909">
        <f t="shared" si="53"/>
        <v>56</v>
      </c>
      <c r="N74" s="909">
        <f t="shared" si="53"/>
        <v>23</v>
      </c>
      <c r="O74" s="909">
        <f t="shared" si="53"/>
        <v>38</v>
      </c>
      <c r="P74" s="909">
        <f t="shared" si="53"/>
        <v>34</v>
      </c>
      <c r="Q74" s="909">
        <f t="shared" si="53"/>
        <v>31</v>
      </c>
      <c r="R74" s="909">
        <f t="shared" si="53"/>
        <v>34</v>
      </c>
      <c r="S74" s="909">
        <f t="shared" si="53"/>
        <v>22</v>
      </c>
      <c r="T74" s="909">
        <f t="shared" si="53"/>
        <v>33</v>
      </c>
      <c r="U74" s="909">
        <f t="shared" si="53"/>
        <v>25</v>
      </c>
      <c r="V74" s="909">
        <f t="shared" si="53"/>
        <v>38</v>
      </c>
      <c r="W74" s="825">
        <f t="shared" si="53"/>
        <v>388</v>
      </c>
    </row>
    <row r="75" spans="2:23" ht="13.9" customHeight="1" thickTop="1" x14ac:dyDescent="0.35">
      <c r="B75" s="781"/>
      <c r="C75" s="427"/>
      <c r="D75" s="45"/>
      <c r="E75" s="751"/>
      <c r="F75" s="781"/>
      <c r="G75" s="763"/>
    </row>
    <row r="76" spans="2:23" ht="13.9" customHeight="1" x14ac:dyDescent="0.4">
      <c r="B76" s="781"/>
      <c r="C76" s="427"/>
      <c r="D76" s="45"/>
      <c r="E76" s="751"/>
      <c r="F76" s="781"/>
      <c r="G76" s="763"/>
      <c r="I76" s="420" t="s">
        <v>140</v>
      </c>
      <c r="J76" s="557" t="s">
        <v>155</v>
      </c>
      <c r="K76" s="577" t="s">
        <v>142</v>
      </c>
      <c r="L76" s="577" t="s">
        <v>143</v>
      </c>
      <c r="M76" s="577" t="s">
        <v>144</v>
      </c>
      <c r="N76" s="577" t="s">
        <v>145</v>
      </c>
      <c r="O76" s="577" t="s">
        <v>146</v>
      </c>
      <c r="P76" s="577" t="s">
        <v>147</v>
      </c>
      <c r="Q76" s="577" t="s">
        <v>148</v>
      </c>
      <c r="R76" s="577" t="s">
        <v>149</v>
      </c>
      <c r="S76" s="577" t="s">
        <v>150</v>
      </c>
      <c r="T76" s="577" t="s">
        <v>151</v>
      </c>
      <c r="U76" s="577" t="s">
        <v>152</v>
      </c>
      <c r="V76" s="577" t="s">
        <v>153</v>
      </c>
      <c r="W76" s="577" t="s">
        <v>19</v>
      </c>
    </row>
    <row r="77" spans="2:23" ht="13.5" customHeight="1" x14ac:dyDescent="0.35">
      <c r="G77" s="427"/>
      <c r="I77" s="581" t="s">
        <v>28</v>
      </c>
      <c r="J77" s="431"/>
      <c r="K77" s="432">
        <f t="shared" ref="K77:W77" si="54">IFERROR(K6/K62,0)</f>
        <v>165.83333333333334</v>
      </c>
      <c r="L77" s="432">
        <f t="shared" si="54"/>
        <v>86.666666666666671</v>
      </c>
      <c r="M77" s="432">
        <f t="shared" si="54"/>
        <v>101.04545454545455</v>
      </c>
      <c r="N77" s="432">
        <f t="shared" si="54"/>
        <v>238.75</v>
      </c>
      <c r="O77" s="432">
        <f t="shared" si="54"/>
        <v>150</v>
      </c>
      <c r="P77" s="432">
        <f t="shared" si="54"/>
        <v>0</v>
      </c>
      <c r="Q77" s="432">
        <f t="shared" si="54"/>
        <v>140</v>
      </c>
      <c r="R77" s="432">
        <f t="shared" si="54"/>
        <v>229.58333333333334</v>
      </c>
      <c r="S77" s="432">
        <f t="shared" si="54"/>
        <v>236</v>
      </c>
      <c r="T77" s="432">
        <f t="shared" si="54"/>
        <v>250</v>
      </c>
      <c r="U77" s="432">
        <f t="shared" si="54"/>
        <v>75</v>
      </c>
      <c r="V77" s="432">
        <f t="shared" si="54"/>
        <v>250</v>
      </c>
      <c r="W77" s="431">
        <f t="shared" si="54"/>
        <v>167.36666666666667</v>
      </c>
    </row>
    <row r="78" spans="2:23" ht="13.5" customHeight="1" x14ac:dyDescent="0.35">
      <c r="B78" s="781"/>
      <c r="C78" s="427"/>
      <c r="D78" s="45"/>
      <c r="E78" s="751"/>
      <c r="F78" s="781"/>
      <c r="G78" s="763"/>
      <c r="I78" s="581" t="s">
        <v>1274</v>
      </c>
      <c r="J78" s="431"/>
      <c r="K78" s="432">
        <f t="shared" ref="K78:W78" si="55">IFERROR(K7/K63,0)</f>
        <v>110</v>
      </c>
      <c r="L78" s="432">
        <f t="shared" si="55"/>
        <v>72.222222222222229</v>
      </c>
      <c r="M78" s="432">
        <f t="shared" si="55"/>
        <v>127.5</v>
      </c>
      <c r="N78" s="432">
        <f t="shared" si="55"/>
        <v>77.9375</v>
      </c>
      <c r="O78" s="432">
        <f t="shared" si="55"/>
        <v>96.818181818181813</v>
      </c>
      <c r="P78" s="432">
        <f t="shared" si="55"/>
        <v>74.142857142857139</v>
      </c>
      <c r="Q78" s="432">
        <f t="shared" si="55"/>
        <v>77</v>
      </c>
      <c r="R78" s="432">
        <f t="shared" si="55"/>
        <v>98.2</v>
      </c>
      <c r="S78" s="432">
        <f t="shared" si="55"/>
        <v>86.5</v>
      </c>
      <c r="T78" s="432">
        <f t="shared" si="55"/>
        <v>86.928571428571431</v>
      </c>
      <c r="U78" s="432">
        <f t="shared" si="55"/>
        <v>94.571428571428569</v>
      </c>
      <c r="V78" s="432">
        <f t="shared" si="55"/>
        <v>55.166666666666664</v>
      </c>
      <c r="W78" s="431">
        <f t="shared" si="55"/>
        <v>89.4453125</v>
      </c>
    </row>
    <row r="79" spans="2:23" ht="13.5" customHeight="1" x14ac:dyDescent="0.35">
      <c r="B79" s="781"/>
      <c r="C79" s="427"/>
      <c r="D79" s="45"/>
      <c r="E79" s="751"/>
      <c r="F79" s="781"/>
      <c r="G79" s="763"/>
      <c r="I79" s="582" t="s">
        <v>1275</v>
      </c>
      <c r="J79" s="431"/>
      <c r="K79" s="432">
        <f t="shared" ref="K79:W79" si="56">IFERROR(K8/K64,0)</f>
        <v>462</v>
      </c>
      <c r="L79" s="432">
        <f t="shared" si="56"/>
        <v>0</v>
      </c>
      <c r="M79" s="432">
        <f t="shared" si="56"/>
        <v>501</v>
      </c>
      <c r="N79" s="432">
        <f t="shared" si="56"/>
        <v>952.5</v>
      </c>
      <c r="O79" s="432">
        <f t="shared" si="56"/>
        <v>775</v>
      </c>
      <c r="P79" s="432">
        <f t="shared" si="56"/>
        <v>0</v>
      </c>
      <c r="Q79" s="432">
        <f t="shared" si="56"/>
        <v>695</v>
      </c>
      <c r="R79" s="432">
        <f t="shared" si="56"/>
        <v>1025</v>
      </c>
      <c r="S79" s="432">
        <f t="shared" si="56"/>
        <v>725</v>
      </c>
      <c r="T79" s="432">
        <f t="shared" si="56"/>
        <v>550</v>
      </c>
      <c r="U79" s="432">
        <f t="shared" si="56"/>
        <v>540.66666666666663</v>
      </c>
      <c r="V79" s="432">
        <f t="shared" si="56"/>
        <v>773</v>
      </c>
      <c r="W79" s="431">
        <f t="shared" si="56"/>
        <v>649.16</v>
      </c>
    </row>
    <row r="80" spans="2:23" ht="13.5" customHeight="1" x14ac:dyDescent="0.35">
      <c r="B80" s="464"/>
      <c r="C80" s="464"/>
      <c r="D80" s="463"/>
      <c r="E80" s="465"/>
      <c r="F80" s="462"/>
      <c r="I80" s="581" t="s">
        <v>1276</v>
      </c>
      <c r="J80" s="431"/>
      <c r="K80" s="432">
        <f t="shared" ref="K80:W80" si="57">IFERROR(K9/K65,0)</f>
        <v>0</v>
      </c>
      <c r="L80" s="432">
        <f t="shared" si="57"/>
        <v>1200</v>
      </c>
      <c r="M80" s="432">
        <f t="shared" si="57"/>
        <v>50</v>
      </c>
      <c r="N80" s="432">
        <f t="shared" si="57"/>
        <v>50</v>
      </c>
      <c r="O80" s="432">
        <f t="shared" si="57"/>
        <v>50</v>
      </c>
      <c r="P80" s="432">
        <f t="shared" si="57"/>
        <v>50</v>
      </c>
      <c r="Q80" s="432">
        <f t="shared" si="57"/>
        <v>150</v>
      </c>
      <c r="R80" s="432">
        <f t="shared" si="57"/>
        <v>50</v>
      </c>
      <c r="S80" s="432">
        <f t="shared" si="57"/>
        <v>50</v>
      </c>
      <c r="T80" s="432">
        <f t="shared" si="57"/>
        <v>300</v>
      </c>
      <c r="U80" s="432">
        <f t="shared" si="57"/>
        <v>50</v>
      </c>
      <c r="V80" s="432">
        <f t="shared" si="57"/>
        <v>1062.5</v>
      </c>
      <c r="W80" s="431">
        <f t="shared" si="57"/>
        <v>403.125</v>
      </c>
    </row>
    <row r="81" spans="9:23" x14ac:dyDescent="0.35">
      <c r="I81" s="581" t="s">
        <v>1277</v>
      </c>
      <c r="J81" s="431"/>
      <c r="K81" s="432">
        <f t="shared" ref="K81:W81" si="58">IFERROR(K10/K66,0)</f>
        <v>0</v>
      </c>
      <c r="L81" s="432">
        <f t="shared" si="58"/>
        <v>-475</v>
      </c>
      <c r="M81" s="432">
        <f t="shared" si="58"/>
        <v>-96</v>
      </c>
      <c r="N81" s="432">
        <f t="shared" si="58"/>
        <v>-122.625</v>
      </c>
      <c r="O81" s="432">
        <f t="shared" si="58"/>
        <v>-97.833333333333329</v>
      </c>
      <c r="P81" s="432">
        <f t="shared" si="58"/>
        <v>-95</v>
      </c>
      <c r="Q81" s="432">
        <f t="shared" si="58"/>
        <v>-80</v>
      </c>
      <c r="R81" s="432">
        <f t="shared" si="58"/>
        <v>0</v>
      </c>
      <c r="S81" s="432">
        <f t="shared" si="58"/>
        <v>0</v>
      </c>
      <c r="T81" s="432">
        <f t="shared" si="58"/>
        <v>-308.75</v>
      </c>
      <c r="U81" s="432">
        <f t="shared" si="58"/>
        <v>0</v>
      </c>
      <c r="V81" s="432">
        <f t="shared" si="58"/>
        <v>-324</v>
      </c>
      <c r="W81" s="431">
        <f t="shared" si="58"/>
        <v>-174.2608695652174</v>
      </c>
    </row>
    <row r="82" spans="9:23" x14ac:dyDescent="0.35">
      <c r="I82" s="581" t="s">
        <v>1278</v>
      </c>
      <c r="J82" s="431"/>
      <c r="K82" s="432">
        <f t="shared" ref="K82:W82" si="59">IFERROR(K11/K67,0)</f>
        <v>40</v>
      </c>
      <c r="L82" s="432">
        <f t="shared" si="59"/>
        <v>60</v>
      </c>
      <c r="M82" s="432">
        <f t="shared" si="59"/>
        <v>30</v>
      </c>
      <c r="N82" s="432">
        <f t="shared" si="59"/>
        <v>40</v>
      </c>
      <c r="O82" s="432">
        <f t="shared" si="59"/>
        <v>30</v>
      </c>
      <c r="P82" s="432">
        <f t="shared" si="59"/>
        <v>40</v>
      </c>
      <c r="Q82" s="432">
        <f t="shared" si="59"/>
        <v>20</v>
      </c>
      <c r="R82" s="432">
        <f t="shared" si="59"/>
        <v>110</v>
      </c>
      <c r="S82" s="432">
        <f t="shared" si="59"/>
        <v>20</v>
      </c>
      <c r="T82" s="432">
        <f t="shared" si="59"/>
        <v>40</v>
      </c>
      <c r="U82" s="432">
        <f t="shared" si="59"/>
        <v>40</v>
      </c>
      <c r="V82" s="432">
        <f t="shared" si="59"/>
        <v>70</v>
      </c>
      <c r="W82" s="431">
        <f t="shared" si="59"/>
        <v>49</v>
      </c>
    </row>
    <row r="83" spans="9:23" x14ac:dyDescent="0.35">
      <c r="I83" s="582" t="s">
        <v>1279</v>
      </c>
      <c r="J83" s="431"/>
      <c r="K83" s="432">
        <f t="shared" ref="K83:W83" si="60">IFERROR(K12/K68,0)</f>
        <v>95</v>
      </c>
      <c r="L83" s="432">
        <f t="shared" si="60"/>
        <v>360</v>
      </c>
      <c r="M83" s="432">
        <f t="shared" si="60"/>
        <v>143.66666666666666</v>
      </c>
      <c r="N83" s="432">
        <f t="shared" si="60"/>
        <v>0</v>
      </c>
      <c r="O83" s="432">
        <f t="shared" si="60"/>
        <v>68.2</v>
      </c>
      <c r="P83" s="432">
        <f t="shared" si="60"/>
        <v>161.25</v>
      </c>
      <c r="Q83" s="432">
        <f t="shared" si="60"/>
        <v>138.75</v>
      </c>
      <c r="R83" s="432">
        <f t="shared" si="60"/>
        <v>135.83333333333334</v>
      </c>
      <c r="S83" s="432">
        <f t="shared" si="60"/>
        <v>118.75</v>
      </c>
      <c r="T83" s="432">
        <f t="shared" si="60"/>
        <v>360</v>
      </c>
      <c r="U83" s="432">
        <f t="shared" si="60"/>
        <v>147.5</v>
      </c>
      <c r="V83" s="432">
        <f t="shared" si="60"/>
        <v>213.33333333333334</v>
      </c>
      <c r="W83" s="431">
        <f t="shared" si="60"/>
        <v>151.04878048780489</v>
      </c>
    </row>
    <row r="84" spans="9:23" x14ac:dyDescent="0.35">
      <c r="I84" s="582" t="s">
        <v>1280</v>
      </c>
      <c r="J84" s="431"/>
      <c r="K84" s="432">
        <f t="shared" ref="K84:W84" si="61">IFERROR(K13/K69,0)</f>
        <v>0</v>
      </c>
      <c r="L84" s="432">
        <f t="shared" si="61"/>
        <v>0</v>
      </c>
      <c r="M84" s="432">
        <f t="shared" si="61"/>
        <v>210</v>
      </c>
      <c r="N84" s="432">
        <f t="shared" si="61"/>
        <v>87.5</v>
      </c>
      <c r="O84" s="432">
        <f t="shared" si="61"/>
        <v>212.5</v>
      </c>
      <c r="P84" s="432">
        <f t="shared" si="61"/>
        <v>0</v>
      </c>
      <c r="Q84" s="432">
        <f t="shared" si="61"/>
        <v>112.5</v>
      </c>
      <c r="R84" s="432">
        <f t="shared" si="61"/>
        <v>100</v>
      </c>
      <c r="S84" s="432">
        <f t="shared" si="61"/>
        <v>150</v>
      </c>
      <c r="T84" s="432">
        <f t="shared" si="61"/>
        <v>0</v>
      </c>
      <c r="U84" s="432">
        <f t="shared" si="61"/>
        <v>375</v>
      </c>
      <c r="V84" s="432">
        <f t="shared" si="61"/>
        <v>61.25</v>
      </c>
      <c r="W84" s="431">
        <f t="shared" si="61"/>
        <v>155.83333333333334</v>
      </c>
    </row>
    <row r="85" spans="9:23" x14ac:dyDescent="0.35">
      <c r="I85" s="582" t="s">
        <v>1281</v>
      </c>
      <c r="J85" s="431"/>
      <c r="K85" s="432">
        <f t="shared" ref="K85:W85" si="62">IFERROR(K14/K70,0)</f>
        <v>0</v>
      </c>
      <c r="L85" s="432">
        <f t="shared" si="62"/>
        <v>0</v>
      </c>
      <c r="M85" s="432">
        <f t="shared" si="62"/>
        <v>-130</v>
      </c>
      <c r="N85" s="432">
        <f t="shared" si="62"/>
        <v>0</v>
      </c>
      <c r="O85" s="432">
        <f t="shared" si="62"/>
        <v>-125</v>
      </c>
      <c r="P85" s="432">
        <f t="shared" si="62"/>
        <v>-60</v>
      </c>
      <c r="Q85" s="432">
        <f t="shared" si="62"/>
        <v>-10</v>
      </c>
      <c r="R85" s="432">
        <f t="shared" si="62"/>
        <v>0</v>
      </c>
      <c r="S85" s="432">
        <f t="shared" si="62"/>
        <v>-250</v>
      </c>
      <c r="T85" s="432">
        <f t="shared" si="62"/>
        <v>-12</v>
      </c>
      <c r="U85" s="432">
        <f t="shared" si="62"/>
        <v>-250</v>
      </c>
      <c r="V85" s="432">
        <f t="shared" si="62"/>
        <v>-50</v>
      </c>
      <c r="W85" s="431">
        <f t="shared" si="62"/>
        <v>-127</v>
      </c>
    </row>
    <row r="86" spans="9:23" x14ac:dyDescent="0.35">
      <c r="I86" s="582" t="s">
        <v>1282</v>
      </c>
      <c r="J86" s="431"/>
      <c r="K86" s="432">
        <f t="shared" ref="K86:W86" si="63">IFERROR(K15/K71,0)</f>
        <v>84.990000000000009</v>
      </c>
      <c r="L86" s="432">
        <f t="shared" si="63"/>
        <v>70.58</v>
      </c>
      <c r="M86" s="432">
        <f t="shared" si="63"/>
        <v>53.650000000000006</v>
      </c>
      <c r="N86" s="432">
        <f t="shared" si="63"/>
        <v>45.37</v>
      </c>
      <c r="O86" s="432">
        <f t="shared" si="63"/>
        <v>557.19499999999994</v>
      </c>
      <c r="P86" s="432">
        <f t="shared" si="63"/>
        <v>266.64999999999998</v>
      </c>
      <c r="Q86" s="432">
        <f t="shared" si="63"/>
        <v>29.84</v>
      </c>
      <c r="R86" s="432">
        <f t="shared" si="63"/>
        <v>44.19</v>
      </c>
      <c r="S86" s="432">
        <f t="shared" si="63"/>
        <v>24.6</v>
      </c>
      <c r="T86" s="432">
        <f t="shared" si="63"/>
        <v>35</v>
      </c>
      <c r="U86" s="432">
        <f t="shared" si="63"/>
        <v>49.21</v>
      </c>
      <c r="V86" s="432">
        <f t="shared" si="63"/>
        <v>88.353333333333339</v>
      </c>
      <c r="W86" s="431">
        <f t="shared" si="63"/>
        <v>126.18777777777778</v>
      </c>
    </row>
    <row r="87" spans="9:23" x14ac:dyDescent="0.35">
      <c r="I87" s="582" t="s">
        <v>1283</v>
      </c>
      <c r="J87" s="431"/>
      <c r="K87" s="432">
        <f t="shared" ref="K87:W87" si="64">IFERROR(K16/K72,0)</f>
        <v>150</v>
      </c>
      <c r="L87" s="432">
        <f t="shared" si="64"/>
        <v>150</v>
      </c>
      <c r="M87" s="432">
        <f t="shared" si="64"/>
        <v>137.5</v>
      </c>
      <c r="N87" s="432">
        <f t="shared" si="64"/>
        <v>0</v>
      </c>
      <c r="O87" s="432">
        <f t="shared" si="64"/>
        <v>295</v>
      </c>
      <c r="P87" s="432">
        <f t="shared" si="64"/>
        <v>260</v>
      </c>
      <c r="Q87" s="432">
        <f t="shared" si="64"/>
        <v>0</v>
      </c>
      <c r="R87" s="432">
        <f t="shared" si="64"/>
        <v>87.5</v>
      </c>
      <c r="S87" s="432">
        <f t="shared" si="64"/>
        <v>200</v>
      </c>
      <c r="T87" s="432">
        <f t="shared" si="64"/>
        <v>222.5</v>
      </c>
      <c r="U87" s="432">
        <f t="shared" si="64"/>
        <v>990</v>
      </c>
      <c r="V87" s="432">
        <f t="shared" si="64"/>
        <v>0</v>
      </c>
      <c r="W87" s="431">
        <f t="shared" si="64"/>
        <v>233.33333333333334</v>
      </c>
    </row>
    <row r="88" spans="9:23" x14ac:dyDescent="0.35">
      <c r="I88" s="582" t="s">
        <v>1284</v>
      </c>
      <c r="J88" s="431"/>
      <c r="K88" s="432">
        <f t="shared" ref="K88:W88" si="65">IFERROR(K17/K73,0)</f>
        <v>21</v>
      </c>
      <c r="L88" s="432">
        <f t="shared" si="65"/>
        <v>17.333333333333332</v>
      </c>
      <c r="M88" s="432">
        <f t="shared" si="65"/>
        <v>17</v>
      </c>
      <c r="N88" s="432">
        <f t="shared" si="65"/>
        <v>0</v>
      </c>
      <c r="O88" s="432">
        <f t="shared" si="65"/>
        <v>10.333333333333334</v>
      </c>
      <c r="P88" s="432">
        <f t="shared" si="65"/>
        <v>2</v>
      </c>
      <c r="Q88" s="432">
        <f t="shared" si="65"/>
        <v>21.11</v>
      </c>
      <c r="R88" s="432">
        <f t="shared" si="65"/>
        <v>32.976666666666667</v>
      </c>
      <c r="S88" s="432">
        <f t="shared" si="65"/>
        <v>23.666666666666668</v>
      </c>
      <c r="T88" s="432">
        <f t="shared" si="65"/>
        <v>39.39</v>
      </c>
      <c r="U88" s="432">
        <f t="shared" si="65"/>
        <v>20.18</v>
      </c>
      <c r="V88" s="432">
        <f t="shared" si="65"/>
        <v>0</v>
      </c>
      <c r="W88" s="431">
        <f t="shared" si="65"/>
        <v>20.815454545454546</v>
      </c>
    </row>
    <row r="89" spans="9:23" ht="13.5" customHeight="1" thickBot="1" x14ac:dyDescent="0.45">
      <c r="I89" s="824" t="s">
        <v>63</v>
      </c>
      <c r="J89" s="825"/>
      <c r="K89" s="910">
        <f t="shared" ref="K89:W89" si="66">IFERROR(K18/K74,0)</f>
        <v>172.72516129032257</v>
      </c>
      <c r="L89" s="910">
        <f t="shared" si="66"/>
        <v>123.37304347826087</v>
      </c>
      <c r="M89" s="910">
        <f t="shared" si="66"/>
        <v>133.85357142857143</v>
      </c>
      <c r="N89" s="910">
        <f t="shared" si="66"/>
        <v>143.62478260869565</v>
      </c>
      <c r="O89" s="910">
        <f t="shared" si="66"/>
        <v>99.852368421052631</v>
      </c>
      <c r="P89" s="910">
        <f t="shared" si="66"/>
        <v>83.254411764705878</v>
      </c>
      <c r="Q89" s="910">
        <f t="shared" si="66"/>
        <v>90.621935483870971</v>
      </c>
      <c r="R89" s="910">
        <f t="shared" si="66"/>
        <v>173.90058823529412</v>
      </c>
      <c r="S89" s="910">
        <f t="shared" si="66"/>
        <v>116.75454545454545</v>
      </c>
      <c r="T89" s="910">
        <f t="shared" si="66"/>
        <v>97.436060606060607</v>
      </c>
      <c r="U89" s="910">
        <f t="shared" si="66"/>
        <v>200.90400000000002</v>
      </c>
      <c r="V89" s="910">
        <f t="shared" si="66"/>
        <v>217.15947368421052</v>
      </c>
      <c r="W89" s="825">
        <f t="shared" si="66"/>
        <v>137.62067010309278</v>
      </c>
    </row>
    <row r="90" spans="9:23" ht="13.15" customHeight="1" thickTop="1" x14ac:dyDescent="0.35"/>
    <row r="92" spans="9:23" ht="13.15" customHeight="1" x14ac:dyDescent="0.4">
      <c r="I92" s="420" t="s">
        <v>140</v>
      </c>
      <c r="J92" s="557" t="s">
        <v>156</v>
      </c>
      <c r="K92" s="577" t="s">
        <v>142</v>
      </c>
      <c r="L92" s="577" t="s">
        <v>143</v>
      </c>
      <c r="M92" s="577" t="s">
        <v>144</v>
      </c>
      <c r="N92" s="577" t="s">
        <v>145</v>
      </c>
      <c r="O92" s="577" t="s">
        <v>146</v>
      </c>
      <c r="P92" s="577" t="s">
        <v>147</v>
      </c>
      <c r="Q92" s="577" t="s">
        <v>148</v>
      </c>
      <c r="R92" s="577" t="s">
        <v>149</v>
      </c>
      <c r="S92" s="577" t="s">
        <v>150</v>
      </c>
      <c r="T92" s="577" t="s">
        <v>151</v>
      </c>
      <c r="U92" s="577" t="s">
        <v>152</v>
      </c>
      <c r="V92" s="577" t="s">
        <v>153</v>
      </c>
      <c r="W92" s="577" t="s">
        <v>19</v>
      </c>
    </row>
    <row r="93" spans="9:23" x14ac:dyDescent="0.35">
      <c r="I93" s="581" t="s">
        <v>28</v>
      </c>
      <c r="J93" s="835">
        <v>0.9</v>
      </c>
      <c r="K93" s="432">
        <f t="shared" ref="K93:V93" si="67">K6*$J93</f>
        <v>1343.25</v>
      </c>
      <c r="L93" s="432">
        <f t="shared" si="67"/>
        <v>234</v>
      </c>
      <c r="M93" s="432">
        <f t="shared" si="67"/>
        <v>1000.35</v>
      </c>
      <c r="N93" s="432">
        <f t="shared" si="67"/>
        <v>859.5</v>
      </c>
      <c r="O93" s="432">
        <f t="shared" si="67"/>
        <v>270</v>
      </c>
      <c r="P93" s="432">
        <f t="shared" si="67"/>
        <v>0</v>
      </c>
      <c r="Q93" s="432">
        <f t="shared" si="67"/>
        <v>252</v>
      </c>
      <c r="R93" s="432">
        <f t="shared" si="67"/>
        <v>1239.75</v>
      </c>
      <c r="S93" s="432">
        <f t="shared" si="67"/>
        <v>1062</v>
      </c>
      <c r="T93" s="432">
        <f t="shared" si="67"/>
        <v>225</v>
      </c>
      <c r="U93" s="432">
        <f t="shared" si="67"/>
        <v>67.5</v>
      </c>
      <c r="V93" s="432">
        <f t="shared" si="67"/>
        <v>225</v>
      </c>
      <c r="W93" s="431">
        <f t="shared" ref="W93:W105" si="68">SUM(K93:V93)</f>
        <v>6778.35</v>
      </c>
    </row>
    <row r="94" spans="9:23" x14ac:dyDescent="0.35">
      <c r="I94" s="581" t="s">
        <v>1274</v>
      </c>
      <c r="J94" s="835">
        <v>0.8</v>
      </c>
      <c r="K94" s="432">
        <f t="shared" ref="K94:V94" si="69">K7*$J94</f>
        <v>616</v>
      </c>
      <c r="L94" s="432">
        <f t="shared" si="69"/>
        <v>520</v>
      </c>
      <c r="M94" s="432">
        <f t="shared" si="69"/>
        <v>1632</v>
      </c>
      <c r="N94" s="432">
        <f t="shared" si="69"/>
        <v>498.8</v>
      </c>
      <c r="O94" s="432">
        <f t="shared" si="69"/>
        <v>852</v>
      </c>
      <c r="P94" s="432">
        <f t="shared" si="69"/>
        <v>1245.6000000000001</v>
      </c>
      <c r="Q94" s="432">
        <f t="shared" si="69"/>
        <v>616</v>
      </c>
      <c r="R94" s="432">
        <f t="shared" si="69"/>
        <v>785.6</v>
      </c>
      <c r="S94" s="432">
        <f t="shared" si="69"/>
        <v>138.4</v>
      </c>
      <c r="T94" s="432">
        <f t="shared" si="69"/>
        <v>1460.4</v>
      </c>
      <c r="U94" s="432">
        <f t="shared" si="69"/>
        <v>529.6</v>
      </c>
      <c r="V94" s="432">
        <f t="shared" si="69"/>
        <v>264.8</v>
      </c>
      <c r="W94" s="431">
        <f t="shared" si="68"/>
        <v>9159.2000000000007</v>
      </c>
    </row>
    <row r="95" spans="9:23" x14ac:dyDescent="0.35">
      <c r="I95" s="582" t="s">
        <v>1275</v>
      </c>
      <c r="J95" s="835">
        <v>0.45</v>
      </c>
      <c r="K95" s="432">
        <f t="shared" ref="K95:V95" si="70">K8*$J95</f>
        <v>1039.5</v>
      </c>
      <c r="L95" s="432">
        <f t="shared" si="70"/>
        <v>0</v>
      </c>
      <c r="M95" s="432">
        <f t="shared" si="70"/>
        <v>1127.25</v>
      </c>
      <c r="N95" s="432">
        <f t="shared" si="70"/>
        <v>857.25</v>
      </c>
      <c r="O95" s="432">
        <f t="shared" si="70"/>
        <v>348.75</v>
      </c>
      <c r="P95" s="432">
        <f t="shared" si="70"/>
        <v>0</v>
      </c>
      <c r="Q95" s="432">
        <f t="shared" si="70"/>
        <v>312.75</v>
      </c>
      <c r="R95" s="432">
        <f t="shared" si="70"/>
        <v>922.5</v>
      </c>
      <c r="S95" s="432">
        <f t="shared" si="70"/>
        <v>326.25</v>
      </c>
      <c r="T95" s="432">
        <f t="shared" si="70"/>
        <v>247.5</v>
      </c>
      <c r="U95" s="432">
        <f t="shared" si="70"/>
        <v>729.9</v>
      </c>
      <c r="V95" s="432">
        <f t="shared" si="70"/>
        <v>1391.4</v>
      </c>
      <c r="W95" s="431">
        <f t="shared" si="68"/>
        <v>7303.0499999999993</v>
      </c>
    </row>
    <row r="96" spans="9:23" x14ac:dyDescent="0.35">
      <c r="I96" s="581" t="s">
        <v>1276</v>
      </c>
      <c r="J96" s="835">
        <v>0.6</v>
      </c>
      <c r="K96" s="432">
        <f t="shared" ref="K96:V96" si="71">K9*$J96</f>
        <v>0</v>
      </c>
      <c r="L96" s="432">
        <f t="shared" si="71"/>
        <v>720</v>
      </c>
      <c r="M96" s="432">
        <f t="shared" si="71"/>
        <v>30</v>
      </c>
      <c r="N96" s="432">
        <f t="shared" si="71"/>
        <v>30</v>
      </c>
      <c r="O96" s="432">
        <f t="shared" si="71"/>
        <v>60</v>
      </c>
      <c r="P96" s="432">
        <f t="shared" si="71"/>
        <v>30</v>
      </c>
      <c r="Q96" s="432">
        <f t="shared" si="71"/>
        <v>180</v>
      </c>
      <c r="R96" s="432">
        <f t="shared" si="71"/>
        <v>30</v>
      </c>
      <c r="S96" s="432">
        <f t="shared" si="71"/>
        <v>30</v>
      </c>
      <c r="T96" s="432">
        <f t="shared" si="71"/>
        <v>180</v>
      </c>
      <c r="U96" s="432">
        <f t="shared" si="71"/>
        <v>30</v>
      </c>
      <c r="V96" s="432">
        <f t="shared" si="71"/>
        <v>2550</v>
      </c>
      <c r="W96" s="431">
        <f t="shared" si="68"/>
        <v>3870</v>
      </c>
    </row>
    <row r="97" spans="9:26" x14ac:dyDescent="0.35">
      <c r="I97" s="581" t="s">
        <v>1277</v>
      </c>
      <c r="J97" s="835">
        <v>0.6</v>
      </c>
      <c r="K97" s="432">
        <f t="shared" ref="K97:V97" si="72">K10*$J97</f>
        <v>0</v>
      </c>
      <c r="L97" s="432">
        <f t="shared" si="72"/>
        <v>-285</v>
      </c>
      <c r="M97" s="432">
        <f t="shared" si="72"/>
        <v>-115.19999999999999</v>
      </c>
      <c r="N97" s="432">
        <f t="shared" si="72"/>
        <v>-294.3</v>
      </c>
      <c r="O97" s="432">
        <f t="shared" si="72"/>
        <v>-352.2</v>
      </c>
      <c r="P97" s="432">
        <f t="shared" si="72"/>
        <v>-114</v>
      </c>
      <c r="Q97" s="432">
        <f t="shared" si="72"/>
        <v>-96</v>
      </c>
      <c r="R97" s="432">
        <f t="shared" si="72"/>
        <v>0</v>
      </c>
      <c r="S97" s="432">
        <f t="shared" si="72"/>
        <v>0</v>
      </c>
      <c r="T97" s="432">
        <f t="shared" si="72"/>
        <v>-370.5</v>
      </c>
      <c r="U97" s="432">
        <f t="shared" si="72"/>
        <v>0</v>
      </c>
      <c r="V97" s="432">
        <f t="shared" si="72"/>
        <v>-777.6</v>
      </c>
      <c r="W97" s="431">
        <f t="shared" si="68"/>
        <v>-2404.8000000000002</v>
      </c>
    </row>
    <row r="98" spans="9:26" x14ac:dyDescent="0.35">
      <c r="I98" s="581" t="s">
        <v>1278</v>
      </c>
      <c r="J98" s="835">
        <v>0.95</v>
      </c>
      <c r="K98" s="432">
        <f t="shared" ref="K98:V98" si="73">K11*$J98</f>
        <v>76</v>
      </c>
      <c r="L98" s="432">
        <f t="shared" si="73"/>
        <v>57</v>
      </c>
      <c r="M98" s="432">
        <f t="shared" si="73"/>
        <v>57</v>
      </c>
      <c r="N98" s="432">
        <f t="shared" si="73"/>
        <v>38</v>
      </c>
      <c r="O98" s="432">
        <f t="shared" si="73"/>
        <v>57</v>
      </c>
      <c r="P98" s="432">
        <f t="shared" si="73"/>
        <v>38</v>
      </c>
      <c r="Q98" s="432">
        <f t="shared" si="73"/>
        <v>38</v>
      </c>
      <c r="R98" s="432">
        <f t="shared" si="73"/>
        <v>209</v>
      </c>
      <c r="S98" s="432">
        <f t="shared" si="73"/>
        <v>19</v>
      </c>
      <c r="T98" s="432">
        <f t="shared" si="73"/>
        <v>38</v>
      </c>
      <c r="U98" s="432">
        <f t="shared" si="73"/>
        <v>38</v>
      </c>
      <c r="V98" s="432">
        <f t="shared" si="73"/>
        <v>266</v>
      </c>
      <c r="W98" s="431">
        <f t="shared" si="68"/>
        <v>931</v>
      </c>
    </row>
    <row r="99" spans="9:26" x14ac:dyDescent="0.35">
      <c r="I99" s="582" t="s">
        <v>1279</v>
      </c>
      <c r="J99" s="835">
        <v>0.95</v>
      </c>
      <c r="K99" s="432">
        <f t="shared" ref="K99:V99" si="74">K12*$J99</f>
        <v>180.5</v>
      </c>
      <c r="L99" s="432">
        <f t="shared" si="74"/>
        <v>684</v>
      </c>
      <c r="M99" s="432">
        <f t="shared" si="74"/>
        <v>818.9</v>
      </c>
      <c r="N99" s="432">
        <f t="shared" si="74"/>
        <v>0</v>
      </c>
      <c r="O99" s="432">
        <f t="shared" si="74"/>
        <v>323.95</v>
      </c>
      <c r="P99" s="432">
        <f t="shared" si="74"/>
        <v>612.75</v>
      </c>
      <c r="Q99" s="432">
        <f t="shared" si="74"/>
        <v>527.25</v>
      </c>
      <c r="R99" s="432">
        <f t="shared" si="74"/>
        <v>774.25</v>
      </c>
      <c r="S99" s="432">
        <f t="shared" si="74"/>
        <v>451.25</v>
      </c>
      <c r="T99" s="432">
        <f t="shared" si="74"/>
        <v>342</v>
      </c>
      <c r="U99" s="432">
        <f t="shared" si="74"/>
        <v>560.5</v>
      </c>
      <c r="V99" s="432">
        <f t="shared" si="74"/>
        <v>608</v>
      </c>
      <c r="W99" s="431">
        <f t="shared" si="68"/>
        <v>5883.35</v>
      </c>
    </row>
    <row r="100" spans="9:26" x14ac:dyDescent="0.35">
      <c r="I100" s="582" t="s">
        <v>1280</v>
      </c>
      <c r="J100" s="835">
        <v>0.5</v>
      </c>
      <c r="K100" s="432">
        <f t="shared" ref="K100:V100" si="75">K13*$J100</f>
        <v>0</v>
      </c>
      <c r="L100" s="432">
        <f t="shared" si="75"/>
        <v>0</v>
      </c>
      <c r="M100" s="432">
        <f t="shared" si="75"/>
        <v>525</v>
      </c>
      <c r="N100" s="432">
        <f t="shared" si="75"/>
        <v>87.5</v>
      </c>
      <c r="O100" s="432">
        <f t="shared" si="75"/>
        <v>212.5</v>
      </c>
      <c r="P100" s="432">
        <f t="shared" si="75"/>
        <v>0</v>
      </c>
      <c r="Q100" s="432">
        <f t="shared" si="75"/>
        <v>112.5</v>
      </c>
      <c r="R100" s="432">
        <f t="shared" si="75"/>
        <v>50</v>
      </c>
      <c r="S100" s="432">
        <f t="shared" si="75"/>
        <v>75</v>
      </c>
      <c r="T100" s="432">
        <f t="shared" si="75"/>
        <v>0</v>
      </c>
      <c r="U100" s="432">
        <f t="shared" si="75"/>
        <v>562.5</v>
      </c>
      <c r="V100" s="432">
        <f t="shared" si="75"/>
        <v>245</v>
      </c>
      <c r="W100" s="431">
        <f t="shared" si="68"/>
        <v>1870</v>
      </c>
    </row>
    <row r="101" spans="9:26" x14ac:dyDescent="0.35">
      <c r="I101" s="582" t="s">
        <v>1281</v>
      </c>
      <c r="J101" s="835">
        <v>0.5</v>
      </c>
      <c r="K101" s="432">
        <f t="shared" ref="K101:V101" si="76">K14*$J101</f>
        <v>0</v>
      </c>
      <c r="L101" s="432">
        <f t="shared" si="76"/>
        <v>0</v>
      </c>
      <c r="M101" s="432">
        <f t="shared" si="76"/>
        <v>-195</v>
      </c>
      <c r="N101" s="432">
        <f t="shared" si="76"/>
        <v>0</v>
      </c>
      <c r="O101" s="432">
        <f t="shared" si="76"/>
        <v>-62.5</v>
      </c>
      <c r="P101" s="432">
        <f t="shared" si="76"/>
        <v>-30</v>
      </c>
      <c r="Q101" s="432">
        <f t="shared" si="76"/>
        <v>-5</v>
      </c>
      <c r="R101" s="432">
        <f t="shared" si="76"/>
        <v>0</v>
      </c>
      <c r="S101" s="432">
        <f t="shared" si="76"/>
        <v>-250</v>
      </c>
      <c r="T101" s="432">
        <f t="shared" si="76"/>
        <v>-6</v>
      </c>
      <c r="U101" s="432">
        <f t="shared" si="76"/>
        <v>-125</v>
      </c>
      <c r="V101" s="432">
        <f t="shared" si="76"/>
        <v>-25</v>
      </c>
      <c r="W101" s="431">
        <f t="shared" si="68"/>
        <v>-698.5</v>
      </c>
    </row>
    <row r="102" spans="9:26" x14ac:dyDescent="0.35">
      <c r="I102" s="582" t="s">
        <v>1282</v>
      </c>
      <c r="J102" s="835">
        <v>0.99</v>
      </c>
      <c r="K102" s="432">
        <f t="shared" ref="K102:V102" si="77">K15*$J102</f>
        <v>168.28020000000001</v>
      </c>
      <c r="L102" s="432">
        <f t="shared" si="77"/>
        <v>69.874200000000002</v>
      </c>
      <c r="M102" s="432">
        <f t="shared" si="77"/>
        <v>106.227</v>
      </c>
      <c r="N102" s="432">
        <f t="shared" si="77"/>
        <v>44.9163</v>
      </c>
      <c r="O102" s="432">
        <f t="shared" si="77"/>
        <v>1103.2460999999998</v>
      </c>
      <c r="P102" s="432">
        <f t="shared" si="77"/>
        <v>263.98349999999999</v>
      </c>
      <c r="Q102" s="432">
        <f t="shared" si="77"/>
        <v>29.541599999999999</v>
      </c>
      <c r="R102" s="432">
        <f t="shared" si="77"/>
        <v>43.748100000000001</v>
      </c>
      <c r="S102" s="432">
        <f t="shared" si="77"/>
        <v>24.354000000000003</v>
      </c>
      <c r="T102" s="432">
        <f t="shared" si="77"/>
        <v>34.65</v>
      </c>
      <c r="U102" s="432">
        <f t="shared" si="77"/>
        <v>97.4358</v>
      </c>
      <c r="V102" s="432">
        <f t="shared" si="77"/>
        <v>262.40940000000001</v>
      </c>
      <c r="W102" s="431">
        <f t="shared" si="68"/>
        <v>2248.6662000000001</v>
      </c>
    </row>
    <row r="103" spans="9:26" x14ac:dyDescent="0.35">
      <c r="I103" s="582" t="s">
        <v>1283</v>
      </c>
      <c r="J103" s="835">
        <v>0.9</v>
      </c>
      <c r="K103" s="432">
        <f t="shared" ref="K103:V103" si="78">K16*$J103</f>
        <v>270</v>
      </c>
      <c r="L103" s="432">
        <f t="shared" si="78"/>
        <v>270</v>
      </c>
      <c r="M103" s="432">
        <f t="shared" si="78"/>
        <v>247.5</v>
      </c>
      <c r="N103" s="432">
        <f t="shared" si="78"/>
        <v>0</v>
      </c>
      <c r="O103" s="432">
        <f t="shared" si="78"/>
        <v>265.5</v>
      </c>
      <c r="P103" s="432">
        <f t="shared" si="78"/>
        <v>468</v>
      </c>
      <c r="Q103" s="432">
        <f t="shared" si="78"/>
        <v>0</v>
      </c>
      <c r="R103" s="432">
        <f t="shared" si="78"/>
        <v>157.5</v>
      </c>
      <c r="S103" s="432">
        <f t="shared" si="78"/>
        <v>180</v>
      </c>
      <c r="T103" s="432">
        <f t="shared" si="78"/>
        <v>400.5</v>
      </c>
      <c r="U103" s="432">
        <f t="shared" si="78"/>
        <v>891</v>
      </c>
      <c r="V103" s="432">
        <f t="shared" si="78"/>
        <v>0</v>
      </c>
      <c r="W103" s="431">
        <f t="shared" si="68"/>
        <v>3150</v>
      </c>
    </row>
    <row r="104" spans="9:26" x14ac:dyDescent="0.35">
      <c r="I104" s="582" t="s">
        <v>1284</v>
      </c>
      <c r="J104" s="835">
        <v>0.8</v>
      </c>
      <c r="K104" s="432">
        <f t="shared" ref="K104:V104" si="79">K17*$J104</f>
        <v>33.6</v>
      </c>
      <c r="L104" s="432">
        <f t="shared" si="79"/>
        <v>41.6</v>
      </c>
      <c r="M104" s="432">
        <f t="shared" si="79"/>
        <v>13.600000000000001</v>
      </c>
      <c r="N104" s="432">
        <f t="shared" si="79"/>
        <v>0</v>
      </c>
      <c r="O104" s="432">
        <f t="shared" si="79"/>
        <v>24.8</v>
      </c>
      <c r="P104" s="432">
        <f t="shared" si="79"/>
        <v>1.6</v>
      </c>
      <c r="Q104" s="432">
        <f t="shared" si="79"/>
        <v>67.552000000000007</v>
      </c>
      <c r="R104" s="432">
        <f t="shared" si="79"/>
        <v>79.144000000000005</v>
      </c>
      <c r="S104" s="432">
        <f t="shared" si="79"/>
        <v>56.800000000000004</v>
      </c>
      <c r="T104" s="432">
        <f t="shared" si="79"/>
        <v>31.512</v>
      </c>
      <c r="U104" s="432">
        <f t="shared" si="79"/>
        <v>16.144000000000002</v>
      </c>
      <c r="V104" s="432">
        <f t="shared" si="79"/>
        <v>0</v>
      </c>
      <c r="W104" s="431">
        <f t="shared" si="68"/>
        <v>366.35200000000003</v>
      </c>
      <c r="X104" s="445"/>
      <c r="Y104" s="558"/>
      <c r="Z104" s="434"/>
    </row>
    <row r="105" spans="9:26" ht="13.5" customHeight="1" thickBot="1" x14ac:dyDescent="0.45">
      <c r="I105" s="821" t="s">
        <v>63</v>
      </c>
      <c r="J105" s="936">
        <f>W105/W18</f>
        <v>0.72020521446782804</v>
      </c>
      <c r="K105" s="911">
        <f t="shared" ref="K105:V105" si="80">SUM(K93:K104)</f>
        <v>3727.1302000000001</v>
      </c>
      <c r="L105" s="911">
        <f t="shared" si="80"/>
        <v>2311.4742000000001</v>
      </c>
      <c r="M105" s="911">
        <f t="shared" si="80"/>
        <v>5247.6270000000004</v>
      </c>
      <c r="N105" s="911">
        <f t="shared" si="80"/>
        <v>2121.6662999999999</v>
      </c>
      <c r="O105" s="911">
        <f t="shared" si="80"/>
        <v>3103.0461</v>
      </c>
      <c r="P105" s="911">
        <f t="shared" si="80"/>
        <v>2515.9335000000001</v>
      </c>
      <c r="Q105" s="911">
        <f t="shared" si="80"/>
        <v>2034.5935999999999</v>
      </c>
      <c r="R105" s="911">
        <f t="shared" si="80"/>
        <v>4291.4920999999995</v>
      </c>
      <c r="S105" s="911">
        <f t="shared" si="80"/>
        <v>2113.0540000000001</v>
      </c>
      <c r="T105" s="911">
        <f t="shared" si="80"/>
        <v>2583.0620000000004</v>
      </c>
      <c r="U105" s="911">
        <f t="shared" si="80"/>
        <v>3397.5798</v>
      </c>
      <c r="V105" s="911">
        <f t="shared" si="80"/>
        <v>5010.0094000000008</v>
      </c>
      <c r="W105" s="431">
        <f t="shared" si="68"/>
        <v>38456.668200000007</v>
      </c>
      <c r="X105" s="445">
        <f>IFERROR(W105/W18,0)</f>
        <v>0.72020521446782804</v>
      </c>
      <c r="Y105" s="558">
        <f>J105*12</f>
        <v>8.6424625736139369</v>
      </c>
      <c r="Z105" s="434">
        <f>W105-Y105</f>
        <v>38448.025737426397</v>
      </c>
    </row>
    <row r="106" spans="9:26" x14ac:dyDescent="0.35">
      <c r="K106" s="445">
        <f t="shared" ref="K106:W106" si="81">K105/K18</f>
        <v>0.69607696732455815</v>
      </c>
      <c r="L106" s="445">
        <f t="shared" si="81"/>
        <v>0.81459349163724026</v>
      </c>
      <c r="M106" s="445">
        <f t="shared" si="81"/>
        <v>0.70007564235972153</v>
      </c>
      <c r="N106" s="445">
        <f t="shared" si="81"/>
        <v>0.64227328455486365</v>
      </c>
      <c r="O106" s="445">
        <f t="shared" si="81"/>
        <v>0.81779840764918743</v>
      </c>
      <c r="P106" s="445">
        <f t="shared" si="81"/>
        <v>0.88881829261830325</v>
      </c>
      <c r="Q106" s="445">
        <f t="shared" si="81"/>
        <v>0.72424023237270752</v>
      </c>
      <c r="R106" s="445">
        <f t="shared" si="81"/>
        <v>0.72581902777448903</v>
      </c>
      <c r="S106" s="445">
        <f t="shared" si="81"/>
        <v>0.82264813517091029</v>
      </c>
      <c r="T106" s="445">
        <f t="shared" si="81"/>
        <v>0.80334329583658604</v>
      </c>
      <c r="U106" s="445">
        <f t="shared" si="81"/>
        <v>0.67645836817584515</v>
      </c>
      <c r="V106" s="445">
        <f t="shared" si="81"/>
        <v>0.60712227007559338</v>
      </c>
      <c r="W106" s="445">
        <f t="shared" si="81"/>
        <v>0.72020521446782804</v>
      </c>
    </row>
    <row r="107" spans="9:26" ht="13.15" customHeight="1" x14ac:dyDescent="0.4">
      <c r="I107" s="566" t="s">
        <v>157</v>
      </c>
      <c r="K107" s="577" t="s">
        <v>142</v>
      </c>
      <c r="L107" s="577" t="s">
        <v>143</v>
      </c>
      <c r="M107" s="577" t="s">
        <v>144</v>
      </c>
      <c r="N107" s="577" t="s">
        <v>145</v>
      </c>
      <c r="O107" s="577" t="s">
        <v>146</v>
      </c>
      <c r="P107" s="577" t="s">
        <v>147</v>
      </c>
      <c r="Q107" s="577" t="s">
        <v>148</v>
      </c>
      <c r="R107" s="577" t="s">
        <v>149</v>
      </c>
      <c r="S107" s="577" t="s">
        <v>150</v>
      </c>
      <c r="T107" s="577" t="s">
        <v>151</v>
      </c>
      <c r="U107" s="577" t="s">
        <v>152</v>
      </c>
      <c r="V107" s="577" t="s">
        <v>153</v>
      </c>
      <c r="W107" s="577" t="s">
        <v>19</v>
      </c>
      <c r="X107" s="423" t="s">
        <v>158</v>
      </c>
      <c r="Y107" s="423" t="s">
        <v>22</v>
      </c>
    </row>
    <row r="108" spans="9:26" x14ac:dyDescent="0.35">
      <c r="I108" s="426" t="s">
        <v>159</v>
      </c>
      <c r="K108" s="432">
        <f t="shared" ref="K108:K116" si="82">SUMIFS($E$164:$E$566,$A$164:$A$566,"&gt;31/12/2022",$A$164:$A$566,"&lt;1/2/2023",$D$164:$D$566,$I108)</f>
        <v>3976</v>
      </c>
      <c r="L108" s="432">
        <f t="shared" ref="L108:L116" si="83">SUMIFS($E$164:$E$566,$A$164:$A$566,"&gt;31/1/2023",$A$164:$A$566,"&lt;1/3/2023",$D$164:$D$566,$I108)</f>
        <v>897</v>
      </c>
      <c r="M108" s="432">
        <f t="shared" ref="M108:M116" si="84">SUMIFS($E$164:$E$566,$A$164:$A$566,"&gt;28/2/2023",$A$164:$A$566,"&lt;1/4/2023",$D$164:$D$566,$I108)</f>
        <v>4541</v>
      </c>
      <c r="N108" s="432">
        <f t="shared" ref="N108:N116" si="85">SUMIFS($E$164:$E$566,$A$164:$A$566,"&gt;31/3/2023",$A$164:$A$566,"&lt;1/5/2023",$D$164:$D$566,$I108)</f>
        <v>2579</v>
      </c>
      <c r="O108" s="432">
        <f t="shared" ref="O108:O116" si="86">SUMIFS($E$164:$E$566,$A$164:$A$566,"&gt;30/4/2023",$A$164:$A$566,"&lt;1/6/2023",$D$164:$D$566,$I108)</f>
        <v>947</v>
      </c>
      <c r="P108" s="432">
        <f t="shared" ref="P108:P116" si="87">SUMIFS($E$164:$E$566,$A$164:$A$566,"&gt;31/5/2023",$A$164:$A$566,"&lt;1/7/2023",$D$164:$D$566,$I108)</f>
        <v>2207</v>
      </c>
      <c r="Q108" s="432">
        <f t="shared" ref="Q108:Q116" si="88">SUMIFS($E$164:$E$566,$A$164:$A$566,"&gt;30/6/2023",$A$164:$A$566,"&lt;1/8/2023",$D$164:$D$566,$I108)</f>
        <v>1250</v>
      </c>
      <c r="R108" s="432">
        <f t="shared" ref="R108:R116" si="89">SUMIFS($E$164:$E$566,$A$164:$A$566,"&gt;31/7/2023",$A$164:$A$566,"&lt;1/9/2023",$D$164:$D$566,$I108)</f>
        <v>4272</v>
      </c>
      <c r="S108" s="432">
        <f t="shared" ref="S108:S116" si="90">SUMIFS($E$164:$E$566,$A$164:$A$566,"&gt;31/8/2023",$A$164:$A$566,"&lt;1/10/2023",$D$164:$D$566,$I108)</f>
        <v>1974</v>
      </c>
      <c r="T108" s="432">
        <f t="shared" ref="T108:T116" si="91">SUMIFS($E$164:$E$566,$A$164:$A$566,"&gt;30/9/2023",$A$164:$A$566,"&lt;1/11/2023",$D$164:$D$566,$I108)</f>
        <v>1540</v>
      </c>
      <c r="U108" s="432">
        <f t="shared" ref="U108:U116" si="92">SUMIFS($E$164:$E$566,$A$164:$A$566,"&gt;31/10/2023",$A$164:$A$566,"&lt;1/12/2023",$D$164:$D$566,$I108)</f>
        <v>2806</v>
      </c>
      <c r="V108" s="432">
        <f t="shared" ref="V108:V116" si="93">SUMIFS($E$164:$E$566,$A$164:$A$566,"&gt;30/11/2023",$A$164:$A$566,"&lt;1/1/2024",$D$164:$D$566,$I108)</f>
        <v>6377</v>
      </c>
      <c r="W108" s="432">
        <f t="shared" ref="W108:W116" si="94">SUM(K108:V108)</f>
        <v>33366</v>
      </c>
      <c r="X108" s="460">
        <f t="shared" ref="X108:X113" si="95">L108/$L$117</f>
        <v>0.31611443554014335</v>
      </c>
      <c r="Y108" s="460">
        <f>W108/W117</f>
        <v>0.62486867195462203</v>
      </c>
    </row>
    <row r="109" spans="9:26" x14ac:dyDescent="0.35">
      <c r="I109" s="426" t="s">
        <v>160</v>
      </c>
      <c r="K109" s="432">
        <f t="shared" si="82"/>
        <v>684.02</v>
      </c>
      <c r="L109" s="432">
        <f t="shared" si="83"/>
        <v>480.58</v>
      </c>
      <c r="M109" s="432">
        <f t="shared" si="84"/>
        <v>1531</v>
      </c>
      <c r="N109" s="432">
        <f t="shared" si="85"/>
        <v>445.37</v>
      </c>
      <c r="O109" s="432">
        <f t="shared" si="86"/>
        <v>523</v>
      </c>
      <c r="P109" s="432">
        <f t="shared" si="87"/>
        <v>217</v>
      </c>
      <c r="Q109" s="432">
        <f t="shared" si="88"/>
        <v>186.84</v>
      </c>
      <c r="R109" s="432">
        <f t="shared" si="89"/>
        <v>219.19</v>
      </c>
      <c r="S109" s="432">
        <f t="shared" si="90"/>
        <v>324.60000000000002</v>
      </c>
      <c r="T109" s="432">
        <f t="shared" si="91"/>
        <v>521</v>
      </c>
      <c r="U109" s="432">
        <f t="shared" si="92"/>
        <v>480.42</v>
      </c>
      <c r="V109" s="432">
        <f t="shared" si="93"/>
        <v>385.06</v>
      </c>
      <c r="W109" s="432">
        <f t="shared" si="94"/>
        <v>5998.0800000000008</v>
      </c>
      <c r="X109" s="460">
        <f t="shared" si="95"/>
        <v>0.1693626258995341</v>
      </c>
      <c r="Y109" s="460">
        <f>W109/W117</f>
        <v>0.11233028483718695</v>
      </c>
    </row>
    <row r="110" spans="9:26" x14ac:dyDescent="0.35">
      <c r="I110" s="426" t="s">
        <v>161</v>
      </c>
      <c r="K110" s="432">
        <f t="shared" si="82"/>
        <v>60</v>
      </c>
      <c r="L110" s="432">
        <f t="shared" si="83"/>
        <v>60</v>
      </c>
      <c r="M110" s="432">
        <f t="shared" si="84"/>
        <v>40</v>
      </c>
      <c r="N110" s="432">
        <f t="shared" si="85"/>
        <v>90</v>
      </c>
      <c r="O110" s="432">
        <f t="shared" si="86"/>
        <v>90</v>
      </c>
      <c r="P110" s="432">
        <f t="shared" si="87"/>
        <v>90</v>
      </c>
      <c r="Q110" s="432">
        <f t="shared" si="88"/>
        <v>70</v>
      </c>
      <c r="R110" s="432">
        <f t="shared" si="89"/>
        <v>70</v>
      </c>
      <c r="S110" s="432">
        <f t="shared" si="90"/>
        <v>70</v>
      </c>
      <c r="T110" s="432">
        <f t="shared" si="91"/>
        <v>340</v>
      </c>
      <c r="U110" s="432">
        <f t="shared" si="92"/>
        <v>90</v>
      </c>
      <c r="V110" s="432">
        <f t="shared" si="93"/>
        <v>90</v>
      </c>
      <c r="W110" s="432">
        <f t="shared" si="94"/>
        <v>1160</v>
      </c>
      <c r="X110" s="460">
        <f t="shared" si="95"/>
        <v>2.1144778296999556E-2</v>
      </c>
      <c r="Y110" s="460">
        <f>W110/W117</f>
        <v>2.1724140126696684E-2</v>
      </c>
    </row>
    <row r="111" spans="9:26" x14ac:dyDescent="0.35">
      <c r="I111" s="426" t="s">
        <v>162</v>
      </c>
      <c r="K111" s="432">
        <f t="shared" si="82"/>
        <v>484.46000000000004</v>
      </c>
      <c r="L111" s="432">
        <f t="shared" si="83"/>
        <v>1400</v>
      </c>
      <c r="M111" s="432">
        <f t="shared" si="84"/>
        <v>1383.8</v>
      </c>
      <c r="N111" s="432">
        <f t="shared" si="85"/>
        <v>189</v>
      </c>
      <c r="O111" s="432">
        <f t="shared" si="86"/>
        <v>2234.39</v>
      </c>
      <c r="P111" s="432">
        <f t="shared" si="87"/>
        <v>316.64999999999998</v>
      </c>
      <c r="Q111" s="432">
        <f t="shared" si="88"/>
        <v>1302.44</v>
      </c>
      <c r="R111" s="432">
        <f t="shared" si="89"/>
        <v>1301.43</v>
      </c>
      <c r="S111" s="432">
        <f t="shared" si="90"/>
        <v>200</v>
      </c>
      <c r="T111" s="432">
        <f t="shared" si="91"/>
        <v>814.39</v>
      </c>
      <c r="U111" s="432">
        <f t="shared" si="92"/>
        <v>1646.1799999999998</v>
      </c>
      <c r="V111" s="432">
        <f t="shared" si="93"/>
        <v>1400</v>
      </c>
      <c r="W111" s="432">
        <f t="shared" si="94"/>
        <v>12672.74</v>
      </c>
      <c r="X111" s="460">
        <f t="shared" si="95"/>
        <v>0.49337816026332298</v>
      </c>
      <c r="Y111" s="460">
        <f>W111/W117</f>
        <v>0.23733136168033978</v>
      </c>
    </row>
    <row r="112" spans="9:26" x14ac:dyDescent="0.35">
      <c r="I112" s="426" t="s">
        <v>163</v>
      </c>
      <c r="K112" s="432">
        <f t="shared" si="82"/>
        <v>0</v>
      </c>
      <c r="L112" s="432">
        <f t="shared" si="83"/>
        <v>0</v>
      </c>
      <c r="M112" s="432">
        <f t="shared" si="84"/>
        <v>0</v>
      </c>
      <c r="N112" s="432">
        <f t="shared" si="85"/>
        <v>0</v>
      </c>
      <c r="O112" s="432">
        <f t="shared" si="86"/>
        <v>0</v>
      </c>
      <c r="P112" s="432">
        <f t="shared" si="87"/>
        <v>0</v>
      </c>
      <c r="Q112" s="432">
        <f t="shared" si="88"/>
        <v>0</v>
      </c>
      <c r="R112" s="432">
        <f t="shared" si="89"/>
        <v>0</v>
      </c>
      <c r="S112" s="432">
        <f t="shared" si="90"/>
        <v>0</v>
      </c>
      <c r="T112" s="432">
        <f t="shared" si="91"/>
        <v>0</v>
      </c>
      <c r="U112" s="432">
        <f t="shared" si="92"/>
        <v>0</v>
      </c>
      <c r="V112" s="432">
        <f t="shared" si="93"/>
        <v>0</v>
      </c>
      <c r="W112" s="432">
        <f t="shared" si="94"/>
        <v>0</v>
      </c>
      <c r="X112" s="460">
        <f t="shared" si="95"/>
        <v>0</v>
      </c>
      <c r="Y112" s="460">
        <f>W112/W117</f>
        <v>0</v>
      </c>
    </row>
    <row r="113" spans="9:25" x14ac:dyDescent="0.35">
      <c r="I113" s="426" t="s">
        <v>164</v>
      </c>
      <c r="K113" s="432">
        <f t="shared" si="82"/>
        <v>150</v>
      </c>
      <c r="L113" s="432">
        <f t="shared" si="83"/>
        <v>0</v>
      </c>
      <c r="M113" s="432">
        <f t="shared" si="84"/>
        <v>0</v>
      </c>
      <c r="N113" s="432">
        <f t="shared" si="85"/>
        <v>0</v>
      </c>
      <c r="O113" s="432">
        <f t="shared" si="86"/>
        <v>0</v>
      </c>
      <c r="P113" s="432">
        <f t="shared" si="87"/>
        <v>0</v>
      </c>
      <c r="Q113" s="432">
        <f t="shared" si="88"/>
        <v>0</v>
      </c>
      <c r="R113" s="432">
        <f t="shared" si="89"/>
        <v>50</v>
      </c>
      <c r="S113" s="432">
        <f t="shared" si="90"/>
        <v>0</v>
      </c>
      <c r="T113" s="432">
        <f t="shared" si="91"/>
        <v>0</v>
      </c>
      <c r="U113" s="432">
        <f t="shared" si="92"/>
        <v>0</v>
      </c>
      <c r="V113" s="432">
        <f t="shared" si="93"/>
        <v>0</v>
      </c>
      <c r="W113" s="432">
        <f t="shared" si="94"/>
        <v>200</v>
      </c>
      <c r="X113" s="460">
        <f t="shared" si="95"/>
        <v>0</v>
      </c>
      <c r="Y113" s="460">
        <f>W113/W117</f>
        <v>3.7455414011546007E-3</v>
      </c>
    </row>
    <row r="114" spans="9:25" x14ac:dyDescent="0.35">
      <c r="I114" s="45" t="s">
        <v>165</v>
      </c>
      <c r="K114" s="432">
        <f t="shared" si="82"/>
        <v>0</v>
      </c>
      <c r="L114" s="432">
        <f t="shared" si="83"/>
        <v>0</v>
      </c>
      <c r="M114" s="432">
        <f t="shared" si="84"/>
        <v>0</v>
      </c>
      <c r="N114" s="432">
        <f t="shared" si="85"/>
        <v>0</v>
      </c>
      <c r="O114" s="432">
        <f t="shared" si="86"/>
        <v>0</v>
      </c>
      <c r="P114" s="432">
        <f t="shared" si="87"/>
        <v>0</v>
      </c>
      <c r="Q114" s="432">
        <f t="shared" si="88"/>
        <v>0</v>
      </c>
      <c r="R114" s="432">
        <f t="shared" si="89"/>
        <v>0</v>
      </c>
      <c r="S114" s="432">
        <f t="shared" si="90"/>
        <v>0</v>
      </c>
      <c r="T114" s="432">
        <f t="shared" si="91"/>
        <v>0</v>
      </c>
      <c r="U114" s="432">
        <f t="shared" si="92"/>
        <v>0</v>
      </c>
      <c r="V114" s="432">
        <f t="shared" si="93"/>
        <v>0</v>
      </c>
      <c r="W114" s="432">
        <f t="shared" si="94"/>
        <v>0</v>
      </c>
      <c r="X114" s="460"/>
      <c r="Y114" s="460"/>
    </row>
    <row r="115" spans="9:25" x14ac:dyDescent="0.35">
      <c r="I115" s="45" t="s">
        <v>166</v>
      </c>
      <c r="K115" s="432">
        <f t="shared" si="82"/>
        <v>0</v>
      </c>
      <c r="L115" s="432">
        <f t="shared" si="83"/>
        <v>0</v>
      </c>
      <c r="M115" s="432">
        <f t="shared" si="84"/>
        <v>0</v>
      </c>
      <c r="N115" s="432">
        <f t="shared" si="85"/>
        <v>0</v>
      </c>
      <c r="O115" s="432">
        <f t="shared" si="86"/>
        <v>0</v>
      </c>
      <c r="P115" s="432">
        <f t="shared" si="87"/>
        <v>0</v>
      </c>
      <c r="Q115" s="432">
        <f t="shared" si="88"/>
        <v>0</v>
      </c>
      <c r="R115" s="432">
        <f t="shared" si="89"/>
        <v>0</v>
      </c>
      <c r="S115" s="432">
        <f t="shared" si="90"/>
        <v>0</v>
      </c>
      <c r="T115" s="432">
        <f t="shared" si="91"/>
        <v>0</v>
      </c>
      <c r="U115" s="432">
        <f t="shared" si="92"/>
        <v>0</v>
      </c>
      <c r="V115" s="432">
        <f t="shared" si="93"/>
        <v>0</v>
      </c>
      <c r="W115" s="432">
        <f t="shared" si="94"/>
        <v>0</v>
      </c>
      <c r="X115" s="460">
        <f>L115/$L$117</f>
        <v>0</v>
      </c>
      <c r="Y115" s="460">
        <f>W115/W117</f>
        <v>0</v>
      </c>
    </row>
    <row r="116" spans="9:25" x14ac:dyDescent="0.35">
      <c r="I116" s="45" t="s">
        <v>167</v>
      </c>
      <c r="K116" s="432">
        <f t="shared" si="82"/>
        <v>0</v>
      </c>
      <c r="L116" s="432">
        <f t="shared" si="83"/>
        <v>0</v>
      </c>
      <c r="M116" s="432">
        <f t="shared" si="84"/>
        <v>0</v>
      </c>
      <c r="N116" s="432">
        <f t="shared" si="85"/>
        <v>0</v>
      </c>
      <c r="O116" s="432">
        <f t="shared" si="86"/>
        <v>0</v>
      </c>
      <c r="P116" s="432">
        <f t="shared" si="87"/>
        <v>0</v>
      </c>
      <c r="Q116" s="432">
        <f t="shared" si="88"/>
        <v>0</v>
      </c>
      <c r="R116" s="432">
        <f t="shared" si="89"/>
        <v>0</v>
      </c>
      <c r="S116" s="432">
        <f t="shared" si="90"/>
        <v>0</v>
      </c>
      <c r="T116" s="432">
        <f t="shared" si="91"/>
        <v>0</v>
      </c>
      <c r="U116" s="432">
        <f t="shared" si="92"/>
        <v>0</v>
      </c>
      <c r="V116" s="432">
        <f t="shared" si="93"/>
        <v>0</v>
      </c>
      <c r="W116" s="432">
        <f t="shared" si="94"/>
        <v>0</v>
      </c>
      <c r="X116" s="460">
        <f>L116/$L$117</f>
        <v>0</v>
      </c>
      <c r="Y116" s="460">
        <f>W116/W117</f>
        <v>0</v>
      </c>
    </row>
    <row r="117" spans="9:25" ht="13.5" customHeight="1" thickBot="1" x14ac:dyDescent="0.45">
      <c r="I117" s="454"/>
      <c r="K117" s="797">
        <f t="shared" ref="K117:W117" si="96">SUM(K108:K116)</f>
        <v>5354.4800000000005</v>
      </c>
      <c r="L117" s="797">
        <f t="shared" si="96"/>
        <v>2837.58</v>
      </c>
      <c r="M117" s="797">
        <f t="shared" si="96"/>
        <v>7495.8</v>
      </c>
      <c r="N117" s="797">
        <f t="shared" si="96"/>
        <v>3303.37</v>
      </c>
      <c r="O117" s="797">
        <f t="shared" si="96"/>
        <v>3794.39</v>
      </c>
      <c r="P117" s="797">
        <f t="shared" si="96"/>
        <v>2830.65</v>
      </c>
      <c r="Q117" s="797">
        <f t="shared" si="96"/>
        <v>2809.2799999999997</v>
      </c>
      <c r="R117" s="797">
        <f t="shared" si="96"/>
        <v>5912.62</v>
      </c>
      <c r="S117" s="797">
        <f t="shared" si="96"/>
        <v>2568.6</v>
      </c>
      <c r="T117" s="797">
        <f t="shared" si="96"/>
        <v>3215.39</v>
      </c>
      <c r="U117" s="797">
        <f t="shared" si="96"/>
        <v>5022.6000000000004</v>
      </c>
      <c r="V117" s="797">
        <f t="shared" si="96"/>
        <v>8252.0600000000013</v>
      </c>
      <c r="W117" s="797">
        <f t="shared" si="96"/>
        <v>53396.82</v>
      </c>
      <c r="X117" s="454"/>
      <c r="Y117" s="466"/>
    </row>
    <row r="118" spans="9:25" ht="13.15" customHeight="1" thickTop="1" x14ac:dyDescent="0.35">
      <c r="I118" s="454"/>
      <c r="K118" s="434">
        <f t="shared" ref="K118:W118" si="97">K117-K18</f>
        <v>0</v>
      </c>
      <c r="L118" s="434">
        <f t="shared" si="97"/>
        <v>0</v>
      </c>
      <c r="M118" s="434">
        <f t="shared" si="97"/>
        <v>0</v>
      </c>
      <c r="N118" s="434">
        <f t="shared" si="97"/>
        <v>0</v>
      </c>
      <c r="O118" s="434">
        <f t="shared" si="97"/>
        <v>0</v>
      </c>
      <c r="P118" s="434">
        <f t="shared" si="97"/>
        <v>0</v>
      </c>
      <c r="Q118" s="434">
        <f t="shared" si="97"/>
        <v>0</v>
      </c>
      <c r="R118" s="434">
        <f t="shared" si="97"/>
        <v>0</v>
      </c>
      <c r="S118" s="434">
        <f t="shared" si="97"/>
        <v>0</v>
      </c>
      <c r="T118" s="434">
        <f t="shared" si="97"/>
        <v>0</v>
      </c>
      <c r="U118" s="434">
        <f t="shared" si="97"/>
        <v>0</v>
      </c>
      <c r="V118" s="434">
        <f t="shared" si="97"/>
        <v>0</v>
      </c>
      <c r="W118" s="434">
        <f t="shared" si="97"/>
        <v>0</v>
      </c>
      <c r="X118" s="454"/>
    </row>
    <row r="119" spans="9:25" ht="13.15" customHeight="1" x14ac:dyDescent="0.4">
      <c r="I119" s="556" t="s">
        <v>168</v>
      </c>
      <c r="K119" s="577" t="s">
        <v>142</v>
      </c>
      <c r="L119" s="577" t="s">
        <v>143</v>
      </c>
      <c r="M119" s="577" t="s">
        <v>144</v>
      </c>
      <c r="N119" s="577" t="s">
        <v>145</v>
      </c>
      <c r="O119" s="577" t="s">
        <v>146</v>
      </c>
      <c r="P119" s="577" t="s">
        <v>147</v>
      </c>
      <c r="Q119" s="577" t="s">
        <v>148</v>
      </c>
      <c r="R119" s="577" t="s">
        <v>149</v>
      </c>
      <c r="S119" s="577" t="s">
        <v>150</v>
      </c>
      <c r="T119" s="577" t="s">
        <v>151</v>
      </c>
      <c r="U119" s="577" t="s">
        <v>152</v>
      </c>
      <c r="V119" s="577" t="s">
        <v>153</v>
      </c>
      <c r="W119" s="577" t="s">
        <v>19</v>
      </c>
      <c r="X119" s="454"/>
    </row>
    <row r="120" spans="9:25" ht="13.15" customHeight="1" x14ac:dyDescent="0.4">
      <c r="I120" s="613" t="s">
        <v>1310</v>
      </c>
      <c r="K120" s="567">
        <f t="shared" ref="K120:V120" si="98">K108*1.8%</f>
        <v>71.568000000000012</v>
      </c>
      <c r="L120" s="567">
        <f t="shared" si="98"/>
        <v>16.146000000000001</v>
      </c>
      <c r="M120" s="567">
        <f t="shared" si="98"/>
        <v>81.738000000000014</v>
      </c>
      <c r="N120" s="567">
        <f t="shared" si="98"/>
        <v>46.422000000000004</v>
      </c>
      <c r="O120" s="567">
        <f t="shared" si="98"/>
        <v>17.046000000000003</v>
      </c>
      <c r="P120" s="567">
        <f t="shared" si="98"/>
        <v>39.726000000000006</v>
      </c>
      <c r="Q120" s="567">
        <f t="shared" si="98"/>
        <v>22.500000000000004</v>
      </c>
      <c r="R120" s="567">
        <f t="shared" si="98"/>
        <v>76.896000000000015</v>
      </c>
      <c r="S120" s="567">
        <f t="shared" si="98"/>
        <v>35.532000000000004</v>
      </c>
      <c r="T120" s="567">
        <f t="shared" si="98"/>
        <v>27.720000000000002</v>
      </c>
      <c r="U120" s="567">
        <f t="shared" si="98"/>
        <v>50.508000000000003</v>
      </c>
      <c r="V120" s="567">
        <f t="shared" si="98"/>
        <v>114.78600000000002</v>
      </c>
      <c r="W120" s="432">
        <f t="shared" ref="W120:W125" si="99">SUM(K120:V120)</f>
        <v>600.58800000000008</v>
      </c>
      <c r="X120" s="454"/>
      <c r="Y120" s="466"/>
    </row>
    <row r="121" spans="9:25" ht="13.15" customHeight="1" x14ac:dyDescent="0.4">
      <c r="I121" s="613" t="s">
        <v>170</v>
      </c>
      <c r="K121" s="567">
        <f t="shared" ref="K121:V121" si="100">K109*3.5%</f>
        <v>23.940700000000003</v>
      </c>
      <c r="L121" s="567">
        <f t="shared" si="100"/>
        <v>16.8203</v>
      </c>
      <c r="M121" s="567">
        <f t="shared" si="100"/>
        <v>53.585000000000008</v>
      </c>
      <c r="N121" s="567">
        <f t="shared" si="100"/>
        <v>15.587950000000001</v>
      </c>
      <c r="O121" s="567">
        <f t="shared" si="100"/>
        <v>18.305000000000003</v>
      </c>
      <c r="P121" s="567">
        <f t="shared" si="100"/>
        <v>7.5950000000000006</v>
      </c>
      <c r="Q121" s="567">
        <f t="shared" si="100"/>
        <v>6.5394000000000005</v>
      </c>
      <c r="R121" s="567">
        <f t="shared" si="100"/>
        <v>7.6716500000000005</v>
      </c>
      <c r="S121" s="567">
        <f t="shared" si="100"/>
        <v>11.361000000000002</v>
      </c>
      <c r="T121" s="567">
        <f t="shared" si="100"/>
        <v>18.235000000000003</v>
      </c>
      <c r="U121" s="567">
        <f t="shared" si="100"/>
        <v>16.814700000000002</v>
      </c>
      <c r="V121" s="567">
        <f t="shared" si="100"/>
        <v>13.477100000000002</v>
      </c>
      <c r="W121" s="432">
        <f t="shared" si="99"/>
        <v>209.93280000000004</v>
      </c>
      <c r="X121" s="454"/>
      <c r="Y121" s="466"/>
    </row>
    <row r="122" spans="9:25" ht="13.15" customHeight="1" x14ac:dyDescent="0.4">
      <c r="I122" s="613" t="s">
        <v>167</v>
      </c>
      <c r="K122" s="567">
        <f t="shared" ref="K122:V122" si="101">K116*3.5%</f>
        <v>0</v>
      </c>
      <c r="L122" s="567">
        <f t="shared" si="101"/>
        <v>0</v>
      </c>
      <c r="M122" s="567">
        <f t="shared" si="101"/>
        <v>0</v>
      </c>
      <c r="N122" s="567">
        <f t="shared" si="101"/>
        <v>0</v>
      </c>
      <c r="O122" s="567">
        <f t="shared" si="101"/>
        <v>0</v>
      </c>
      <c r="P122" s="567">
        <f t="shared" si="101"/>
        <v>0</v>
      </c>
      <c r="Q122" s="567">
        <f t="shared" si="101"/>
        <v>0</v>
      </c>
      <c r="R122" s="567">
        <f t="shared" si="101"/>
        <v>0</v>
      </c>
      <c r="S122" s="567">
        <f t="shared" si="101"/>
        <v>0</v>
      </c>
      <c r="T122" s="567">
        <f t="shared" si="101"/>
        <v>0</v>
      </c>
      <c r="U122" s="567">
        <f t="shared" si="101"/>
        <v>0</v>
      </c>
      <c r="V122" s="567">
        <f t="shared" si="101"/>
        <v>0</v>
      </c>
      <c r="W122" s="586">
        <f t="shared" si="99"/>
        <v>0</v>
      </c>
      <c r="X122" s="454"/>
      <c r="Y122" s="466"/>
    </row>
    <row r="123" spans="9:25" ht="13.5" customHeight="1" thickBot="1" x14ac:dyDescent="0.45">
      <c r="I123" s="818" t="s">
        <v>171</v>
      </c>
      <c r="J123" s="819"/>
      <c r="K123" s="818">
        <f t="shared" ref="K123:V123" si="102">SUM(K119:K122)</f>
        <v>95.508700000000019</v>
      </c>
      <c r="L123" s="818">
        <f t="shared" si="102"/>
        <v>32.966300000000004</v>
      </c>
      <c r="M123" s="818">
        <f t="shared" si="102"/>
        <v>135.32300000000004</v>
      </c>
      <c r="N123" s="818">
        <f t="shared" si="102"/>
        <v>62.009950000000003</v>
      </c>
      <c r="O123" s="818">
        <f t="shared" si="102"/>
        <v>35.351000000000006</v>
      </c>
      <c r="P123" s="818">
        <f t="shared" si="102"/>
        <v>47.321000000000005</v>
      </c>
      <c r="Q123" s="818">
        <f t="shared" si="102"/>
        <v>29.039400000000004</v>
      </c>
      <c r="R123" s="818">
        <f t="shared" si="102"/>
        <v>84.567650000000015</v>
      </c>
      <c r="S123" s="818">
        <f t="shared" si="102"/>
        <v>46.893000000000008</v>
      </c>
      <c r="T123" s="818">
        <f t="shared" si="102"/>
        <v>45.955000000000005</v>
      </c>
      <c r="U123" s="818">
        <f t="shared" si="102"/>
        <v>67.322699999999998</v>
      </c>
      <c r="V123" s="818">
        <f t="shared" si="102"/>
        <v>128.26310000000001</v>
      </c>
      <c r="W123" s="820">
        <f t="shared" si="99"/>
        <v>810.52080000000012</v>
      </c>
      <c r="X123" s="454"/>
      <c r="Y123" s="466"/>
    </row>
    <row r="124" spans="9:25" ht="13.15" customHeight="1" x14ac:dyDescent="0.4">
      <c r="I124" s="454"/>
      <c r="K124" s="454"/>
      <c r="L124" s="454"/>
      <c r="M124" s="454"/>
      <c r="N124" s="454"/>
      <c r="O124" s="454"/>
      <c r="P124" s="454"/>
      <c r="Q124" s="454"/>
      <c r="R124" s="454"/>
      <c r="S124" s="454"/>
      <c r="T124" s="454"/>
      <c r="U124" s="454"/>
      <c r="V124" s="454"/>
      <c r="W124" s="461">
        <f t="shared" si="99"/>
        <v>0</v>
      </c>
      <c r="X124" s="454"/>
      <c r="Y124" s="466"/>
    </row>
    <row r="125" spans="9:25" ht="13.5" customHeight="1" thickBot="1" x14ac:dyDescent="0.45">
      <c r="I125" s="561" t="s">
        <v>172</v>
      </c>
      <c r="K125" s="797">
        <f t="shared" ref="K125:V125" si="103">K117-K123</f>
        <v>5258.9713000000002</v>
      </c>
      <c r="L125" s="797">
        <f t="shared" si="103"/>
        <v>2804.6136999999999</v>
      </c>
      <c r="M125" s="797">
        <f t="shared" si="103"/>
        <v>7360.4769999999999</v>
      </c>
      <c r="N125" s="797">
        <f t="shared" si="103"/>
        <v>3241.3600499999998</v>
      </c>
      <c r="O125" s="797">
        <f t="shared" si="103"/>
        <v>3759.0389999999998</v>
      </c>
      <c r="P125" s="797">
        <f t="shared" si="103"/>
        <v>2783.3290000000002</v>
      </c>
      <c r="Q125" s="797">
        <f t="shared" si="103"/>
        <v>2780.2405999999996</v>
      </c>
      <c r="R125" s="797">
        <f t="shared" si="103"/>
        <v>5828.0523499999999</v>
      </c>
      <c r="S125" s="797">
        <f t="shared" si="103"/>
        <v>2521.7069999999999</v>
      </c>
      <c r="T125" s="797">
        <f t="shared" si="103"/>
        <v>3169.4349999999999</v>
      </c>
      <c r="U125" s="797">
        <f t="shared" si="103"/>
        <v>4955.2773000000007</v>
      </c>
      <c r="V125" s="797">
        <f t="shared" si="103"/>
        <v>8123.7969000000012</v>
      </c>
      <c r="W125" s="798">
        <f t="shared" si="99"/>
        <v>52586.299200000009</v>
      </c>
      <c r="X125" s="454"/>
      <c r="Y125" s="466"/>
    </row>
    <row r="126" spans="9:25" ht="13.15" customHeight="1" thickTop="1" x14ac:dyDescent="0.35">
      <c r="I126" s="454"/>
      <c r="K126" s="454"/>
      <c r="L126" s="454"/>
      <c r="M126" s="454"/>
      <c r="N126" s="454"/>
      <c r="O126" s="454"/>
      <c r="P126" s="454"/>
      <c r="Q126" s="454"/>
      <c r="R126" s="454"/>
      <c r="S126" s="454"/>
      <c r="T126" s="454"/>
      <c r="U126" s="454"/>
      <c r="V126" s="454"/>
      <c r="W126" s="454"/>
      <c r="X126" s="454"/>
    </row>
    <row r="127" spans="9:25" x14ac:dyDescent="0.35">
      <c r="K127" s="454"/>
      <c r="L127" s="454"/>
      <c r="M127" s="454"/>
      <c r="N127" s="454"/>
      <c r="O127" s="454"/>
      <c r="P127" s="454"/>
      <c r="Q127" s="454"/>
      <c r="R127" s="454"/>
      <c r="S127" s="454"/>
      <c r="T127" s="454"/>
      <c r="U127" s="454"/>
      <c r="V127" s="454"/>
      <c r="W127" s="454"/>
      <c r="X127" s="454"/>
    </row>
    <row r="128" spans="9:25" ht="13.15" customHeight="1" x14ac:dyDescent="0.4">
      <c r="I128" s="556" t="s">
        <v>173</v>
      </c>
      <c r="K128" s="577" t="s">
        <v>142</v>
      </c>
      <c r="L128" s="577" t="s">
        <v>143</v>
      </c>
      <c r="M128" s="577" t="s">
        <v>144</v>
      </c>
      <c r="N128" s="577" t="s">
        <v>145</v>
      </c>
      <c r="O128" s="577" t="s">
        <v>146</v>
      </c>
      <c r="P128" s="577" t="s">
        <v>147</v>
      </c>
      <c r="Q128" s="577" t="s">
        <v>148</v>
      </c>
      <c r="R128" s="577" t="s">
        <v>149</v>
      </c>
      <c r="S128" s="577" t="s">
        <v>150</v>
      </c>
      <c r="T128" s="577" t="s">
        <v>151</v>
      </c>
      <c r="U128" s="577" t="s">
        <v>152</v>
      </c>
      <c r="V128" s="577" t="s">
        <v>153</v>
      </c>
      <c r="W128" s="577" t="s">
        <v>19</v>
      </c>
      <c r="X128" s="423" t="s">
        <v>158</v>
      </c>
    </row>
    <row r="129" spans="9:24" x14ac:dyDescent="0.35">
      <c r="I129" s="426" t="s">
        <v>174</v>
      </c>
      <c r="K129" s="432">
        <f t="shared" ref="K129:K138" si="104">SUMIFS($E$164:$E$566,$A$164:$A$566,"&gt;31/12/2022",$A$164:$A$566,"&lt;1/2/2023",$G$164:$G$566,$I129)</f>
        <v>2617</v>
      </c>
      <c r="L129" s="432">
        <f t="shared" ref="L129:L138" si="105">SUMIFS($E$164:$E$566,$A$164:$A$566,"&gt;31/1/2023",$A$164:$A$566,"&lt;1/3/2023",$G$164:$G$566,$I129)</f>
        <v>1176</v>
      </c>
      <c r="M129" s="432">
        <f t="shared" ref="M129:M138" si="106">SUMIFS($E$164:$E$566,$A$164:$A$566,"&gt;28/2/2023",$A$164:$A$566,"&lt;1/4/2023",$G$164:$G$566,$I129)</f>
        <v>4812</v>
      </c>
      <c r="N129" s="432">
        <f t="shared" ref="N129:N138" si="107">SUMIFS($E$164:$E$566,$A$164:$A$566,"&gt;31/3/2023",$A$164:$A$566,"&lt;1/5/2023",$G$164:$G$566,$I129)</f>
        <v>900</v>
      </c>
      <c r="O129" s="432">
        <f t="shared" ref="O129:O138" si="108">SUMIFS($E$164:$E$566,$A$164:$A$566,"&gt;30/4/2023",$A$164:$A$566,"&lt;1/6/2023",$G$164:$G$566,$I129)</f>
        <v>1151</v>
      </c>
      <c r="P129" s="432">
        <f t="shared" ref="P129:P138" si="109">SUMIFS($E$164:$E$566,$A$164:$A$566,"&gt;31/5/2023",$A$164:$A$566,"&lt;1/7/2023",$G$164:$G$566,$I129)</f>
        <v>629</v>
      </c>
      <c r="Q129" s="432">
        <f t="shared" ref="Q129:Q138" si="110">SUMIFS($E$164:$E$566,$A$164:$A$566,"&gt;30/6/2023",$A$164:$A$566,"&lt;1/8/2023",$G$164:$G$566,$I129)</f>
        <v>957</v>
      </c>
      <c r="R129" s="432">
        <f t="shared" ref="R129:R138" si="111">SUMIFS($E$164:$E$566,$A$164:$A$566,"&gt;31/7/2023",$A$164:$A$566,"&lt;1/9/2023",$G$164:$G$566,$I129)</f>
        <v>3622</v>
      </c>
      <c r="S129" s="432">
        <f t="shared" ref="S129:S138" si="112">SUMIFS($E$164:$E$566,$A$164:$A$566,"&gt;31/8/2023",$A$164:$A$566,"&lt;1/10/2023",$G$164:$G$566,$I129)</f>
        <v>1211</v>
      </c>
      <c r="T129" s="432">
        <f t="shared" ref="T129:T138" si="113">SUMIFS($E$164:$E$566,$A$164:$A$566,"&gt;30/9/2023",$A$164:$A$566,"&lt;1/11/2023",$G$164:$G$566,$I129)</f>
        <v>1403</v>
      </c>
      <c r="U129" s="432">
        <f t="shared" ref="U129:U138" si="114">SUMIFS($E$164:$E$566,$A$164:$A$566,"&gt;31/10/2023",$A$164:$A$566,"&lt;1/12/2023",$G$164:$G$566,$I129)</f>
        <v>2722</v>
      </c>
      <c r="V129" s="432">
        <f t="shared" ref="V129:V138" si="115">SUMIFS($E$164:$E$566,$A$164:$A$566,"&gt;30/11/2023",$A$164:$A$566,"&lt;1/1/2024",$G$164:$G$566,$I129)</f>
        <v>2552</v>
      </c>
      <c r="W129" s="432">
        <f t="shared" ref="W129:W138" si="116">SUM(K129:V129)</f>
        <v>23752</v>
      </c>
      <c r="X129" s="460">
        <f t="shared" ref="X129:X139" si="117">IFERROR(W129/$W$139,0)</f>
        <v>0.44482049680112035</v>
      </c>
    </row>
    <row r="130" spans="9:24" x14ac:dyDescent="0.35">
      <c r="I130" s="426" t="s">
        <v>175</v>
      </c>
      <c r="K130" s="432">
        <f t="shared" si="104"/>
        <v>2737.48</v>
      </c>
      <c r="L130" s="432">
        <f t="shared" si="105"/>
        <v>1391</v>
      </c>
      <c r="M130" s="432">
        <f t="shared" si="106"/>
        <v>1569.8000000000002</v>
      </c>
      <c r="N130" s="432">
        <f t="shared" si="107"/>
        <v>2358</v>
      </c>
      <c r="O130" s="432">
        <f t="shared" si="108"/>
        <v>1834</v>
      </c>
      <c r="P130" s="432">
        <f t="shared" si="109"/>
        <v>2106.65</v>
      </c>
      <c r="Q130" s="432">
        <f t="shared" si="110"/>
        <v>1790</v>
      </c>
      <c r="R130" s="432">
        <f t="shared" si="111"/>
        <v>1143.9299999999998</v>
      </c>
      <c r="S130" s="432">
        <f t="shared" si="112"/>
        <v>1333</v>
      </c>
      <c r="T130" s="432">
        <f t="shared" si="113"/>
        <v>985.39</v>
      </c>
      <c r="U130" s="432">
        <f t="shared" si="114"/>
        <v>1566.18</v>
      </c>
      <c r="V130" s="432">
        <f t="shared" si="115"/>
        <v>5635</v>
      </c>
      <c r="W130" s="432">
        <f t="shared" si="116"/>
        <v>24450.43</v>
      </c>
      <c r="X130" s="460">
        <f t="shared" si="117"/>
        <v>0.45790048920516241</v>
      </c>
    </row>
    <row r="131" spans="9:24" x14ac:dyDescent="0.35">
      <c r="I131" s="426" t="s">
        <v>1311</v>
      </c>
      <c r="K131" s="432">
        <f t="shared" si="104"/>
        <v>0</v>
      </c>
      <c r="L131" s="432">
        <f t="shared" si="105"/>
        <v>200</v>
      </c>
      <c r="M131" s="432">
        <f t="shared" si="106"/>
        <v>150</v>
      </c>
      <c r="N131" s="432">
        <f t="shared" si="107"/>
        <v>0</v>
      </c>
      <c r="O131" s="432">
        <f t="shared" si="108"/>
        <v>50</v>
      </c>
      <c r="P131" s="432">
        <f t="shared" si="109"/>
        <v>50</v>
      </c>
      <c r="Q131" s="432">
        <f t="shared" si="110"/>
        <v>0</v>
      </c>
      <c r="R131" s="432">
        <f t="shared" si="111"/>
        <v>1052.5</v>
      </c>
      <c r="S131" s="432">
        <f t="shared" si="112"/>
        <v>0</v>
      </c>
      <c r="T131" s="432">
        <f t="shared" si="113"/>
        <v>0</v>
      </c>
      <c r="U131" s="432">
        <f t="shared" si="114"/>
        <v>0</v>
      </c>
      <c r="V131" s="432">
        <f t="shared" si="115"/>
        <v>0</v>
      </c>
      <c r="W131" s="432">
        <f t="shared" si="116"/>
        <v>1502.5</v>
      </c>
      <c r="X131" s="460">
        <f t="shared" si="117"/>
        <v>2.8138379776173936E-2</v>
      </c>
    </row>
    <row r="132" spans="9:24" x14ac:dyDescent="0.35">
      <c r="I132" s="45" t="s">
        <v>176</v>
      </c>
      <c r="K132" s="432">
        <f t="shared" si="104"/>
        <v>0</v>
      </c>
      <c r="L132" s="432">
        <f t="shared" si="105"/>
        <v>0</v>
      </c>
      <c r="M132" s="432">
        <f t="shared" si="106"/>
        <v>325</v>
      </c>
      <c r="N132" s="432">
        <f t="shared" si="107"/>
        <v>0</v>
      </c>
      <c r="O132" s="432">
        <f t="shared" si="108"/>
        <v>0</v>
      </c>
      <c r="P132" s="432">
        <f t="shared" si="109"/>
        <v>45</v>
      </c>
      <c r="Q132" s="432">
        <f t="shared" si="110"/>
        <v>0</v>
      </c>
      <c r="R132" s="432">
        <f t="shared" si="111"/>
        <v>50</v>
      </c>
      <c r="S132" s="432">
        <f t="shared" si="112"/>
        <v>0</v>
      </c>
      <c r="T132" s="432">
        <f t="shared" si="113"/>
        <v>99</v>
      </c>
      <c r="U132" s="432">
        <f t="shared" si="114"/>
        <v>0</v>
      </c>
      <c r="V132" s="432">
        <f t="shared" si="115"/>
        <v>0</v>
      </c>
      <c r="W132" s="432">
        <f t="shared" si="116"/>
        <v>519</v>
      </c>
      <c r="X132" s="460">
        <f t="shared" si="117"/>
        <v>9.7196799359961887E-3</v>
      </c>
    </row>
    <row r="133" spans="9:24" x14ac:dyDescent="0.35">
      <c r="I133" s="426" t="s">
        <v>177</v>
      </c>
      <c r="K133" s="432">
        <f t="shared" si="104"/>
        <v>0</v>
      </c>
      <c r="L133" s="432">
        <f t="shared" si="105"/>
        <v>0</v>
      </c>
      <c r="M133" s="432">
        <f t="shared" si="106"/>
        <v>0</v>
      </c>
      <c r="N133" s="432">
        <f t="shared" si="107"/>
        <v>0</v>
      </c>
      <c r="O133" s="432">
        <f t="shared" si="108"/>
        <v>0</v>
      </c>
      <c r="P133" s="432">
        <f t="shared" si="109"/>
        <v>0</v>
      </c>
      <c r="Q133" s="432">
        <f t="shared" si="110"/>
        <v>0</v>
      </c>
      <c r="R133" s="432">
        <f t="shared" si="111"/>
        <v>0</v>
      </c>
      <c r="S133" s="432">
        <f t="shared" si="112"/>
        <v>0</v>
      </c>
      <c r="T133" s="432">
        <f t="shared" si="113"/>
        <v>99</v>
      </c>
      <c r="U133" s="432">
        <f t="shared" si="114"/>
        <v>0</v>
      </c>
      <c r="V133" s="432">
        <f t="shared" si="115"/>
        <v>0</v>
      </c>
      <c r="W133" s="432">
        <f t="shared" si="116"/>
        <v>99</v>
      </c>
      <c r="X133" s="460">
        <f t="shared" si="117"/>
        <v>1.8540429935715273E-3</v>
      </c>
    </row>
    <row r="134" spans="9:24" x14ac:dyDescent="0.35">
      <c r="I134" s="45" t="s">
        <v>179</v>
      </c>
      <c r="K134" s="432">
        <f t="shared" si="104"/>
        <v>0</v>
      </c>
      <c r="L134" s="432">
        <f t="shared" si="105"/>
        <v>0</v>
      </c>
      <c r="M134" s="432">
        <f t="shared" si="106"/>
        <v>99</v>
      </c>
      <c r="N134" s="432">
        <f t="shared" si="107"/>
        <v>0</v>
      </c>
      <c r="O134" s="432">
        <f t="shared" si="108"/>
        <v>0</v>
      </c>
      <c r="P134" s="432">
        <f t="shared" si="109"/>
        <v>0</v>
      </c>
      <c r="Q134" s="432">
        <f t="shared" si="110"/>
        <v>0</v>
      </c>
      <c r="R134" s="432">
        <f t="shared" si="111"/>
        <v>0</v>
      </c>
      <c r="S134" s="432">
        <f t="shared" si="112"/>
        <v>0</v>
      </c>
      <c r="T134" s="432">
        <f t="shared" si="113"/>
        <v>149</v>
      </c>
      <c r="U134" s="432">
        <f t="shared" si="114"/>
        <v>0</v>
      </c>
      <c r="V134" s="432">
        <f t="shared" si="115"/>
        <v>0</v>
      </c>
      <c r="W134" s="432">
        <f t="shared" si="116"/>
        <v>248</v>
      </c>
      <c r="X134" s="460">
        <f t="shared" si="117"/>
        <v>4.6444713374317048E-3</v>
      </c>
    </row>
    <row r="135" spans="9:24" x14ac:dyDescent="0.35">
      <c r="I135" s="45" t="s">
        <v>87</v>
      </c>
      <c r="K135" s="432">
        <f t="shared" si="104"/>
        <v>0</v>
      </c>
      <c r="L135" s="432">
        <f t="shared" si="105"/>
        <v>0</v>
      </c>
      <c r="M135" s="432">
        <f t="shared" si="106"/>
        <v>0</v>
      </c>
      <c r="N135" s="432">
        <f t="shared" si="107"/>
        <v>0</v>
      </c>
      <c r="O135" s="432">
        <f t="shared" si="108"/>
        <v>0</v>
      </c>
      <c r="P135" s="432">
        <f t="shared" si="109"/>
        <v>0</v>
      </c>
      <c r="Q135" s="432">
        <f t="shared" si="110"/>
        <v>0</v>
      </c>
      <c r="R135" s="432">
        <f t="shared" si="111"/>
        <v>0</v>
      </c>
      <c r="S135" s="432">
        <f t="shared" si="112"/>
        <v>0</v>
      </c>
      <c r="T135" s="432">
        <f t="shared" si="113"/>
        <v>0</v>
      </c>
      <c r="U135" s="432">
        <f t="shared" si="114"/>
        <v>0</v>
      </c>
      <c r="V135" s="432">
        <f t="shared" si="115"/>
        <v>0</v>
      </c>
      <c r="W135" s="432">
        <f t="shared" si="116"/>
        <v>0</v>
      </c>
      <c r="X135" s="460">
        <f t="shared" si="117"/>
        <v>0</v>
      </c>
    </row>
    <row r="136" spans="9:24" x14ac:dyDescent="0.35">
      <c r="I136" s="45" t="s">
        <v>89</v>
      </c>
      <c r="K136" s="432">
        <f t="shared" si="104"/>
        <v>0</v>
      </c>
      <c r="L136" s="432">
        <f t="shared" si="105"/>
        <v>70.58</v>
      </c>
      <c r="M136" s="432">
        <f t="shared" si="106"/>
        <v>0</v>
      </c>
      <c r="N136" s="432">
        <f t="shared" si="107"/>
        <v>45.37</v>
      </c>
      <c r="O136" s="432">
        <f t="shared" si="108"/>
        <v>0</v>
      </c>
      <c r="P136" s="432">
        <f t="shared" si="109"/>
        <v>0</v>
      </c>
      <c r="Q136" s="432">
        <f t="shared" si="110"/>
        <v>29.84</v>
      </c>
      <c r="R136" s="432">
        <f t="shared" si="111"/>
        <v>44.19</v>
      </c>
      <c r="S136" s="432">
        <f t="shared" si="112"/>
        <v>24.6</v>
      </c>
      <c r="T136" s="432">
        <f t="shared" si="113"/>
        <v>0</v>
      </c>
      <c r="U136" s="432">
        <f t="shared" si="114"/>
        <v>98.42</v>
      </c>
      <c r="V136" s="432">
        <f t="shared" si="115"/>
        <v>65.06</v>
      </c>
      <c r="W136" s="432">
        <f t="shared" si="116"/>
        <v>378.06</v>
      </c>
      <c r="X136" s="460">
        <f t="shared" si="117"/>
        <v>7.0801969106025417E-3</v>
      </c>
    </row>
    <row r="137" spans="9:24" x14ac:dyDescent="0.35">
      <c r="I137" s="45" t="s">
        <v>180</v>
      </c>
      <c r="K137" s="432">
        <f t="shared" si="104"/>
        <v>0</v>
      </c>
      <c r="L137" s="432">
        <f t="shared" si="105"/>
        <v>0</v>
      </c>
      <c r="M137" s="432">
        <f t="shared" si="106"/>
        <v>540</v>
      </c>
      <c r="N137" s="432">
        <f t="shared" si="107"/>
        <v>0</v>
      </c>
      <c r="O137" s="432">
        <f t="shared" si="108"/>
        <v>0</v>
      </c>
      <c r="P137" s="432">
        <f t="shared" si="109"/>
        <v>0</v>
      </c>
      <c r="Q137" s="432">
        <f t="shared" si="110"/>
        <v>0</v>
      </c>
      <c r="R137" s="432">
        <f t="shared" si="111"/>
        <v>0</v>
      </c>
      <c r="S137" s="432">
        <f t="shared" si="112"/>
        <v>0</v>
      </c>
      <c r="T137" s="432">
        <f t="shared" si="113"/>
        <v>480</v>
      </c>
      <c r="U137" s="432">
        <f t="shared" si="114"/>
        <v>636</v>
      </c>
      <c r="V137" s="432">
        <f t="shared" si="115"/>
        <v>0</v>
      </c>
      <c r="W137" s="432">
        <f t="shared" si="116"/>
        <v>1656</v>
      </c>
      <c r="X137" s="460">
        <f t="shared" si="117"/>
        <v>3.1013082801560093E-2</v>
      </c>
    </row>
    <row r="138" spans="9:24" x14ac:dyDescent="0.35">
      <c r="I138" s="426" t="s">
        <v>181</v>
      </c>
      <c r="K138" s="432">
        <f t="shared" si="104"/>
        <v>0</v>
      </c>
      <c r="L138" s="432">
        <f t="shared" si="105"/>
        <v>0</v>
      </c>
      <c r="M138" s="432">
        <f t="shared" si="106"/>
        <v>0</v>
      </c>
      <c r="N138" s="432">
        <f t="shared" si="107"/>
        <v>0</v>
      </c>
      <c r="O138" s="432">
        <f t="shared" si="108"/>
        <v>759.39</v>
      </c>
      <c r="P138" s="432">
        <f t="shared" si="109"/>
        <v>0</v>
      </c>
      <c r="Q138" s="432">
        <f t="shared" si="110"/>
        <v>32.44</v>
      </c>
      <c r="R138" s="432">
        <f t="shared" si="111"/>
        <v>0</v>
      </c>
      <c r="S138" s="432">
        <f t="shared" si="112"/>
        <v>0</v>
      </c>
      <c r="T138" s="432">
        <f t="shared" si="113"/>
        <v>0</v>
      </c>
      <c r="U138" s="432">
        <f t="shared" si="114"/>
        <v>0</v>
      </c>
      <c r="V138" s="432">
        <f t="shared" si="115"/>
        <v>0</v>
      </c>
      <c r="W138" s="432">
        <f t="shared" si="116"/>
        <v>791.82999999999993</v>
      </c>
      <c r="X138" s="460">
        <f t="shared" si="117"/>
        <v>1.4829160238381236E-2</v>
      </c>
    </row>
    <row r="139" spans="9:24" ht="13.15" customHeight="1" x14ac:dyDescent="0.4">
      <c r="I139" s="454"/>
      <c r="K139" s="444">
        <f t="shared" ref="K139:W139" si="118">SUM(K129:K138)</f>
        <v>5354.48</v>
      </c>
      <c r="L139" s="444">
        <f t="shared" si="118"/>
        <v>2837.58</v>
      </c>
      <c r="M139" s="444">
        <f t="shared" si="118"/>
        <v>7495.8</v>
      </c>
      <c r="N139" s="444">
        <f t="shared" si="118"/>
        <v>3303.37</v>
      </c>
      <c r="O139" s="444">
        <f t="shared" si="118"/>
        <v>3794.39</v>
      </c>
      <c r="P139" s="444">
        <f t="shared" si="118"/>
        <v>2830.65</v>
      </c>
      <c r="Q139" s="444">
        <f t="shared" si="118"/>
        <v>2809.28</v>
      </c>
      <c r="R139" s="444">
        <f t="shared" si="118"/>
        <v>5912.62</v>
      </c>
      <c r="S139" s="444">
        <f t="shared" si="118"/>
        <v>2568.6</v>
      </c>
      <c r="T139" s="444">
        <f t="shared" si="118"/>
        <v>3215.39</v>
      </c>
      <c r="U139" s="444">
        <f t="shared" si="118"/>
        <v>5022.6000000000004</v>
      </c>
      <c r="V139" s="444">
        <f t="shared" si="118"/>
        <v>8252.06</v>
      </c>
      <c r="W139" s="444">
        <f t="shared" si="118"/>
        <v>53396.82</v>
      </c>
      <c r="X139" s="460">
        <f t="shared" si="117"/>
        <v>1</v>
      </c>
    </row>
    <row r="140" spans="9:24" x14ac:dyDescent="0.35">
      <c r="J140" s="454"/>
      <c r="K140" s="454">
        <f t="shared" ref="K140:W140" si="119">K117-K139</f>
        <v>0</v>
      </c>
      <c r="L140" s="454">
        <f t="shared" si="119"/>
        <v>0</v>
      </c>
      <c r="M140" s="454">
        <f t="shared" si="119"/>
        <v>0</v>
      </c>
      <c r="N140" s="454">
        <f t="shared" si="119"/>
        <v>0</v>
      </c>
      <c r="O140" s="454">
        <f t="shared" si="119"/>
        <v>0</v>
      </c>
      <c r="P140" s="454">
        <f t="shared" si="119"/>
        <v>0</v>
      </c>
      <c r="Q140" s="454">
        <f t="shared" si="119"/>
        <v>0</v>
      </c>
      <c r="R140" s="454">
        <f t="shared" si="119"/>
        <v>0</v>
      </c>
      <c r="S140" s="454">
        <f t="shared" si="119"/>
        <v>0</v>
      </c>
      <c r="T140" s="454">
        <f t="shared" si="119"/>
        <v>0</v>
      </c>
      <c r="U140" s="454">
        <f t="shared" si="119"/>
        <v>0</v>
      </c>
      <c r="V140" s="454">
        <f t="shared" si="119"/>
        <v>0</v>
      </c>
      <c r="W140" s="454">
        <f t="shared" si="119"/>
        <v>0</v>
      </c>
      <c r="X140" s="454"/>
    </row>
    <row r="141" spans="9:24" ht="13.15" customHeight="1" x14ac:dyDescent="0.4">
      <c r="I141" s="556" t="s">
        <v>182</v>
      </c>
      <c r="K141" s="577" t="s">
        <v>142</v>
      </c>
      <c r="L141" s="577" t="s">
        <v>143</v>
      </c>
      <c r="M141" s="577" t="s">
        <v>144</v>
      </c>
      <c r="N141" s="577" t="s">
        <v>145</v>
      </c>
      <c r="O141" s="577" t="s">
        <v>146</v>
      </c>
      <c r="P141" s="577" t="s">
        <v>147</v>
      </c>
      <c r="Q141" s="577" t="s">
        <v>148</v>
      </c>
      <c r="R141" s="577" t="s">
        <v>149</v>
      </c>
      <c r="S141" s="577" t="s">
        <v>150</v>
      </c>
      <c r="T141" s="577" t="s">
        <v>151</v>
      </c>
      <c r="U141" s="577" t="s">
        <v>152</v>
      </c>
      <c r="V141" s="577" t="s">
        <v>153</v>
      </c>
      <c r="W141" s="577" t="s">
        <v>19</v>
      </c>
      <c r="X141" s="423" t="s">
        <v>158</v>
      </c>
    </row>
    <row r="142" spans="9:24" ht="13.15" customHeight="1" x14ac:dyDescent="0.4">
      <c r="I142" s="444" t="s">
        <v>183</v>
      </c>
      <c r="K142" s="454">
        <f t="shared" ref="K142:V142" si="120">SUM(K139-K130)</f>
        <v>2616.9999999999995</v>
      </c>
      <c r="L142" s="454">
        <f t="shared" si="120"/>
        <v>1446.58</v>
      </c>
      <c r="M142" s="454">
        <f t="shared" si="120"/>
        <v>5926</v>
      </c>
      <c r="N142" s="454">
        <f t="shared" si="120"/>
        <v>945.36999999999989</v>
      </c>
      <c r="O142" s="454">
        <f t="shared" si="120"/>
        <v>1960.3899999999999</v>
      </c>
      <c r="P142" s="454">
        <f t="shared" si="120"/>
        <v>724</v>
      </c>
      <c r="Q142" s="454">
        <f t="shared" si="120"/>
        <v>1019.2800000000002</v>
      </c>
      <c r="R142" s="454">
        <f t="shared" si="120"/>
        <v>4768.6900000000005</v>
      </c>
      <c r="S142" s="454">
        <f t="shared" si="120"/>
        <v>1235.5999999999999</v>
      </c>
      <c r="T142" s="454">
        <f t="shared" si="120"/>
        <v>2230</v>
      </c>
      <c r="U142" s="454">
        <f t="shared" si="120"/>
        <v>3456.42</v>
      </c>
      <c r="V142" s="454">
        <f t="shared" si="120"/>
        <v>2617.0599999999995</v>
      </c>
      <c r="W142" s="554">
        <f>SUM(K142:V142)</f>
        <v>28946.39</v>
      </c>
      <c r="X142" s="475">
        <f>W142/W144</f>
        <v>0.54209951079483754</v>
      </c>
    </row>
    <row r="143" spans="9:24" ht="13.15" customHeight="1" x14ac:dyDescent="0.4">
      <c r="I143" s="444" t="s">
        <v>184</v>
      </c>
      <c r="K143" s="454">
        <f t="shared" ref="K143:V143" si="121">K130</f>
        <v>2737.48</v>
      </c>
      <c r="L143" s="454">
        <f t="shared" si="121"/>
        <v>1391</v>
      </c>
      <c r="M143" s="454">
        <f t="shared" si="121"/>
        <v>1569.8000000000002</v>
      </c>
      <c r="N143" s="454">
        <f t="shared" si="121"/>
        <v>2358</v>
      </c>
      <c r="O143" s="454">
        <f t="shared" si="121"/>
        <v>1834</v>
      </c>
      <c r="P143" s="454">
        <f t="shared" si="121"/>
        <v>2106.65</v>
      </c>
      <c r="Q143" s="454">
        <f t="shared" si="121"/>
        <v>1790</v>
      </c>
      <c r="R143" s="454">
        <f t="shared" si="121"/>
        <v>1143.9299999999998</v>
      </c>
      <c r="S143" s="454">
        <f t="shared" si="121"/>
        <v>1333</v>
      </c>
      <c r="T143" s="454">
        <f t="shared" si="121"/>
        <v>985.39</v>
      </c>
      <c r="U143" s="454">
        <f t="shared" si="121"/>
        <v>1566.18</v>
      </c>
      <c r="V143" s="454">
        <f t="shared" si="121"/>
        <v>5635</v>
      </c>
      <c r="W143" s="562">
        <f>SUM(K143:V143)</f>
        <v>24450.43</v>
      </c>
      <c r="X143" s="475">
        <f>W143/W144</f>
        <v>0.45790048920516241</v>
      </c>
    </row>
    <row r="144" spans="9:24" ht="13.15" customHeight="1" x14ac:dyDescent="0.4">
      <c r="I144" s="444"/>
      <c r="K144" s="563">
        <f t="shared" ref="K144:W144" si="122">K142+K143</f>
        <v>5354.48</v>
      </c>
      <c r="L144" s="563">
        <f t="shared" si="122"/>
        <v>2837.58</v>
      </c>
      <c r="M144" s="563">
        <f t="shared" si="122"/>
        <v>7495.8</v>
      </c>
      <c r="N144" s="563">
        <f t="shared" si="122"/>
        <v>3303.37</v>
      </c>
      <c r="O144" s="563">
        <f t="shared" si="122"/>
        <v>3794.39</v>
      </c>
      <c r="P144" s="563">
        <f t="shared" si="122"/>
        <v>2830.65</v>
      </c>
      <c r="Q144" s="563">
        <f t="shared" si="122"/>
        <v>2809.28</v>
      </c>
      <c r="R144" s="563">
        <f t="shared" si="122"/>
        <v>5912.6200000000008</v>
      </c>
      <c r="S144" s="563">
        <f t="shared" si="122"/>
        <v>2568.6</v>
      </c>
      <c r="T144" s="563">
        <f t="shared" si="122"/>
        <v>3215.39</v>
      </c>
      <c r="U144" s="563">
        <f t="shared" si="122"/>
        <v>5022.6000000000004</v>
      </c>
      <c r="V144" s="563">
        <f t="shared" si="122"/>
        <v>8252.06</v>
      </c>
      <c r="W144" s="563">
        <f t="shared" si="122"/>
        <v>53396.82</v>
      </c>
      <c r="X144" s="564"/>
    </row>
    <row r="146" spans="9:24" ht="13.15" customHeight="1" x14ac:dyDescent="0.4">
      <c r="I146" s="556" t="s">
        <v>185</v>
      </c>
      <c r="K146" s="577" t="s">
        <v>142</v>
      </c>
      <c r="L146" s="577" t="s">
        <v>143</v>
      </c>
      <c r="M146" s="577" t="s">
        <v>144</v>
      </c>
      <c r="N146" s="577" t="s">
        <v>145</v>
      </c>
      <c r="O146" s="577" t="s">
        <v>146</v>
      </c>
      <c r="P146" s="577" t="s">
        <v>147</v>
      </c>
      <c r="Q146" s="577" t="s">
        <v>148</v>
      </c>
      <c r="R146" s="577" t="s">
        <v>149</v>
      </c>
      <c r="S146" s="577" t="s">
        <v>150</v>
      </c>
      <c r="T146" s="577" t="s">
        <v>151</v>
      </c>
      <c r="U146" s="577" t="s">
        <v>152</v>
      </c>
      <c r="V146" s="577" t="s">
        <v>153</v>
      </c>
      <c r="W146" s="577" t="s">
        <v>19</v>
      </c>
      <c r="X146" s="423" t="s">
        <v>158</v>
      </c>
    </row>
    <row r="147" spans="9:24" ht="13.15" customHeight="1" x14ac:dyDescent="0.4">
      <c r="I147" s="444" t="s">
        <v>183</v>
      </c>
      <c r="K147" s="454">
        <f t="shared" ref="K147:V147" si="123">K74-K148</f>
        <v>16</v>
      </c>
      <c r="L147" s="454">
        <f t="shared" si="123"/>
        <v>10</v>
      </c>
      <c r="M147" s="454">
        <f t="shared" si="123"/>
        <v>30</v>
      </c>
      <c r="N147" s="454">
        <f t="shared" si="123"/>
        <v>8</v>
      </c>
      <c r="O147" s="454">
        <f t="shared" si="123"/>
        <v>14</v>
      </c>
      <c r="P147" s="454">
        <f t="shared" si="123"/>
        <v>13</v>
      </c>
      <c r="Q147" s="454">
        <f t="shared" si="123"/>
        <v>14</v>
      </c>
      <c r="R147" s="454">
        <f t="shared" si="123"/>
        <v>23</v>
      </c>
      <c r="S147" s="454">
        <f t="shared" si="123"/>
        <v>6</v>
      </c>
      <c r="T147" s="454">
        <f t="shared" si="123"/>
        <v>19</v>
      </c>
      <c r="U147" s="454">
        <f t="shared" si="123"/>
        <v>15</v>
      </c>
      <c r="V147" s="454">
        <f t="shared" si="123"/>
        <v>20</v>
      </c>
      <c r="W147" s="554">
        <f>SUM(K147:V147)</f>
        <v>188</v>
      </c>
      <c r="X147" s="475">
        <f>W147/W149</f>
        <v>0.4845360824742268</v>
      </c>
    </row>
    <row r="148" spans="9:24" ht="13.15" customHeight="1" x14ac:dyDescent="0.4">
      <c r="I148" s="561" t="s">
        <v>175</v>
      </c>
      <c r="K148" s="454">
        <f>COUNTIFS($A$164:$A$566,"&gt;31/12/2022",$A$164:$A$566,"&lt;1/2/2023",$G$164:$G$566,"Existing")</f>
        <v>15</v>
      </c>
      <c r="L148" s="432">
        <f>COUNTIFS($A$164:$A$566,"&gt;31/1/2023",$A$164:$A$566,"&lt;1/3/2023",$G$164:$G$566,$I148)</f>
        <v>13</v>
      </c>
      <c r="M148" s="432">
        <f>COUNTIFS($A$164:$A$566,"&gt;28/2/2023",$A$164:$A$566,"&lt;1/4/2023",$G$164:$G$566,$I148)</f>
        <v>26</v>
      </c>
      <c r="N148" s="432">
        <f>COUNTIFS($A$164:$A$566,"&gt;31/3/2023",$A$164:$A$566,"&lt;1/5/2023",$G$164:$G$566,$I148)</f>
        <v>15</v>
      </c>
      <c r="O148" s="432">
        <f>COUNTIFS($A$164:$A$566,"&gt;30/4/2023",$A$164:$A$566,"&lt;1/6/2023",$G$164:$G$566,$I148)</f>
        <v>24</v>
      </c>
      <c r="P148" s="432">
        <f>COUNTIFS($A$164:$A$566,"&gt;31/5/2023",$A$164:$A$566,"&lt;1/7/2023",$G$164:$G$566,$I148)</f>
        <v>21</v>
      </c>
      <c r="Q148" s="432">
        <f>COUNTIFS($A$164:$A$566,"&gt;30/6/2023",$A$164:$A$566,"&lt;1/8/2023",$G$164:$G$566,$I148)</f>
        <v>17</v>
      </c>
      <c r="R148" s="432">
        <f>COUNTIFS($A$164:$A$566,"&gt;31/7/2023",$A$164:$A$566,"&lt;1/9/2023",$G$164:$G$566,$I148)</f>
        <v>11</v>
      </c>
      <c r="S148" s="432">
        <f>COUNTIFS($A$164:$A$566,"&gt;31/8/2023",$A$164:$A$566,"&lt;1/10/2023",$G$164:$G$566,$I148)</f>
        <v>16</v>
      </c>
      <c r="T148" s="432">
        <f>COUNTIFS($A$164:$A$566,"&gt;30/9/2023",$A$164:$A$566,"&lt;1/11/2023",$G$164:$G$566,$I148)</f>
        <v>14</v>
      </c>
      <c r="U148" s="432">
        <f>COUNTIFS($A$164:$A$566,"&gt;31/10/2023",$A$164:$A$566,"&lt;1/12/2023",$G$164:$G$566,$I148)</f>
        <v>10</v>
      </c>
      <c r="V148" s="432">
        <f>COUNTIFS($A$164:$A$566,"&gt;30/11/2023",$A$164:$A$566,"&lt;1/1/2024",$G$164:$G$566,$I148)</f>
        <v>18</v>
      </c>
      <c r="W148" s="554">
        <f>SUM(K148:V148)</f>
        <v>200</v>
      </c>
      <c r="X148" s="475">
        <f>W148/$W$149</f>
        <v>0.51546391752577314</v>
      </c>
    </row>
    <row r="149" spans="9:24" ht="13.15" customHeight="1" x14ac:dyDescent="0.4">
      <c r="J149" s="454"/>
      <c r="K149" s="563">
        <f t="shared" ref="K149:W149" si="124">K147+K148</f>
        <v>31</v>
      </c>
      <c r="L149" s="563">
        <f t="shared" si="124"/>
        <v>23</v>
      </c>
      <c r="M149" s="563">
        <f t="shared" si="124"/>
        <v>56</v>
      </c>
      <c r="N149" s="563">
        <f t="shared" si="124"/>
        <v>23</v>
      </c>
      <c r="O149" s="563">
        <f t="shared" si="124"/>
        <v>38</v>
      </c>
      <c r="P149" s="563">
        <f t="shared" si="124"/>
        <v>34</v>
      </c>
      <c r="Q149" s="563">
        <f t="shared" si="124"/>
        <v>31</v>
      </c>
      <c r="R149" s="563">
        <f t="shared" si="124"/>
        <v>34</v>
      </c>
      <c r="S149" s="563">
        <f t="shared" si="124"/>
        <v>22</v>
      </c>
      <c r="T149" s="563">
        <f t="shared" si="124"/>
        <v>33</v>
      </c>
      <c r="U149" s="563">
        <f t="shared" si="124"/>
        <v>25</v>
      </c>
      <c r="V149" s="563">
        <f t="shared" si="124"/>
        <v>38</v>
      </c>
      <c r="W149" s="563">
        <f t="shared" si="124"/>
        <v>388</v>
      </c>
      <c r="X149" s="564"/>
    </row>
    <row r="150" spans="9:24" ht="13.15" customHeight="1" x14ac:dyDescent="0.4">
      <c r="J150" s="454"/>
      <c r="K150" s="613">
        <f t="shared" ref="K150:W150" si="125">K74-K149</f>
        <v>0</v>
      </c>
      <c r="L150" s="613">
        <f t="shared" si="125"/>
        <v>0</v>
      </c>
      <c r="M150" s="613">
        <f t="shared" si="125"/>
        <v>0</v>
      </c>
      <c r="N150" s="613">
        <f t="shared" si="125"/>
        <v>0</v>
      </c>
      <c r="O150" s="613">
        <f t="shared" si="125"/>
        <v>0</v>
      </c>
      <c r="P150" s="613">
        <f t="shared" si="125"/>
        <v>0</v>
      </c>
      <c r="Q150" s="613">
        <f t="shared" si="125"/>
        <v>0</v>
      </c>
      <c r="R150" s="613">
        <f t="shared" si="125"/>
        <v>0</v>
      </c>
      <c r="S150" s="613">
        <f t="shared" si="125"/>
        <v>0</v>
      </c>
      <c r="T150" s="613">
        <f t="shared" si="125"/>
        <v>0</v>
      </c>
      <c r="U150" s="613">
        <f t="shared" si="125"/>
        <v>0</v>
      </c>
      <c r="V150" s="613">
        <f t="shared" si="125"/>
        <v>0</v>
      </c>
      <c r="W150" s="613">
        <f t="shared" si="125"/>
        <v>0</v>
      </c>
      <c r="X150" s="475"/>
    </row>
    <row r="151" spans="9:24" ht="13.15" customHeight="1" x14ac:dyDescent="0.4">
      <c r="I151" s="556" t="s">
        <v>186</v>
      </c>
      <c r="K151" s="577" t="s">
        <v>142</v>
      </c>
      <c r="L151" s="577" t="s">
        <v>143</v>
      </c>
      <c r="M151" s="577" t="s">
        <v>144</v>
      </c>
      <c r="N151" s="577" t="s">
        <v>145</v>
      </c>
      <c r="O151" s="577" t="s">
        <v>146</v>
      </c>
      <c r="P151" s="577" t="s">
        <v>147</v>
      </c>
      <c r="Q151" s="577" t="s">
        <v>148</v>
      </c>
      <c r="R151" s="577" t="s">
        <v>149</v>
      </c>
      <c r="S151" s="577" t="s">
        <v>150</v>
      </c>
      <c r="T151" s="577" t="s">
        <v>151</v>
      </c>
      <c r="U151" s="577" t="s">
        <v>152</v>
      </c>
      <c r="V151" s="577" t="s">
        <v>153</v>
      </c>
      <c r="W151" s="577" t="s">
        <v>19</v>
      </c>
      <c r="X151" s="423" t="s">
        <v>158</v>
      </c>
    </row>
    <row r="152" spans="9:24" ht="13.15" customHeight="1" x14ac:dyDescent="0.4">
      <c r="I152" s="444" t="s">
        <v>183</v>
      </c>
      <c r="K152" s="454">
        <f t="shared" ref="K152:V152" si="126">IFERROR(K142/K147,0)</f>
        <v>163.56249999999997</v>
      </c>
      <c r="L152" s="454">
        <f t="shared" si="126"/>
        <v>144.65799999999999</v>
      </c>
      <c r="M152" s="454">
        <f t="shared" si="126"/>
        <v>197.53333333333333</v>
      </c>
      <c r="N152" s="454">
        <f t="shared" si="126"/>
        <v>118.17124999999999</v>
      </c>
      <c r="O152" s="454">
        <f t="shared" si="126"/>
        <v>140.02785714285713</v>
      </c>
      <c r="P152" s="454">
        <f t="shared" si="126"/>
        <v>55.692307692307693</v>
      </c>
      <c r="Q152" s="454">
        <f t="shared" si="126"/>
        <v>72.805714285714302</v>
      </c>
      <c r="R152" s="454">
        <f t="shared" si="126"/>
        <v>207.33434782608697</v>
      </c>
      <c r="S152" s="454">
        <f t="shared" si="126"/>
        <v>205.93333333333331</v>
      </c>
      <c r="T152" s="454">
        <f t="shared" si="126"/>
        <v>117.36842105263158</v>
      </c>
      <c r="U152" s="454">
        <f t="shared" si="126"/>
        <v>230.428</v>
      </c>
      <c r="V152" s="454">
        <f t="shared" si="126"/>
        <v>130.85299999999998</v>
      </c>
      <c r="W152" s="554">
        <f>AVERAGE(K152:V152)</f>
        <v>148.69733872218873</v>
      </c>
      <c r="X152" s="475">
        <f>W152/W154</f>
        <v>0.54058068145065874</v>
      </c>
    </row>
    <row r="153" spans="9:24" ht="13.15" customHeight="1" x14ac:dyDescent="0.4">
      <c r="I153" s="444" t="s">
        <v>184</v>
      </c>
      <c r="K153" s="454">
        <f t="shared" ref="K153:V153" si="127">IFERROR(K143/K148,0)</f>
        <v>182.49866666666668</v>
      </c>
      <c r="L153" s="454">
        <f t="shared" si="127"/>
        <v>107</v>
      </c>
      <c r="M153" s="454">
        <f t="shared" si="127"/>
        <v>60.376923076923084</v>
      </c>
      <c r="N153" s="454">
        <f t="shared" si="127"/>
        <v>157.19999999999999</v>
      </c>
      <c r="O153" s="454">
        <f t="shared" si="127"/>
        <v>76.416666666666671</v>
      </c>
      <c r="P153" s="454">
        <f t="shared" si="127"/>
        <v>100.31666666666668</v>
      </c>
      <c r="Q153" s="454">
        <f t="shared" si="127"/>
        <v>105.29411764705883</v>
      </c>
      <c r="R153" s="454">
        <f t="shared" si="127"/>
        <v>103.99363636363636</v>
      </c>
      <c r="S153" s="454">
        <f t="shared" si="127"/>
        <v>83.3125</v>
      </c>
      <c r="T153" s="454">
        <f t="shared" si="127"/>
        <v>70.385000000000005</v>
      </c>
      <c r="U153" s="454">
        <f t="shared" si="127"/>
        <v>156.61799999999999</v>
      </c>
      <c r="V153" s="454">
        <f t="shared" si="127"/>
        <v>313.05555555555554</v>
      </c>
      <c r="W153" s="554">
        <f>AVERAGE(K153:V153)</f>
        <v>126.37231105359781</v>
      </c>
      <c r="X153" s="475">
        <f>W153/$W$154</f>
        <v>0.4594193185493412</v>
      </c>
    </row>
    <row r="154" spans="9:24" ht="13.15" customHeight="1" x14ac:dyDescent="0.4">
      <c r="J154" s="454"/>
      <c r="K154" s="563">
        <f t="shared" ref="K154:W154" si="128">K152+K153</f>
        <v>346.06116666666662</v>
      </c>
      <c r="L154" s="563">
        <f t="shared" si="128"/>
        <v>251.65799999999999</v>
      </c>
      <c r="M154" s="563">
        <f t="shared" si="128"/>
        <v>257.91025641025641</v>
      </c>
      <c r="N154" s="563">
        <f t="shared" si="128"/>
        <v>275.37124999999997</v>
      </c>
      <c r="O154" s="563">
        <f t="shared" si="128"/>
        <v>216.44452380952379</v>
      </c>
      <c r="P154" s="563">
        <f t="shared" si="128"/>
        <v>156.00897435897437</v>
      </c>
      <c r="Q154" s="563">
        <f t="shared" si="128"/>
        <v>178.09983193277313</v>
      </c>
      <c r="R154" s="563">
        <f t="shared" si="128"/>
        <v>311.32798418972334</v>
      </c>
      <c r="S154" s="563">
        <f t="shared" si="128"/>
        <v>289.24583333333328</v>
      </c>
      <c r="T154" s="563">
        <f t="shared" si="128"/>
        <v>187.75342105263158</v>
      </c>
      <c r="U154" s="563">
        <f t="shared" si="128"/>
        <v>387.04599999999999</v>
      </c>
      <c r="V154" s="563">
        <f t="shared" si="128"/>
        <v>443.90855555555549</v>
      </c>
      <c r="W154" s="563">
        <f t="shared" si="128"/>
        <v>275.06964977578656</v>
      </c>
      <c r="X154" s="564"/>
    </row>
    <row r="161" spans="1:7" ht="13.15" customHeight="1" x14ac:dyDescent="0.4">
      <c r="E161" s="605">
        <f>SUM(E164:E566)</f>
        <v>53396.819999999992</v>
      </c>
    </row>
    <row r="162" spans="1:7" ht="13.9" customHeight="1" x14ac:dyDescent="0.4">
      <c r="A162" s="482" t="s">
        <v>187</v>
      </c>
      <c r="B162" s="459" t="s">
        <v>188</v>
      </c>
      <c r="C162" s="459" t="s">
        <v>189</v>
      </c>
      <c r="D162" s="459" t="s">
        <v>190</v>
      </c>
      <c r="E162" s="483" t="s">
        <v>74</v>
      </c>
      <c r="F162" s="459" t="s">
        <v>75</v>
      </c>
      <c r="G162" s="459" t="s">
        <v>191</v>
      </c>
    </row>
    <row r="164" spans="1:7" ht="13.5" customHeight="1" x14ac:dyDescent="0.35">
      <c r="A164" s="838"/>
      <c r="B164" s="839"/>
      <c r="C164" s="840"/>
      <c r="D164" s="839"/>
      <c r="E164" s="841"/>
      <c r="F164" s="839"/>
      <c r="G164" s="839"/>
    </row>
    <row r="165" spans="1:7" ht="13.5" customHeight="1" x14ac:dyDescent="0.35">
      <c r="A165" s="838"/>
      <c r="B165" s="839"/>
      <c r="C165" s="840"/>
      <c r="D165" s="839"/>
      <c r="E165" s="841"/>
      <c r="F165" s="839"/>
      <c r="G165" s="839"/>
    </row>
    <row r="166" spans="1:7" ht="13.5" customHeight="1" x14ac:dyDescent="0.35">
      <c r="A166" s="838"/>
      <c r="B166" s="839"/>
      <c r="C166" s="840"/>
      <c r="D166" s="839"/>
      <c r="E166" s="841"/>
      <c r="F166" s="839"/>
      <c r="G166" s="839"/>
    </row>
    <row r="167" spans="1:7" ht="13.5" customHeight="1" x14ac:dyDescent="0.35">
      <c r="A167" s="838"/>
      <c r="B167" s="839"/>
      <c r="C167" s="840"/>
      <c r="D167" s="839"/>
      <c r="E167" s="841"/>
      <c r="F167" s="839"/>
      <c r="G167" s="839"/>
    </row>
    <row r="168" spans="1:7" ht="13.5" customHeight="1" x14ac:dyDescent="0.35">
      <c r="A168" s="838">
        <v>45290</v>
      </c>
      <c r="B168" s="839" t="s">
        <v>934</v>
      </c>
      <c r="C168" s="840" t="s">
        <v>1275</v>
      </c>
      <c r="D168" s="839" t="s">
        <v>166</v>
      </c>
      <c r="E168" s="841">
        <v>636</v>
      </c>
      <c r="F168" s="839" t="s">
        <v>495</v>
      </c>
      <c r="G168" s="839" t="s">
        <v>175</v>
      </c>
    </row>
    <row r="169" spans="1:7" ht="13.5" customHeight="1" x14ac:dyDescent="0.35">
      <c r="A169" s="838">
        <v>45290</v>
      </c>
      <c r="B169" s="839" t="s">
        <v>934</v>
      </c>
      <c r="C169" s="840" t="s">
        <v>1277</v>
      </c>
      <c r="D169" s="839" t="s">
        <v>166</v>
      </c>
      <c r="E169" s="841">
        <v>-636</v>
      </c>
      <c r="F169" s="839" t="s">
        <v>495</v>
      </c>
      <c r="G169" s="839" t="s">
        <v>175</v>
      </c>
    </row>
    <row r="170" spans="1:7" ht="13.5" customHeight="1" x14ac:dyDescent="0.35">
      <c r="A170" s="838">
        <v>45290</v>
      </c>
      <c r="B170" s="839" t="s">
        <v>1312</v>
      </c>
      <c r="C170" s="840" t="s">
        <v>1275</v>
      </c>
      <c r="D170" s="839" t="s">
        <v>166</v>
      </c>
      <c r="E170" s="841">
        <v>636</v>
      </c>
      <c r="F170" s="839" t="s">
        <v>495</v>
      </c>
      <c r="G170" s="839" t="s">
        <v>175</v>
      </c>
    </row>
    <row r="171" spans="1:7" ht="13.5" customHeight="1" x14ac:dyDescent="0.35">
      <c r="A171" s="838">
        <v>45290</v>
      </c>
      <c r="B171" s="839" t="s">
        <v>1312</v>
      </c>
      <c r="C171" s="840" t="s">
        <v>1277</v>
      </c>
      <c r="D171" s="839" t="s">
        <v>166</v>
      </c>
      <c r="E171" s="841">
        <v>-636</v>
      </c>
      <c r="F171" s="839" t="s">
        <v>495</v>
      </c>
      <c r="G171" s="839" t="s">
        <v>175</v>
      </c>
    </row>
    <row r="172" spans="1:7" ht="13.5" customHeight="1" x14ac:dyDescent="0.35">
      <c r="A172" s="838">
        <v>45290</v>
      </c>
      <c r="B172" s="839" t="s">
        <v>934</v>
      </c>
      <c r="C172" s="840" t="s">
        <v>1274</v>
      </c>
      <c r="D172" s="839" t="s">
        <v>166</v>
      </c>
      <c r="E172" s="841">
        <v>12</v>
      </c>
      <c r="F172" s="839" t="s">
        <v>1260</v>
      </c>
      <c r="G172" s="839" t="s">
        <v>175</v>
      </c>
    </row>
    <row r="173" spans="1:7" ht="13.5" customHeight="1" x14ac:dyDescent="0.35">
      <c r="A173" s="838">
        <v>45290</v>
      </c>
      <c r="B173" s="839" t="s">
        <v>934</v>
      </c>
      <c r="C173" s="840" t="s">
        <v>1277</v>
      </c>
      <c r="D173" s="839" t="s">
        <v>166</v>
      </c>
      <c r="E173" s="841">
        <v>-12</v>
      </c>
      <c r="F173" s="839" t="s">
        <v>1260</v>
      </c>
      <c r="G173" s="839" t="s">
        <v>175</v>
      </c>
    </row>
    <row r="174" spans="1:7" ht="13.5" customHeight="1" x14ac:dyDescent="0.35">
      <c r="A174" s="838">
        <v>45290</v>
      </c>
      <c r="B174" s="839" t="s">
        <v>1312</v>
      </c>
      <c r="C174" s="840" t="s">
        <v>1274</v>
      </c>
      <c r="D174" s="839" t="s">
        <v>166</v>
      </c>
      <c r="E174" s="841">
        <v>12</v>
      </c>
      <c r="F174" s="839" t="s">
        <v>1260</v>
      </c>
      <c r="G174" s="839" t="s">
        <v>175</v>
      </c>
    </row>
    <row r="175" spans="1:7" ht="13.5" customHeight="1" x14ac:dyDescent="0.35">
      <c r="A175" s="838">
        <v>45290</v>
      </c>
      <c r="B175" s="839" t="s">
        <v>1312</v>
      </c>
      <c r="C175" s="840" t="s">
        <v>1277</v>
      </c>
      <c r="D175" s="839" t="s">
        <v>166</v>
      </c>
      <c r="E175" s="841">
        <v>-12</v>
      </c>
      <c r="F175" s="839" t="s">
        <v>1260</v>
      </c>
      <c r="G175" s="839" t="s">
        <v>175</v>
      </c>
    </row>
    <row r="176" spans="1:7" ht="13.5" customHeight="1" x14ac:dyDescent="0.35">
      <c r="A176" s="838">
        <v>45290</v>
      </c>
      <c r="B176" s="839" t="s">
        <v>1313</v>
      </c>
      <c r="C176" s="840" t="s">
        <v>1279</v>
      </c>
      <c r="D176" s="839" t="s">
        <v>165</v>
      </c>
      <c r="E176" s="841">
        <v>50</v>
      </c>
      <c r="F176" s="839" t="s">
        <v>1314</v>
      </c>
      <c r="G176" s="839" t="s">
        <v>174</v>
      </c>
    </row>
    <row r="177" spans="1:7" ht="13.5" customHeight="1" x14ac:dyDescent="0.35">
      <c r="A177" s="838">
        <v>45290</v>
      </c>
      <c r="B177" s="839" t="s">
        <v>1313</v>
      </c>
      <c r="C177" s="840" t="s">
        <v>1281</v>
      </c>
      <c r="D177" s="839" t="s">
        <v>165</v>
      </c>
      <c r="E177" s="841">
        <v>-50</v>
      </c>
      <c r="F177" s="839" t="s">
        <v>734</v>
      </c>
      <c r="G177" s="839" t="s">
        <v>174</v>
      </c>
    </row>
    <row r="178" spans="1:7" ht="13.5" customHeight="1" x14ac:dyDescent="0.35">
      <c r="A178" s="838">
        <v>45290</v>
      </c>
      <c r="B178" s="839" t="s">
        <v>1315</v>
      </c>
      <c r="C178" s="840" t="s">
        <v>1279</v>
      </c>
      <c r="D178" s="839" t="s">
        <v>159</v>
      </c>
      <c r="E178" s="841">
        <v>540</v>
      </c>
      <c r="F178" s="839" t="s">
        <v>1316</v>
      </c>
      <c r="G178" s="839" t="s">
        <v>174</v>
      </c>
    </row>
    <row r="179" spans="1:7" ht="13.5" customHeight="1" x14ac:dyDescent="0.35">
      <c r="A179" s="838">
        <v>45284</v>
      </c>
      <c r="B179" s="839" t="s">
        <v>1317</v>
      </c>
      <c r="C179" s="840" t="s">
        <v>1274</v>
      </c>
      <c r="D179" s="839" t="s">
        <v>160</v>
      </c>
      <c r="E179" s="841">
        <v>50</v>
      </c>
      <c r="F179" s="839" t="s">
        <v>783</v>
      </c>
      <c r="G179" s="839" t="s">
        <v>174</v>
      </c>
    </row>
    <row r="180" spans="1:7" ht="13.5" customHeight="1" x14ac:dyDescent="0.35">
      <c r="A180" s="838">
        <v>45283</v>
      </c>
      <c r="B180" s="839" t="s">
        <v>1117</v>
      </c>
      <c r="C180" s="840" t="s">
        <v>1280</v>
      </c>
      <c r="D180" s="839" t="s">
        <v>160</v>
      </c>
      <c r="E180" s="841">
        <v>100</v>
      </c>
      <c r="F180" s="839" t="s">
        <v>734</v>
      </c>
      <c r="G180" s="839" t="s">
        <v>174</v>
      </c>
    </row>
    <row r="181" spans="1:7" ht="13.5" customHeight="1" x14ac:dyDescent="0.35">
      <c r="A181" s="838">
        <v>45282</v>
      </c>
      <c r="B181" s="839" t="s">
        <v>1318</v>
      </c>
      <c r="C181" s="840" t="s">
        <v>1274</v>
      </c>
      <c r="D181" s="839" t="s">
        <v>160</v>
      </c>
      <c r="E181" s="841">
        <v>120</v>
      </c>
      <c r="F181" s="839" t="s">
        <v>1319</v>
      </c>
      <c r="G181" s="839" t="s">
        <v>174</v>
      </c>
    </row>
    <row r="182" spans="1:7" ht="13.5" customHeight="1" x14ac:dyDescent="0.35">
      <c r="A182" s="838">
        <v>45281</v>
      </c>
      <c r="B182" s="839" t="s">
        <v>1320</v>
      </c>
      <c r="C182" s="840" t="s">
        <v>1275</v>
      </c>
      <c r="D182" s="839" t="s">
        <v>159</v>
      </c>
      <c r="E182" s="841">
        <v>995</v>
      </c>
      <c r="F182" s="839" t="s">
        <v>1321</v>
      </c>
      <c r="G182" s="839" t="s">
        <v>174</v>
      </c>
    </row>
    <row r="183" spans="1:7" ht="13.5" customHeight="1" x14ac:dyDescent="0.35">
      <c r="A183" s="838">
        <v>45281</v>
      </c>
      <c r="B183" s="839" t="s">
        <v>1322</v>
      </c>
      <c r="C183" s="840" t="s">
        <v>1274</v>
      </c>
      <c r="D183" s="839" t="s">
        <v>159</v>
      </c>
      <c r="E183" s="841">
        <v>125</v>
      </c>
      <c r="F183" s="839" t="s">
        <v>273</v>
      </c>
      <c r="G183" s="839" t="s">
        <v>174</v>
      </c>
    </row>
    <row r="184" spans="1:7" ht="13.5" customHeight="1" x14ac:dyDescent="0.35">
      <c r="A184" s="838">
        <v>45279</v>
      </c>
      <c r="B184" s="839" t="s">
        <v>822</v>
      </c>
      <c r="C184" s="840" t="s">
        <v>1274</v>
      </c>
      <c r="D184" s="839" t="s">
        <v>159</v>
      </c>
      <c r="E184" s="841">
        <v>12</v>
      </c>
      <c r="F184" s="839" t="s">
        <v>324</v>
      </c>
      <c r="G184" s="839" t="s">
        <v>174</v>
      </c>
    </row>
    <row r="185" spans="1:7" ht="13.5" customHeight="1" x14ac:dyDescent="0.35">
      <c r="A185" s="838">
        <v>45279</v>
      </c>
      <c r="B185" s="839" t="s">
        <v>1315</v>
      </c>
      <c r="C185" s="840" t="s">
        <v>1282</v>
      </c>
      <c r="D185" s="839" t="s">
        <v>162</v>
      </c>
      <c r="E185" s="841">
        <v>200</v>
      </c>
      <c r="F185" s="839" t="s">
        <v>1323</v>
      </c>
      <c r="G185" s="839" t="s">
        <v>174</v>
      </c>
    </row>
    <row r="186" spans="1:7" ht="13.5" customHeight="1" x14ac:dyDescent="0.35">
      <c r="A186" s="838">
        <v>45279</v>
      </c>
      <c r="B186" s="839" t="s">
        <v>1324</v>
      </c>
      <c r="C186" s="840" t="s">
        <v>1280</v>
      </c>
      <c r="D186" s="839" t="s">
        <v>159</v>
      </c>
      <c r="E186" s="841">
        <v>100</v>
      </c>
      <c r="F186" s="839" t="s">
        <v>734</v>
      </c>
      <c r="G186" s="839" t="s">
        <v>174</v>
      </c>
    </row>
    <row r="187" spans="1:7" ht="13.5" customHeight="1" x14ac:dyDescent="0.35">
      <c r="A187" s="838">
        <v>45279</v>
      </c>
      <c r="B187" s="839" t="s">
        <v>1325</v>
      </c>
      <c r="C187" s="840" t="s">
        <v>1280</v>
      </c>
      <c r="D187" s="839" t="s">
        <v>159</v>
      </c>
      <c r="E187" s="841">
        <v>100</v>
      </c>
      <c r="F187" s="839" t="s">
        <v>734</v>
      </c>
      <c r="G187" s="839" t="s">
        <v>174</v>
      </c>
    </row>
    <row r="188" spans="1:7" ht="13.5" customHeight="1" x14ac:dyDescent="0.35">
      <c r="A188" s="838">
        <v>45278</v>
      </c>
      <c r="B188" s="839" t="s">
        <v>1126</v>
      </c>
      <c r="C188" s="840" t="s">
        <v>1275</v>
      </c>
      <c r="D188" s="839" t="s">
        <v>159</v>
      </c>
      <c r="E188" s="841">
        <v>825</v>
      </c>
      <c r="F188" s="839" t="s">
        <v>496</v>
      </c>
      <c r="G188" s="839" t="s">
        <v>175</v>
      </c>
    </row>
    <row r="189" spans="1:7" ht="13.5" customHeight="1" x14ac:dyDescent="0.35">
      <c r="A189" s="838">
        <v>45277</v>
      </c>
      <c r="B189" s="839" t="s">
        <v>1326</v>
      </c>
      <c r="C189" s="840" t="s">
        <v>1280</v>
      </c>
      <c r="D189" s="839" t="s">
        <v>159</v>
      </c>
      <c r="E189" s="841">
        <v>50</v>
      </c>
      <c r="F189" s="839" t="s">
        <v>734</v>
      </c>
      <c r="G189" s="839" t="s">
        <v>174</v>
      </c>
    </row>
    <row r="190" spans="1:7" ht="13.5" customHeight="1" x14ac:dyDescent="0.35">
      <c r="A190" s="838">
        <v>45277</v>
      </c>
      <c r="B190" s="839" t="s">
        <v>1327</v>
      </c>
      <c r="C190" s="840" t="s">
        <v>28</v>
      </c>
      <c r="D190" s="839" t="s">
        <v>159</v>
      </c>
      <c r="E190" s="841">
        <v>250</v>
      </c>
      <c r="F190" s="839" t="s">
        <v>1267</v>
      </c>
      <c r="G190" s="839" t="s">
        <v>175</v>
      </c>
    </row>
    <row r="191" spans="1:7" ht="13.5" customHeight="1" x14ac:dyDescent="0.35">
      <c r="A191" s="838">
        <v>45275</v>
      </c>
      <c r="B191" s="839" t="s">
        <v>1328</v>
      </c>
      <c r="C191" s="840" t="s">
        <v>1280</v>
      </c>
      <c r="D191" s="839" t="s">
        <v>159</v>
      </c>
      <c r="E191" s="841">
        <v>50</v>
      </c>
      <c r="F191" s="839" t="s">
        <v>734</v>
      </c>
      <c r="G191" s="839" t="s">
        <v>174</v>
      </c>
    </row>
    <row r="192" spans="1:7" ht="13.5" customHeight="1" x14ac:dyDescent="0.35">
      <c r="A192" s="838">
        <v>45275</v>
      </c>
      <c r="B192" s="839" t="s">
        <v>89</v>
      </c>
      <c r="C192" s="840" t="s">
        <v>1282</v>
      </c>
      <c r="D192" s="839" t="s">
        <v>160</v>
      </c>
      <c r="E192" s="841">
        <v>26.06</v>
      </c>
      <c r="F192" s="839" t="s">
        <v>89</v>
      </c>
      <c r="G192" s="839" t="s">
        <v>89</v>
      </c>
    </row>
    <row r="193" spans="1:7" ht="13.5" customHeight="1" x14ac:dyDescent="0.35">
      <c r="A193" s="838">
        <v>45275</v>
      </c>
      <c r="B193" s="839" t="s">
        <v>1329</v>
      </c>
      <c r="C193" s="840" t="s">
        <v>1279</v>
      </c>
      <c r="D193" s="839" t="s">
        <v>160</v>
      </c>
      <c r="E193" s="841">
        <v>50</v>
      </c>
      <c r="F193" s="848" t="s">
        <v>1123</v>
      </c>
      <c r="G193" s="839" t="s">
        <v>175</v>
      </c>
    </row>
    <row r="194" spans="1:7" ht="13.5" customHeight="1" x14ac:dyDescent="0.35">
      <c r="A194" s="838">
        <v>45274</v>
      </c>
      <c r="B194" s="839" t="s">
        <v>1327</v>
      </c>
      <c r="C194" s="840" t="s">
        <v>1278</v>
      </c>
      <c r="D194" s="839" t="s">
        <v>159</v>
      </c>
      <c r="E194" s="841">
        <v>200</v>
      </c>
      <c r="F194" s="839" t="s">
        <v>292</v>
      </c>
      <c r="G194" s="839" t="s">
        <v>175</v>
      </c>
    </row>
    <row r="195" spans="1:7" ht="13.5" customHeight="1" x14ac:dyDescent="0.35">
      <c r="A195" s="838">
        <v>45274</v>
      </c>
      <c r="B195" s="839" t="s">
        <v>1272</v>
      </c>
      <c r="C195" s="840" t="s">
        <v>1278</v>
      </c>
      <c r="D195" s="839" t="s">
        <v>159</v>
      </c>
      <c r="E195" s="841">
        <v>20</v>
      </c>
      <c r="F195" s="839" t="s">
        <v>292</v>
      </c>
      <c r="G195" s="839" t="s">
        <v>175</v>
      </c>
    </row>
    <row r="196" spans="1:7" ht="13.5" customHeight="1" x14ac:dyDescent="0.35">
      <c r="A196" s="838">
        <v>45272</v>
      </c>
      <c r="B196" s="839" t="s">
        <v>89</v>
      </c>
      <c r="C196" s="840" t="s">
        <v>1282</v>
      </c>
      <c r="D196" s="839" t="s">
        <v>160</v>
      </c>
      <c r="E196" s="841">
        <v>39</v>
      </c>
      <c r="F196" s="839" t="s">
        <v>89</v>
      </c>
      <c r="G196" s="839" t="s">
        <v>89</v>
      </c>
    </row>
    <row r="197" spans="1:7" ht="13.5" customHeight="1" x14ac:dyDescent="0.35">
      <c r="A197" s="838">
        <v>45270</v>
      </c>
      <c r="B197" s="839" t="s">
        <v>1330</v>
      </c>
      <c r="C197" s="840" t="s">
        <v>1280</v>
      </c>
      <c r="D197" s="839" t="s">
        <v>159</v>
      </c>
      <c r="E197" s="841">
        <v>30</v>
      </c>
      <c r="F197" s="839" t="s">
        <v>734</v>
      </c>
      <c r="G197" s="839" t="s">
        <v>174</v>
      </c>
    </row>
    <row r="198" spans="1:7" ht="13.5" customHeight="1" x14ac:dyDescent="0.35">
      <c r="A198" s="838">
        <v>45269</v>
      </c>
      <c r="B198" s="839" t="s">
        <v>1312</v>
      </c>
      <c r="C198" s="840" t="s">
        <v>1276</v>
      </c>
      <c r="D198" s="839" t="s">
        <v>159</v>
      </c>
      <c r="E198" s="841">
        <v>1500</v>
      </c>
      <c r="F198" s="839" t="s">
        <v>1078</v>
      </c>
      <c r="G198" s="839" t="s">
        <v>175</v>
      </c>
    </row>
    <row r="199" spans="1:7" ht="13.5" customHeight="1" x14ac:dyDescent="0.35">
      <c r="A199" s="838">
        <v>45269</v>
      </c>
      <c r="B199" s="839" t="s">
        <v>934</v>
      </c>
      <c r="C199" s="840" t="s">
        <v>1276</v>
      </c>
      <c r="D199" s="839" t="s">
        <v>159</v>
      </c>
      <c r="E199" s="841">
        <v>1500</v>
      </c>
      <c r="F199" s="839" t="s">
        <v>1078</v>
      </c>
      <c r="G199" s="839" t="s">
        <v>175</v>
      </c>
    </row>
    <row r="200" spans="1:7" ht="13.5" customHeight="1" x14ac:dyDescent="0.35">
      <c r="A200" s="838">
        <v>45269</v>
      </c>
      <c r="B200" s="839" t="s">
        <v>1331</v>
      </c>
      <c r="C200" s="840" t="s">
        <v>1280</v>
      </c>
      <c r="D200" s="839" t="s">
        <v>159</v>
      </c>
      <c r="E200" s="841">
        <v>30</v>
      </c>
      <c r="F200" s="839" t="s">
        <v>734</v>
      </c>
      <c r="G200" s="839" t="s">
        <v>174</v>
      </c>
    </row>
    <row r="201" spans="1:7" ht="13.5" customHeight="1" x14ac:dyDescent="0.35">
      <c r="A201" s="838">
        <v>45269</v>
      </c>
      <c r="B201" s="839" t="s">
        <v>1331</v>
      </c>
      <c r="C201" s="840" t="s">
        <v>1280</v>
      </c>
      <c r="D201" s="839" t="s">
        <v>159</v>
      </c>
      <c r="E201" s="841">
        <v>30</v>
      </c>
      <c r="F201" s="839" t="s">
        <v>734</v>
      </c>
      <c r="G201" s="839" t="s">
        <v>174</v>
      </c>
    </row>
    <row r="202" spans="1:7" ht="13.5" customHeight="1" x14ac:dyDescent="0.35">
      <c r="A202" s="838">
        <v>45265</v>
      </c>
      <c r="B202" s="839" t="s">
        <v>1332</v>
      </c>
      <c r="C202" s="840" t="s">
        <v>1278</v>
      </c>
      <c r="D202" s="839" t="s">
        <v>159</v>
      </c>
      <c r="E202" s="841">
        <v>20</v>
      </c>
      <c r="F202" s="839" t="s">
        <v>1078</v>
      </c>
      <c r="G202" s="839" t="s">
        <v>174</v>
      </c>
    </row>
    <row r="203" spans="1:7" ht="13.5" customHeight="1" x14ac:dyDescent="0.35">
      <c r="A203" s="838">
        <v>45264</v>
      </c>
      <c r="B203" s="839" t="s">
        <v>351</v>
      </c>
      <c r="C203" s="840" t="s">
        <v>1276</v>
      </c>
      <c r="D203" s="839" t="s">
        <v>162</v>
      </c>
      <c r="E203" s="841">
        <v>1200</v>
      </c>
      <c r="F203" s="839" t="s">
        <v>1078</v>
      </c>
      <c r="G203" s="839" t="s">
        <v>175</v>
      </c>
    </row>
    <row r="204" spans="1:7" ht="13.5" customHeight="1" x14ac:dyDescent="0.35">
      <c r="A204" s="838">
        <v>45261</v>
      </c>
      <c r="B204" s="839" t="s">
        <v>1077</v>
      </c>
      <c r="C204" s="840" t="s">
        <v>1276</v>
      </c>
      <c r="D204" s="839" t="s">
        <v>161</v>
      </c>
      <c r="E204" s="841">
        <v>50</v>
      </c>
      <c r="F204" s="839" t="s">
        <v>1078</v>
      </c>
      <c r="G204" s="839" t="s">
        <v>175</v>
      </c>
    </row>
    <row r="205" spans="1:7" ht="13.5" customHeight="1" x14ac:dyDescent="0.35">
      <c r="A205" s="838">
        <v>45261</v>
      </c>
      <c r="B205" s="839" t="s">
        <v>292</v>
      </c>
      <c r="C205" s="840" t="s">
        <v>1278</v>
      </c>
      <c r="D205" s="839" t="s">
        <v>161</v>
      </c>
      <c r="E205" s="841">
        <v>40</v>
      </c>
      <c r="F205" s="839" t="s">
        <v>292</v>
      </c>
      <c r="G205" s="839" t="s">
        <v>175</v>
      </c>
    </row>
    <row r="206" spans="1:7" ht="13.5" customHeight="1" x14ac:dyDescent="0.35">
      <c r="A206" s="838"/>
      <c r="B206" s="839"/>
      <c r="C206" s="840"/>
      <c r="D206" s="839"/>
      <c r="E206" s="841"/>
      <c r="F206" s="839"/>
      <c r="G206" s="839"/>
    </row>
    <row r="207" spans="1:7" ht="13.5" customHeight="1" x14ac:dyDescent="0.35">
      <c r="A207" s="838">
        <v>45258</v>
      </c>
      <c r="B207" s="839" t="s">
        <v>89</v>
      </c>
      <c r="C207" s="840" t="s">
        <v>1282</v>
      </c>
      <c r="D207" s="839" t="s">
        <v>160</v>
      </c>
      <c r="E207" s="841">
        <v>9.09</v>
      </c>
      <c r="F207" s="839" t="s">
        <v>89</v>
      </c>
      <c r="G207" s="839" t="s">
        <v>89</v>
      </c>
    </row>
    <row r="208" spans="1:7" ht="13.5" customHeight="1" x14ac:dyDescent="0.35">
      <c r="A208" s="838">
        <v>45257</v>
      </c>
      <c r="B208" s="839" t="s">
        <v>1333</v>
      </c>
      <c r="C208" s="840" t="s">
        <v>1274</v>
      </c>
      <c r="D208" s="839" t="s">
        <v>159</v>
      </c>
      <c r="E208" s="841">
        <v>100</v>
      </c>
      <c r="F208" s="839" t="s">
        <v>783</v>
      </c>
      <c r="G208" s="839" t="s">
        <v>174</v>
      </c>
    </row>
    <row r="209" spans="1:7" ht="13.5" customHeight="1" x14ac:dyDescent="0.35">
      <c r="A209" s="838">
        <v>45255</v>
      </c>
      <c r="B209" s="839" t="s">
        <v>1334</v>
      </c>
      <c r="C209" s="840" t="s">
        <v>1274</v>
      </c>
      <c r="D209" s="839" t="s">
        <v>159</v>
      </c>
      <c r="E209" s="841">
        <v>125</v>
      </c>
      <c r="F209" s="839" t="s">
        <v>273</v>
      </c>
      <c r="G209" s="839" t="s">
        <v>174</v>
      </c>
    </row>
    <row r="210" spans="1:7" ht="13.5" customHeight="1" x14ac:dyDescent="0.35">
      <c r="A210" s="838">
        <v>45254</v>
      </c>
      <c r="B210" s="839" t="s">
        <v>1082</v>
      </c>
      <c r="C210" s="840" t="s">
        <v>1284</v>
      </c>
      <c r="D210" s="839" t="s">
        <v>162</v>
      </c>
      <c r="E210" s="841">
        <v>20.18</v>
      </c>
      <c r="F210" s="839" t="s">
        <v>81</v>
      </c>
      <c r="G210" s="839" t="s">
        <v>175</v>
      </c>
    </row>
    <row r="211" spans="1:7" ht="13.5" customHeight="1" x14ac:dyDescent="0.35">
      <c r="A211" s="838">
        <v>45254</v>
      </c>
      <c r="B211" s="839" t="s">
        <v>1335</v>
      </c>
      <c r="C211" s="840" t="s">
        <v>1283</v>
      </c>
      <c r="D211" s="839" t="s">
        <v>162</v>
      </c>
      <c r="E211" s="841">
        <v>990</v>
      </c>
      <c r="F211" s="839" t="s">
        <v>91</v>
      </c>
      <c r="G211" s="839" t="s">
        <v>174</v>
      </c>
    </row>
    <row r="212" spans="1:7" ht="13.5" customHeight="1" x14ac:dyDescent="0.35">
      <c r="A212" s="838">
        <v>45254</v>
      </c>
      <c r="B212" s="839" t="s">
        <v>1336</v>
      </c>
      <c r="C212" s="840" t="s">
        <v>1275</v>
      </c>
      <c r="D212" s="839" t="s">
        <v>162</v>
      </c>
      <c r="E212" s="841">
        <v>636</v>
      </c>
      <c r="F212" s="839" t="s">
        <v>496</v>
      </c>
      <c r="G212" s="839" t="s">
        <v>180</v>
      </c>
    </row>
    <row r="213" spans="1:7" ht="13.5" customHeight="1" x14ac:dyDescent="0.35">
      <c r="A213" s="838">
        <v>45250</v>
      </c>
      <c r="B213" s="839" t="s">
        <v>1337</v>
      </c>
      <c r="C213" s="840" t="s">
        <v>1279</v>
      </c>
      <c r="D213" s="839" t="s">
        <v>160</v>
      </c>
      <c r="E213" s="841">
        <v>120</v>
      </c>
      <c r="F213" s="848" t="s">
        <v>1067</v>
      </c>
      <c r="G213" s="839" t="s">
        <v>174</v>
      </c>
    </row>
    <row r="214" spans="1:7" ht="13.5" customHeight="1" x14ac:dyDescent="0.35">
      <c r="A214" s="838">
        <v>45248</v>
      </c>
      <c r="B214" s="839" t="s">
        <v>1338</v>
      </c>
      <c r="C214" s="840" t="s">
        <v>1280</v>
      </c>
      <c r="D214" s="839" t="s">
        <v>159</v>
      </c>
      <c r="E214" s="841">
        <v>75</v>
      </c>
      <c r="F214" s="839" t="s">
        <v>734</v>
      </c>
      <c r="G214" s="839" t="s">
        <v>174</v>
      </c>
    </row>
    <row r="215" spans="1:7" ht="13.5" customHeight="1" x14ac:dyDescent="0.35">
      <c r="A215" s="838">
        <v>45247</v>
      </c>
      <c r="B215" s="839" t="s">
        <v>1339</v>
      </c>
      <c r="C215" s="840" t="s">
        <v>1279</v>
      </c>
      <c r="D215" s="839" t="s">
        <v>159</v>
      </c>
      <c r="E215" s="841">
        <v>50</v>
      </c>
      <c r="F215" s="839" t="s">
        <v>1340</v>
      </c>
      <c r="G215" s="839" t="s">
        <v>175</v>
      </c>
    </row>
    <row r="216" spans="1:7" ht="13.5" customHeight="1" x14ac:dyDescent="0.35">
      <c r="A216" s="838">
        <v>45247</v>
      </c>
      <c r="B216" s="839" t="s">
        <v>89</v>
      </c>
      <c r="C216" s="840" t="s">
        <v>1282</v>
      </c>
      <c r="D216" s="839" t="s">
        <v>160</v>
      </c>
      <c r="E216" s="841">
        <v>89.33</v>
      </c>
      <c r="F216" s="839" t="s">
        <v>89</v>
      </c>
      <c r="G216" s="839" t="s">
        <v>89</v>
      </c>
    </row>
    <row r="217" spans="1:7" ht="13.5" customHeight="1" x14ac:dyDescent="0.35">
      <c r="A217" s="838">
        <v>45244</v>
      </c>
      <c r="B217" s="839" t="s">
        <v>1341</v>
      </c>
      <c r="C217" s="840" t="s">
        <v>1280</v>
      </c>
      <c r="D217" s="839" t="s">
        <v>159</v>
      </c>
      <c r="E217" s="841">
        <v>800</v>
      </c>
      <c r="F217" s="839" t="s">
        <v>734</v>
      </c>
      <c r="G217" s="839" t="s">
        <v>174</v>
      </c>
    </row>
    <row r="218" spans="1:7" ht="13.5" customHeight="1" x14ac:dyDescent="0.35">
      <c r="A218" s="838">
        <v>45239</v>
      </c>
      <c r="B218" s="839" t="s">
        <v>1192</v>
      </c>
      <c r="C218" s="840" t="s">
        <v>1274</v>
      </c>
      <c r="D218" s="839" t="s">
        <v>159</v>
      </c>
      <c r="E218" s="841">
        <v>50</v>
      </c>
      <c r="F218" s="839" t="s">
        <v>1342</v>
      </c>
      <c r="G218" s="839" t="s">
        <v>175</v>
      </c>
    </row>
    <row r="219" spans="1:7" ht="13.5" customHeight="1" x14ac:dyDescent="0.35">
      <c r="A219" s="838">
        <v>45238</v>
      </c>
      <c r="B219" s="839" t="s">
        <v>1343</v>
      </c>
      <c r="C219" s="840" t="s">
        <v>28</v>
      </c>
      <c r="D219" s="839" t="s">
        <v>159</v>
      </c>
      <c r="E219" s="841">
        <v>75</v>
      </c>
      <c r="F219" s="839" t="s">
        <v>1344</v>
      </c>
      <c r="G219" s="839" t="s">
        <v>175</v>
      </c>
    </row>
    <row r="220" spans="1:7" ht="13.5" customHeight="1" x14ac:dyDescent="0.35">
      <c r="A220" s="838">
        <v>45237</v>
      </c>
      <c r="B220" s="839" t="s">
        <v>405</v>
      </c>
      <c r="C220" s="840" t="s">
        <v>1274</v>
      </c>
      <c r="D220" s="839" t="s">
        <v>159</v>
      </c>
      <c r="E220" s="841">
        <v>125</v>
      </c>
      <c r="F220" s="839" t="s">
        <v>230</v>
      </c>
      <c r="G220" s="839" t="s">
        <v>174</v>
      </c>
    </row>
    <row r="221" spans="1:7" ht="13.5" customHeight="1" x14ac:dyDescent="0.35">
      <c r="A221" s="838">
        <v>45237</v>
      </c>
      <c r="B221" s="839" t="s">
        <v>1345</v>
      </c>
      <c r="C221" s="840" t="s">
        <v>1274</v>
      </c>
      <c r="D221" s="839" t="s">
        <v>160</v>
      </c>
      <c r="E221" s="841">
        <v>125</v>
      </c>
      <c r="F221" s="839" t="s">
        <v>273</v>
      </c>
      <c r="G221" s="839" t="s">
        <v>174</v>
      </c>
    </row>
    <row r="222" spans="1:7" ht="13.5" customHeight="1" x14ac:dyDescent="0.35">
      <c r="A222" s="838">
        <v>45235</v>
      </c>
      <c r="B222" s="839" t="s">
        <v>1346</v>
      </c>
      <c r="C222" s="840" t="s">
        <v>1274</v>
      </c>
      <c r="D222" s="839" t="s">
        <v>160</v>
      </c>
      <c r="E222" s="841">
        <v>125</v>
      </c>
      <c r="F222" s="839" t="s">
        <v>273</v>
      </c>
      <c r="G222" s="839" t="s">
        <v>175</v>
      </c>
    </row>
    <row r="223" spans="1:7" ht="13.5" customHeight="1" x14ac:dyDescent="0.35">
      <c r="A223" s="838">
        <v>45235</v>
      </c>
      <c r="B223" s="839" t="s">
        <v>1347</v>
      </c>
      <c r="C223" s="840" t="s">
        <v>1275</v>
      </c>
      <c r="D223" s="839" t="s">
        <v>159</v>
      </c>
      <c r="E223" s="841">
        <v>191</v>
      </c>
      <c r="F223" s="839" t="s">
        <v>1348</v>
      </c>
      <c r="G223" s="839" t="s">
        <v>175</v>
      </c>
    </row>
    <row r="224" spans="1:7" ht="13.5" customHeight="1" x14ac:dyDescent="0.35">
      <c r="A224" s="838">
        <v>45233</v>
      </c>
      <c r="B224" s="839" t="s">
        <v>1347</v>
      </c>
      <c r="C224" s="840" t="s">
        <v>1275</v>
      </c>
      <c r="D224" s="839" t="s">
        <v>159</v>
      </c>
      <c r="E224" s="841">
        <v>795</v>
      </c>
      <c r="F224" s="839" t="s">
        <v>496</v>
      </c>
      <c r="G224" s="839" t="s">
        <v>175</v>
      </c>
    </row>
    <row r="225" spans="1:7" ht="13.5" customHeight="1" x14ac:dyDescent="0.35">
      <c r="A225" s="838">
        <v>45232</v>
      </c>
      <c r="B225" s="839" t="s">
        <v>1349</v>
      </c>
      <c r="C225" s="840" t="s">
        <v>1274</v>
      </c>
      <c r="D225" s="839" t="s">
        <v>160</v>
      </c>
      <c r="E225" s="841">
        <v>12</v>
      </c>
      <c r="F225" s="839" t="s">
        <v>324</v>
      </c>
      <c r="G225" s="839" t="s">
        <v>174</v>
      </c>
    </row>
    <row r="226" spans="1:7" ht="13.5" customHeight="1" x14ac:dyDescent="0.35">
      <c r="A226" s="838">
        <v>45231</v>
      </c>
      <c r="B226" s="839" t="s">
        <v>1339</v>
      </c>
      <c r="C226" s="840" t="s">
        <v>1279</v>
      </c>
      <c r="D226" s="839" t="s">
        <v>165</v>
      </c>
      <c r="E226" s="841">
        <v>250</v>
      </c>
      <c r="F226" s="839" t="s">
        <v>1314</v>
      </c>
      <c r="G226" s="839" t="s">
        <v>174</v>
      </c>
    </row>
    <row r="227" spans="1:7" ht="13.5" customHeight="1" x14ac:dyDescent="0.35">
      <c r="A227" s="838">
        <v>45231</v>
      </c>
      <c r="B227" s="839" t="s">
        <v>1339</v>
      </c>
      <c r="C227" s="840" t="s">
        <v>1281</v>
      </c>
      <c r="D227" s="839" t="s">
        <v>165</v>
      </c>
      <c r="E227" s="841">
        <v>-250</v>
      </c>
      <c r="F227" s="839" t="s">
        <v>734</v>
      </c>
      <c r="G227" s="839" t="s">
        <v>174</v>
      </c>
    </row>
    <row r="228" spans="1:7" ht="13.5" customHeight="1" x14ac:dyDescent="0.35">
      <c r="A228" s="838">
        <v>45231</v>
      </c>
      <c r="B228" s="839" t="s">
        <v>1329</v>
      </c>
      <c r="C228" s="840" t="s">
        <v>1279</v>
      </c>
      <c r="D228" s="839" t="s">
        <v>159</v>
      </c>
      <c r="E228" s="841">
        <v>170</v>
      </c>
      <c r="F228" s="839" t="s">
        <v>1350</v>
      </c>
      <c r="G228" s="839" t="s">
        <v>175</v>
      </c>
    </row>
    <row r="229" spans="1:7" ht="13.5" customHeight="1" x14ac:dyDescent="0.35">
      <c r="A229" s="838">
        <v>45231</v>
      </c>
      <c r="B229" s="839" t="s">
        <v>1339</v>
      </c>
      <c r="C229" s="840" t="s">
        <v>1280</v>
      </c>
      <c r="D229" s="839" t="s">
        <v>159</v>
      </c>
      <c r="E229" s="841">
        <v>250</v>
      </c>
      <c r="F229" s="839" t="s">
        <v>734</v>
      </c>
      <c r="G229" s="839" t="s">
        <v>174</v>
      </c>
    </row>
    <row r="230" spans="1:7" ht="13.5" customHeight="1" x14ac:dyDescent="0.35">
      <c r="A230" s="838">
        <v>45231</v>
      </c>
      <c r="B230" s="839" t="s">
        <v>1077</v>
      </c>
      <c r="C230" s="840" t="s">
        <v>1276</v>
      </c>
      <c r="D230" s="839" t="s">
        <v>161</v>
      </c>
      <c r="E230" s="841">
        <v>50</v>
      </c>
      <c r="F230" s="839" t="s">
        <v>1078</v>
      </c>
      <c r="G230" s="839" t="s">
        <v>175</v>
      </c>
    </row>
    <row r="231" spans="1:7" ht="13.5" customHeight="1" x14ac:dyDescent="0.35">
      <c r="A231" s="838">
        <v>45231</v>
      </c>
      <c r="B231" s="839" t="s">
        <v>292</v>
      </c>
      <c r="C231" s="840" t="s">
        <v>1278</v>
      </c>
      <c r="D231" s="839" t="s">
        <v>161</v>
      </c>
      <c r="E231" s="841">
        <v>40</v>
      </c>
      <c r="F231" s="839" t="s">
        <v>292</v>
      </c>
      <c r="G231" s="839" t="s">
        <v>175</v>
      </c>
    </row>
    <row r="232" spans="1:7" ht="13.5" customHeight="1" x14ac:dyDescent="0.35">
      <c r="A232" s="838"/>
      <c r="B232" s="839"/>
      <c r="C232" s="840"/>
      <c r="D232" s="839"/>
      <c r="E232" s="841"/>
      <c r="F232" s="839"/>
      <c r="G232" s="839"/>
    </row>
    <row r="233" spans="1:7" ht="13.5" customHeight="1" x14ac:dyDescent="0.35">
      <c r="A233" s="838">
        <v>45223</v>
      </c>
      <c r="B233" s="839" t="s">
        <v>1273</v>
      </c>
      <c r="C233" s="840" t="s">
        <v>1274</v>
      </c>
      <c r="D233" s="839" t="s">
        <v>160</v>
      </c>
      <c r="E233" s="841">
        <v>50</v>
      </c>
      <c r="F233" s="839" t="s">
        <v>783</v>
      </c>
      <c r="G233" s="839" t="s">
        <v>175</v>
      </c>
    </row>
    <row r="234" spans="1:7" ht="13.5" customHeight="1" x14ac:dyDescent="0.35">
      <c r="A234" s="838">
        <v>45226</v>
      </c>
      <c r="B234" s="839" t="s">
        <v>721</v>
      </c>
      <c r="C234" s="840" t="s">
        <v>1279</v>
      </c>
      <c r="D234" s="839" t="s">
        <v>159</v>
      </c>
      <c r="E234" s="841">
        <v>360</v>
      </c>
      <c r="F234" s="839" t="s">
        <v>1062</v>
      </c>
      <c r="G234" s="839" t="s">
        <v>174</v>
      </c>
    </row>
    <row r="235" spans="1:7" ht="13.5" customHeight="1" x14ac:dyDescent="0.35">
      <c r="A235" s="838">
        <v>45224</v>
      </c>
      <c r="B235" s="839" t="s">
        <v>1351</v>
      </c>
      <c r="C235" s="840" t="s">
        <v>1283</v>
      </c>
      <c r="D235" s="839" t="s">
        <v>159</v>
      </c>
      <c r="E235" s="841">
        <v>150</v>
      </c>
      <c r="F235" s="839" t="s">
        <v>1352</v>
      </c>
      <c r="G235" s="839" t="s">
        <v>174</v>
      </c>
    </row>
    <row r="236" spans="1:7" ht="13.5" customHeight="1" x14ac:dyDescent="0.35">
      <c r="A236" s="838">
        <v>45224</v>
      </c>
      <c r="B236" s="839" t="s">
        <v>1353</v>
      </c>
      <c r="C236" s="840" t="s">
        <v>28</v>
      </c>
      <c r="D236" s="839" t="s">
        <v>159</v>
      </c>
      <c r="E236" s="841">
        <v>250</v>
      </c>
      <c r="F236" s="839" t="s">
        <v>1354</v>
      </c>
      <c r="G236" s="839" t="s">
        <v>174</v>
      </c>
    </row>
    <row r="237" spans="1:7" ht="13.5" customHeight="1" x14ac:dyDescent="0.35">
      <c r="A237" s="838">
        <v>45222</v>
      </c>
      <c r="B237" s="839" t="s">
        <v>1216</v>
      </c>
      <c r="C237" s="840" t="s">
        <v>1274</v>
      </c>
      <c r="D237" s="839" t="s">
        <v>165</v>
      </c>
      <c r="E237" s="841">
        <v>12</v>
      </c>
      <c r="F237" s="839" t="s">
        <v>324</v>
      </c>
      <c r="G237" s="839" t="s">
        <v>175</v>
      </c>
    </row>
    <row r="238" spans="1:7" ht="13.5" customHeight="1" x14ac:dyDescent="0.35">
      <c r="A238" s="838">
        <v>45222</v>
      </c>
      <c r="B238" s="839" t="s">
        <v>1216</v>
      </c>
      <c r="C238" s="840" t="s">
        <v>1281</v>
      </c>
      <c r="D238" s="839" t="s">
        <v>165</v>
      </c>
      <c r="E238" s="841">
        <v>-12</v>
      </c>
      <c r="F238" s="839" t="s">
        <v>324</v>
      </c>
      <c r="G238" s="839" t="s">
        <v>175</v>
      </c>
    </row>
    <row r="239" spans="1:7" ht="13.5" customHeight="1" x14ac:dyDescent="0.35">
      <c r="A239" s="838">
        <v>45222</v>
      </c>
      <c r="B239" s="839" t="s">
        <v>1346</v>
      </c>
      <c r="C239" s="840" t="s">
        <v>1274</v>
      </c>
      <c r="D239" s="839" t="s">
        <v>160</v>
      </c>
      <c r="E239" s="841">
        <v>12</v>
      </c>
      <c r="F239" s="839" t="s">
        <v>324</v>
      </c>
      <c r="G239" s="839" t="s">
        <v>174</v>
      </c>
    </row>
    <row r="240" spans="1:7" ht="13.5" customHeight="1" x14ac:dyDescent="0.35">
      <c r="A240" s="838">
        <v>45218</v>
      </c>
      <c r="B240" s="839" t="s">
        <v>1355</v>
      </c>
      <c r="C240" s="840" t="s">
        <v>1283</v>
      </c>
      <c r="D240" s="839" t="s">
        <v>162</v>
      </c>
      <c r="E240" s="841">
        <v>295</v>
      </c>
      <c r="F240" s="839" t="s">
        <v>1356</v>
      </c>
      <c r="G240" s="839" t="s">
        <v>175</v>
      </c>
    </row>
    <row r="241" spans="1:7" ht="13.5" customHeight="1" x14ac:dyDescent="0.35">
      <c r="A241" s="838">
        <v>45218</v>
      </c>
      <c r="B241" s="839" t="s">
        <v>1192</v>
      </c>
      <c r="C241" s="840" t="s">
        <v>1274</v>
      </c>
      <c r="D241" s="839" t="s">
        <v>159</v>
      </c>
      <c r="E241" s="841">
        <v>99</v>
      </c>
      <c r="F241" s="839" t="s">
        <v>177</v>
      </c>
      <c r="G241" s="839" t="s">
        <v>175</v>
      </c>
    </row>
    <row r="242" spans="1:7" ht="13.5" customHeight="1" x14ac:dyDescent="0.35">
      <c r="A242" s="838">
        <v>45218</v>
      </c>
      <c r="B242" s="839" t="s">
        <v>1357</v>
      </c>
      <c r="C242" s="840" t="s">
        <v>1274</v>
      </c>
      <c r="D242" s="839" t="s">
        <v>159</v>
      </c>
      <c r="E242" s="841">
        <v>99</v>
      </c>
      <c r="F242" s="839" t="s">
        <v>177</v>
      </c>
      <c r="G242" s="839" t="s">
        <v>177</v>
      </c>
    </row>
    <row r="243" spans="1:7" ht="13.5" customHeight="1" x14ac:dyDescent="0.35">
      <c r="A243" s="838">
        <v>45218</v>
      </c>
      <c r="B243" s="839" t="s">
        <v>1358</v>
      </c>
      <c r="C243" s="840" t="s">
        <v>1274</v>
      </c>
      <c r="D243" s="839" t="s">
        <v>162</v>
      </c>
      <c r="E243" s="841">
        <v>140</v>
      </c>
      <c r="F243" s="839" t="s">
        <v>1359</v>
      </c>
      <c r="G243" s="839" t="s">
        <v>180</v>
      </c>
    </row>
    <row r="244" spans="1:7" ht="13.5" customHeight="1" x14ac:dyDescent="0.35">
      <c r="A244" s="838">
        <v>45218</v>
      </c>
      <c r="B244" s="839" t="s">
        <v>1360</v>
      </c>
      <c r="C244" s="840" t="s">
        <v>1274</v>
      </c>
      <c r="D244" s="839" t="s">
        <v>162</v>
      </c>
      <c r="E244" s="841">
        <v>140</v>
      </c>
      <c r="F244" s="839" t="s">
        <v>1359</v>
      </c>
      <c r="G244" s="839" t="s">
        <v>180</v>
      </c>
    </row>
    <row r="245" spans="1:7" ht="13.5" customHeight="1" x14ac:dyDescent="0.35">
      <c r="A245" s="838">
        <v>45217</v>
      </c>
      <c r="B245" s="839" t="s">
        <v>1361</v>
      </c>
      <c r="C245" s="840" t="s">
        <v>1274</v>
      </c>
      <c r="D245" s="839" t="s">
        <v>160</v>
      </c>
      <c r="E245" s="841">
        <v>99</v>
      </c>
      <c r="F245" s="839" t="s">
        <v>177</v>
      </c>
      <c r="G245" s="839" t="s">
        <v>176</v>
      </c>
    </row>
    <row r="246" spans="1:7" ht="13.5" customHeight="1" x14ac:dyDescent="0.35">
      <c r="A246" s="838">
        <v>45214</v>
      </c>
      <c r="B246" s="839" t="s">
        <v>1362</v>
      </c>
      <c r="C246" s="840" t="s">
        <v>1274</v>
      </c>
      <c r="D246" s="839" t="s">
        <v>159</v>
      </c>
      <c r="E246" s="841">
        <v>50</v>
      </c>
      <c r="F246" s="839" t="s">
        <v>783</v>
      </c>
      <c r="G246" s="839" t="s">
        <v>179</v>
      </c>
    </row>
    <row r="247" spans="1:7" ht="13.5" customHeight="1" x14ac:dyDescent="0.35">
      <c r="A247" s="838">
        <v>45213</v>
      </c>
      <c r="B247" s="839" t="s">
        <v>1363</v>
      </c>
      <c r="C247" s="840" t="s">
        <v>1274</v>
      </c>
      <c r="D247" s="839" t="s">
        <v>159</v>
      </c>
      <c r="E247" s="841">
        <v>99</v>
      </c>
      <c r="F247" s="839" t="s">
        <v>177</v>
      </c>
      <c r="G247" s="839" t="s">
        <v>174</v>
      </c>
    </row>
    <row r="248" spans="1:7" ht="13.5" customHeight="1" x14ac:dyDescent="0.35">
      <c r="A248" s="838">
        <v>45211</v>
      </c>
      <c r="B248" s="839" t="s">
        <v>1364</v>
      </c>
      <c r="C248" s="840" t="s">
        <v>1274</v>
      </c>
      <c r="D248" s="839" t="s">
        <v>159</v>
      </c>
      <c r="E248" s="841">
        <v>99</v>
      </c>
      <c r="F248" s="839" t="s">
        <v>177</v>
      </c>
      <c r="G248" s="839" t="s">
        <v>174</v>
      </c>
    </row>
    <row r="249" spans="1:7" ht="13.5" customHeight="1" x14ac:dyDescent="0.35">
      <c r="A249" s="838">
        <v>45211</v>
      </c>
      <c r="B249" s="839" t="s">
        <v>1122</v>
      </c>
      <c r="C249" s="840" t="s">
        <v>1282</v>
      </c>
      <c r="D249" s="839" t="s">
        <v>159</v>
      </c>
      <c r="E249" s="841">
        <v>35</v>
      </c>
      <c r="F249" s="839" t="s">
        <v>1365</v>
      </c>
      <c r="G249" s="839" t="s">
        <v>174</v>
      </c>
    </row>
    <row r="250" spans="1:7" ht="13.5" customHeight="1" x14ac:dyDescent="0.35">
      <c r="A250" s="838">
        <v>45210</v>
      </c>
      <c r="B250" s="839" t="s">
        <v>1227</v>
      </c>
      <c r="C250" s="840" t="s">
        <v>1274</v>
      </c>
      <c r="D250" s="839" t="s">
        <v>166</v>
      </c>
      <c r="E250" s="841">
        <v>67.5</v>
      </c>
      <c r="F250" s="839" t="s">
        <v>1106</v>
      </c>
      <c r="G250" s="839" t="s">
        <v>175</v>
      </c>
    </row>
    <row r="251" spans="1:7" ht="13.5" customHeight="1" x14ac:dyDescent="0.35">
      <c r="A251" s="838">
        <v>45210</v>
      </c>
      <c r="B251" s="839" t="s">
        <v>1227</v>
      </c>
      <c r="C251" s="840" t="s">
        <v>1277</v>
      </c>
      <c r="D251" s="839" t="s">
        <v>166</v>
      </c>
      <c r="E251" s="841">
        <v>-67.5</v>
      </c>
      <c r="F251" s="839" t="s">
        <v>1106</v>
      </c>
      <c r="G251" s="839" t="s">
        <v>175</v>
      </c>
    </row>
    <row r="252" spans="1:7" ht="13.5" customHeight="1" x14ac:dyDescent="0.35">
      <c r="A252" s="838">
        <v>45209</v>
      </c>
      <c r="B252" s="839" t="s">
        <v>1366</v>
      </c>
      <c r="C252" s="840" t="s">
        <v>1274</v>
      </c>
      <c r="D252" s="839" t="s">
        <v>159</v>
      </c>
      <c r="E252" s="841">
        <v>50</v>
      </c>
      <c r="F252" s="839" t="s">
        <v>783</v>
      </c>
      <c r="G252" s="839" t="s">
        <v>174</v>
      </c>
    </row>
    <row r="253" spans="1:7" ht="13.5" customHeight="1" x14ac:dyDescent="0.35">
      <c r="A253" s="838">
        <v>45208</v>
      </c>
      <c r="B253" s="839" t="s">
        <v>996</v>
      </c>
      <c r="C253" s="840" t="s">
        <v>1274</v>
      </c>
      <c r="D253" s="839" t="s">
        <v>159</v>
      </c>
      <c r="E253" s="841">
        <v>99</v>
      </c>
      <c r="F253" s="839" t="s">
        <v>177</v>
      </c>
      <c r="G253" s="839" t="s">
        <v>174</v>
      </c>
    </row>
    <row r="254" spans="1:7" ht="13.5" customHeight="1" x14ac:dyDescent="0.35">
      <c r="A254" s="838">
        <v>45206</v>
      </c>
      <c r="B254" s="839" t="s">
        <v>1367</v>
      </c>
      <c r="C254" s="840" t="s">
        <v>1274</v>
      </c>
      <c r="D254" s="839" t="s">
        <v>160</v>
      </c>
      <c r="E254" s="841">
        <v>12</v>
      </c>
      <c r="F254" s="839" t="s">
        <v>324</v>
      </c>
      <c r="G254" s="839" t="s">
        <v>175</v>
      </c>
    </row>
    <row r="255" spans="1:7" ht="13.5" customHeight="1" x14ac:dyDescent="0.35">
      <c r="A255" s="838">
        <v>45205</v>
      </c>
      <c r="B255" s="839" t="s">
        <v>1367</v>
      </c>
      <c r="C255" s="840" t="s">
        <v>1274</v>
      </c>
      <c r="D255" s="839" t="s">
        <v>160</v>
      </c>
      <c r="E255" s="841">
        <v>99</v>
      </c>
      <c r="F255" s="839" t="s">
        <v>177</v>
      </c>
      <c r="G255" s="839" t="s">
        <v>179</v>
      </c>
    </row>
    <row r="256" spans="1:7" ht="13.5" customHeight="1" x14ac:dyDescent="0.35">
      <c r="A256" s="838">
        <v>45205</v>
      </c>
      <c r="B256" s="839" t="s">
        <v>1009</v>
      </c>
      <c r="C256" s="840" t="s">
        <v>1275</v>
      </c>
      <c r="D256" s="839" t="s">
        <v>166</v>
      </c>
      <c r="E256" s="841">
        <v>550</v>
      </c>
      <c r="F256" s="839" t="s">
        <v>1368</v>
      </c>
      <c r="G256" s="839" t="s">
        <v>175</v>
      </c>
    </row>
    <row r="257" spans="1:7" ht="13.5" customHeight="1" x14ac:dyDescent="0.35">
      <c r="A257" s="838">
        <v>45205</v>
      </c>
      <c r="B257" s="839" t="s">
        <v>1009</v>
      </c>
      <c r="C257" s="840" t="s">
        <v>1277</v>
      </c>
      <c r="D257" s="839" t="s">
        <v>166</v>
      </c>
      <c r="E257" s="841">
        <v>-550</v>
      </c>
      <c r="F257" s="839" t="s">
        <v>1368</v>
      </c>
      <c r="G257" s="839" t="s">
        <v>175</v>
      </c>
    </row>
    <row r="258" spans="1:7" ht="13.5" customHeight="1" x14ac:dyDescent="0.35">
      <c r="A258" s="838">
        <v>45205</v>
      </c>
      <c r="B258" s="839" t="s">
        <v>1369</v>
      </c>
      <c r="C258" s="840" t="s">
        <v>1274</v>
      </c>
      <c r="D258" s="839" t="s">
        <v>162</v>
      </c>
      <c r="E258" s="841">
        <v>100</v>
      </c>
      <c r="F258" s="839" t="s">
        <v>235</v>
      </c>
      <c r="G258" s="839" t="s">
        <v>180</v>
      </c>
    </row>
    <row r="259" spans="1:7" ht="13.5" customHeight="1" x14ac:dyDescent="0.35">
      <c r="A259" s="838">
        <v>45205</v>
      </c>
      <c r="B259" s="839" t="s">
        <v>1370</v>
      </c>
      <c r="C259" s="840" t="s">
        <v>1274</v>
      </c>
      <c r="D259" s="839" t="s">
        <v>162</v>
      </c>
      <c r="E259" s="841">
        <v>100</v>
      </c>
      <c r="F259" s="839" t="s">
        <v>235</v>
      </c>
      <c r="G259" s="839" t="s">
        <v>180</v>
      </c>
    </row>
    <row r="260" spans="1:7" ht="13.5" customHeight="1" x14ac:dyDescent="0.35">
      <c r="A260" s="838">
        <v>45204</v>
      </c>
      <c r="B260" s="839" t="s">
        <v>1273</v>
      </c>
      <c r="C260" s="840" t="s">
        <v>1274</v>
      </c>
      <c r="D260" s="839" t="s">
        <v>159</v>
      </c>
      <c r="E260" s="841">
        <v>150</v>
      </c>
      <c r="F260" s="839" t="s">
        <v>177</v>
      </c>
      <c r="G260" s="839" t="s">
        <v>174</v>
      </c>
    </row>
    <row r="261" spans="1:7" ht="13.5" customHeight="1" x14ac:dyDescent="0.35">
      <c r="A261" s="838">
        <v>45204</v>
      </c>
      <c r="B261" s="839" t="s">
        <v>1251</v>
      </c>
      <c r="C261" s="840" t="s">
        <v>1274</v>
      </c>
      <c r="D261" s="839" t="s">
        <v>160</v>
      </c>
      <c r="E261" s="841">
        <v>150</v>
      </c>
      <c r="F261" s="839" t="s">
        <v>177</v>
      </c>
      <c r="G261" s="839" t="s">
        <v>175</v>
      </c>
    </row>
    <row r="262" spans="1:7" ht="13.5" customHeight="1" x14ac:dyDescent="0.35">
      <c r="A262" s="838">
        <v>45201</v>
      </c>
      <c r="B262" s="839" t="s">
        <v>1082</v>
      </c>
      <c r="C262" s="840" t="s">
        <v>1284</v>
      </c>
      <c r="D262" s="839" t="s">
        <v>162</v>
      </c>
      <c r="E262" s="841">
        <v>39.39</v>
      </c>
      <c r="F262" s="839" t="s">
        <v>81</v>
      </c>
      <c r="G262" s="839" t="s">
        <v>175</v>
      </c>
    </row>
    <row r="263" spans="1:7" ht="13.5" customHeight="1" x14ac:dyDescent="0.35">
      <c r="A263" s="838">
        <v>45201</v>
      </c>
      <c r="B263" s="839" t="s">
        <v>1371</v>
      </c>
      <c r="C263" s="840" t="s">
        <v>1274</v>
      </c>
      <c r="D263" s="839" t="s">
        <v>160</v>
      </c>
      <c r="E263" s="841">
        <v>99</v>
      </c>
      <c r="F263" s="839" t="s">
        <v>177</v>
      </c>
      <c r="G263" s="839" t="s">
        <v>174</v>
      </c>
    </row>
    <row r="264" spans="1:7" ht="13.5" customHeight="1" x14ac:dyDescent="0.35">
      <c r="A264" s="838">
        <v>45200</v>
      </c>
      <c r="B264" s="839" t="s">
        <v>1077</v>
      </c>
      <c r="C264" s="840" t="s">
        <v>1276</v>
      </c>
      <c r="D264" s="839" t="s">
        <v>161</v>
      </c>
      <c r="E264" s="841">
        <v>300</v>
      </c>
      <c r="F264" s="839" t="s">
        <v>1078</v>
      </c>
      <c r="G264" s="839" t="s">
        <v>175</v>
      </c>
    </row>
    <row r="265" spans="1:7" ht="13.5" customHeight="1" x14ac:dyDescent="0.35">
      <c r="A265" s="838">
        <v>45200</v>
      </c>
      <c r="B265" s="839" t="s">
        <v>292</v>
      </c>
      <c r="C265" s="840" t="s">
        <v>1278</v>
      </c>
      <c r="D265" s="839" t="s">
        <v>161</v>
      </c>
      <c r="E265" s="841">
        <v>40</v>
      </c>
      <c r="F265" s="839" t="s">
        <v>292</v>
      </c>
      <c r="G265" s="839" t="s">
        <v>175</v>
      </c>
    </row>
    <row r="266" spans="1:7" ht="13.5" customHeight="1" x14ac:dyDescent="0.35">
      <c r="A266" s="838"/>
      <c r="B266" s="839"/>
      <c r="C266" s="840"/>
      <c r="D266" s="839"/>
      <c r="E266" s="841"/>
      <c r="F266" s="839"/>
      <c r="G266" s="839"/>
    </row>
    <row r="267" spans="1:7" ht="13.5" customHeight="1" x14ac:dyDescent="0.35">
      <c r="A267" s="838">
        <v>45199</v>
      </c>
      <c r="B267" s="839" t="s">
        <v>1372</v>
      </c>
      <c r="C267" s="840" t="s">
        <v>1274</v>
      </c>
      <c r="D267" s="839" t="s">
        <v>159</v>
      </c>
      <c r="E267" s="841">
        <v>99</v>
      </c>
      <c r="F267" s="839" t="s">
        <v>177</v>
      </c>
      <c r="G267" s="839" t="s">
        <v>175</v>
      </c>
    </row>
    <row r="268" spans="1:7" ht="13.5" customHeight="1" x14ac:dyDescent="0.35">
      <c r="A268" s="838">
        <v>45199</v>
      </c>
      <c r="B268" s="839" t="s">
        <v>1373</v>
      </c>
      <c r="C268" s="840" t="s">
        <v>1274</v>
      </c>
      <c r="D268" s="839" t="s">
        <v>159</v>
      </c>
      <c r="E268" s="841">
        <v>74</v>
      </c>
      <c r="F268" s="839" t="s">
        <v>177</v>
      </c>
      <c r="G268" s="839" t="s">
        <v>175</v>
      </c>
    </row>
    <row r="269" spans="1:7" ht="13.5" customHeight="1" x14ac:dyDescent="0.35">
      <c r="A269" s="838">
        <v>45198</v>
      </c>
      <c r="B269" s="839" t="s">
        <v>1374</v>
      </c>
      <c r="C269" s="840" t="s">
        <v>1279</v>
      </c>
      <c r="D269" s="839" t="s">
        <v>165</v>
      </c>
      <c r="E269" s="841">
        <v>250</v>
      </c>
      <c r="F269" s="839" t="s">
        <v>773</v>
      </c>
      <c r="G269" s="839" t="s">
        <v>175</v>
      </c>
    </row>
    <row r="270" spans="1:7" ht="13.5" customHeight="1" x14ac:dyDescent="0.35">
      <c r="A270" s="838">
        <v>45198</v>
      </c>
      <c r="B270" s="839" t="s">
        <v>1374</v>
      </c>
      <c r="C270" s="840" t="s">
        <v>1281</v>
      </c>
      <c r="D270" s="839" t="s">
        <v>165</v>
      </c>
      <c r="E270" s="841">
        <v>-250</v>
      </c>
      <c r="F270" s="839" t="s">
        <v>773</v>
      </c>
      <c r="G270" s="839" t="s">
        <v>175</v>
      </c>
    </row>
    <row r="271" spans="1:7" ht="13.5" customHeight="1" x14ac:dyDescent="0.35">
      <c r="A271" s="838">
        <v>45198</v>
      </c>
      <c r="B271" s="839" t="s">
        <v>1374</v>
      </c>
      <c r="C271" s="840" t="s">
        <v>1279</v>
      </c>
      <c r="D271" s="839" t="s">
        <v>159</v>
      </c>
      <c r="E271" s="841">
        <v>110</v>
      </c>
      <c r="F271" s="839" t="s">
        <v>773</v>
      </c>
      <c r="G271" s="839" t="s">
        <v>175</v>
      </c>
    </row>
    <row r="272" spans="1:7" ht="13.5" customHeight="1" x14ac:dyDescent="0.35">
      <c r="A272" s="838">
        <v>45197</v>
      </c>
      <c r="B272" s="839" t="s">
        <v>934</v>
      </c>
      <c r="C272" s="840" t="s">
        <v>28</v>
      </c>
      <c r="D272" s="839" t="s">
        <v>160</v>
      </c>
      <c r="E272" s="841">
        <v>250</v>
      </c>
      <c r="F272" s="839" t="s">
        <v>1267</v>
      </c>
      <c r="G272" s="839" t="s">
        <v>175</v>
      </c>
    </row>
    <row r="273" spans="1:7" ht="13.5" customHeight="1" x14ac:dyDescent="0.35">
      <c r="A273" s="838">
        <v>45197</v>
      </c>
      <c r="B273" s="839" t="s">
        <v>1312</v>
      </c>
      <c r="C273" s="840" t="s">
        <v>28</v>
      </c>
      <c r="D273" s="839" t="s">
        <v>159</v>
      </c>
      <c r="E273" s="841">
        <f>250-70</f>
        <v>180</v>
      </c>
      <c r="F273" s="839" t="s">
        <v>1267</v>
      </c>
      <c r="G273" s="839" t="s">
        <v>175</v>
      </c>
    </row>
    <row r="274" spans="1:7" ht="13.5" customHeight="1" x14ac:dyDescent="0.35">
      <c r="A274" s="838">
        <v>45197</v>
      </c>
      <c r="B274" s="839" t="s">
        <v>1312</v>
      </c>
      <c r="C274" s="840" t="s">
        <v>28</v>
      </c>
      <c r="D274" s="839" t="s">
        <v>159</v>
      </c>
      <c r="E274" s="841">
        <v>250</v>
      </c>
      <c r="F274" s="839" t="s">
        <v>1180</v>
      </c>
      <c r="G274" s="839" t="s">
        <v>175</v>
      </c>
    </row>
    <row r="275" spans="1:7" ht="13.5" customHeight="1" x14ac:dyDescent="0.35">
      <c r="A275" s="838">
        <v>45194</v>
      </c>
      <c r="B275" s="839" t="s">
        <v>494</v>
      </c>
      <c r="C275" s="840" t="s">
        <v>1283</v>
      </c>
      <c r="D275" s="839" t="s">
        <v>162</v>
      </c>
      <c r="E275" s="841">
        <v>200</v>
      </c>
      <c r="F275" s="839" t="s">
        <v>1375</v>
      </c>
      <c r="G275" s="839" t="s">
        <v>175</v>
      </c>
    </row>
    <row r="276" spans="1:7" ht="13.5" customHeight="1" x14ac:dyDescent="0.35">
      <c r="A276" s="838">
        <v>45194</v>
      </c>
      <c r="B276" s="839" t="s">
        <v>1312</v>
      </c>
      <c r="C276" s="840" t="s">
        <v>1284</v>
      </c>
      <c r="D276" s="839" t="s">
        <v>160</v>
      </c>
      <c r="E276" s="841">
        <v>25</v>
      </c>
      <c r="F276" s="839" t="s">
        <v>753</v>
      </c>
      <c r="G276" s="839" t="s">
        <v>175</v>
      </c>
    </row>
    <row r="277" spans="1:7" ht="13.5" customHeight="1" x14ac:dyDescent="0.35">
      <c r="A277" s="838">
        <v>45194</v>
      </c>
      <c r="B277" s="839" t="s">
        <v>1312</v>
      </c>
      <c r="C277" s="840" t="s">
        <v>1284</v>
      </c>
      <c r="D277" s="839" t="s">
        <v>160</v>
      </c>
      <c r="E277" s="841">
        <v>25</v>
      </c>
      <c r="F277" s="839" t="s">
        <v>753</v>
      </c>
      <c r="G277" s="839" t="s">
        <v>175</v>
      </c>
    </row>
    <row r="278" spans="1:7" ht="13.5" customHeight="1" x14ac:dyDescent="0.35">
      <c r="A278" s="838">
        <v>45191</v>
      </c>
      <c r="B278" s="839" t="s">
        <v>1272</v>
      </c>
      <c r="C278" s="840" t="s">
        <v>28</v>
      </c>
      <c r="D278" s="839" t="s">
        <v>159</v>
      </c>
      <c r="E278" s="841">
        <v>250</v>
      </c>
      <c r="F278" s="839" t="s">
        <v>1180</v>
      </c>
      <c r="G278" s="839" t="s">
        <v>174</v>
      </c>
    </row>
    <row r="279" spans="1:7" ht="13.5" customHeight="1" x14ac:dyDescent="0.35">
      <c r="A279" s="838">
        <v>45186</v>
      </c>
      <c r="B279" s="839" t="s">
        <v>1376</v>
      </c>
      <c r="C279" s="840" t="s">
        <v>1279</v>
      </c>
      <c r="D279" s="839" t="s">
        <v>159</v>
      </c>
      <c r="E279" s="841">
        <v>50</v>
      </c>
      <c r="F279" s="839" t="s">
        <v>1377</v>
      </c>
      <c r="G279" s="839" t="s">
        <v>175</v>
      </c>
    </row>
    <row r="280" spans="1:7" ht="13.5" customHeight="1" x14ac:dyDescent="0.35">
      <c r="A280" s="838">
        <v>45186</v>
      </c>
      <c r="B280" s="839" t="s">
        <v>1378</v>
      </c>
      <c r="C280" s="840" t="s">
        <v>1275</v>
      </c>
      <c r="D280" s="839" t="s">
        <v>159</v>
      </c>
      <c r="E280" s="841">
        <v>725</v>
      </c>
      <c r="F280" s="839" t="s">
        <v>357</v>
      </c>
      <c r="G280" s="839" t="s">
        <v>174</v>
      </c>
    </row>
    <row r="281" spans="1:7" ht="13.5" customHeight="1" x14ac:dyDescent="0.35">
      <c r="A281" s="838">
        <v>45180</v>
      </c>
      <c r="B281" s="839" t="s">
        <v>1379</v>
      </c>
      <c r="C281" s="840" t="s">
        <v>1280</v>
      </c>
      <c r="D281" s="839" t="s">
        <v>159</v>
      </c>
      <c r="E281" s="841">
        <v>150</v>
      </c>
      <c r="F281" s="839" t="s">
        <v>734</v>
      </c>
      <c r="G281" s="839" t="s">
        <v>174</v>
      </c>
    </row>
    <row r="282" spans="1:7" ht="13.5" customHeight="1" x14ac:dyDescent="0.35">
      <c r="A282" s="838">
        <v>45177</v>
      </c>
      <c r="B282" s="839" t="s">
        <v>1380</v>
      </c>
      <c r="C282" s="840" t="s">
        <v>1284</v>
      </c>
      <c r="D282" s="839" t="s">
        <v>159</v>
      </c>
      <c r="E282" s="841">
        <v>21</v>
      </c>
      <c r="F282" s="839" t="s">
        <v>1381</v>
      </c>
      <c r="G282" s="839" t="s">
        <v>174</v>
      </c>
    </row>
    <row r="283" spans="1:7" ht="13.5" customHeight="1" x14ac:dyDescent="0.35">
      <c r="A283" s="838">
        <v>45177</v>
      </c>
      <c r="B283" s="839" t="s">
        <v>1382</v>
      </c>
      <c r="C283" s="840" t="s">
        <v>1279</v>
      </c>
      <c r="D283" s="839" t="s">
        <v>159</v>
      </c>
      <c r="E283" s="841">
        <v>65</v>
      </c>
      <c r="F283" s="839" t="s">
        <v>1263</v>
      </c>
      <c r="G283" s="839" t="s">
        <v>174</v>
      </c>
    </row>
    <row r="284" spans="1:7" ht="13.5" customHeight="1" x14ac:dyDescent="0.35">
      <c r="A284" s="838">
        <v>45177</v>
      </c>
      <c r="B284" s="839" t="s">
        <v>89</v>
      </c>
      <c r="C284" s="840" t="s">
        <v>1282</v>
      </c>
      <c r="D284" s="839" t="s">
        <v>160</v>
      </c>
      <c r="E284" s="841">
        <v>24.6</v>
      </c>
      <c r="F284" s="839" t="s">
        <v>1026</v>
      </c>
      <c r="G284" s="839" t="s">
        <v>89</v>
      </c>
    </row>
    <row r="285" spans="1:7" ht="13.5" customHeight="1" x14ac:dyDescent="0.35">
      <c r="A285" s="838">
        <v>45175</v>
      </c>
      <c r="B285" s="839" t="s">
        <v>1093</v>
      </c>
      <c r="C285" s="840" t="s">
        <v>28</v>
      </c>
      <c r="D285" s="839" t="s">
        <v>165</v>
      </c>
      <c r="E285" s="841">
        <v>250</v>
      </c>
      <c r="F285" s="839" t="s">
        <v>1071</v>
      </c>
      <c r="G285" s="839" t="s">
        <v>175</v>
      </c>
    </row>
    <row r="286" spans="1:7" ht="13.5" customHeight="1" x14ac:dyDescent="0.35">
      <c r="A286" s="838">
        <v>45175</v>
      </c>
      <c r="B286" s="839" t="s">
        <v>1093</v>
      </c>
      <c r="C286" s="840" t="s">
        <v>1281</v>
      </c>
      <c r="D286" s="839" t="s">
        <v>165</v>
      </c>
      <c r="E286" s="841">
        <v>-250</v>
      </c>
      <c r="F286" s="839" t="s">
        <v>1071</v>
      </c>
      <c r="G286" s="839" t="s">
        <v>175</v>
      </c>
    </row>
    <row r="287" spans="1:7" ht="13.5" customHeight="1" x14ac:dyDescent="0.35">
      <c r="A287" s="838">
        <v>45170</v>
      </c>
      <c r="B287" s="839" t="s">
        <v>1077</v>
      </c>
      <c r="C287" s="840" t="s">
        <v>1276</v>
      </c>
      <c r="D287" s="839" t="s">
        <v>161</v>
      </c>
      <c r="E287" s="841">
        <v>50</v>
      </c>
      <c r="F287" s="839" t="s">
        <v>1078</v>
      </c>
      <c r="G287" s="839" t="s">
        <v>175</v>
      </c>
    </row>
    <row r="288" spans="1:7" ht="13.5" customHeight="1" x14ac:dyDescent="0.35">
      <c r="A288" s="838">
        <v>45170</v>
      </c>
      <c r="B288" s="839" t="s">
        <v>292</v>
      </c>
      <c r="C288" s="840" t="s">
        <v>1278</v>
      </c>
      <c r="D288" s="839" t="s">
        <v>161</v>
      </c>
      <c r="E288" s="841">
        <v>20</v>
      </c>
      <c r="F288" s="839" t="s">
        <v>292</v>
      </c>
      <c r="G288" s="839" t="s">
        <v>175</v>
      </c>
    </row>
    <row r="290" spans="1:7" ht="13.5" customHeight="1" x14ac:dyDescent="0.35">
      <c r="A290" s="838">
        <v>45168</v>
      </c>
      <c r="B290" s="839" t="s">
        <v>1383</v>
      </c>
      <c r="C290" s="840" t="s">
        <v>1274</v>
      </c>
      <c r="D290" s="839" t="s">
        <v>159</v>
      </c>
      <c r="E290" s="841">
        <v>12</v>
      </c>
      <c r="F290" s="839" t="s">
        <v>324</v>
      </c>
      <c r="G290" s="839" t="s">
        <v>174</v>
      </c>
    </row>
    <row r="291" spans="1:7" ht="13.5" customHeight="1" x14ac:dyDescent="0.35">
      <c r="A291" s="838">
        <v>45167</v>
      </c>
      <c r="B291" s="839" t="s">
        <v>1384</v>
      </c>
      <c r="C291" s="840" t="s">
        <v>1274</v>
      </c>
      <c r="D291" s="839" t="s">
        <v>159</v>
      </c>
      <c r="E291" s="841">
        <v>125</v>
      </c>
      <c r="F291" s="839" t="s">
        <v>273</v>
      </c>
      <c r="G291" s="839" t="s">
        <v>174</v>
      </c>
    </row>
    <row r="292" spans="1:7" ht="13.5" customHeight="1" x14ac:dyDescent="0.35">
      <c r="A292" s="838">
        <v>45168</v>
      </c>
      <c r="B292" s="839" t="s">
        <v>1385</v>
      </c>
      <c r="C292" s="840" t="s">
        <v>28</v>
      </c>
      <c r="D292" s="839" t="s">
        <v>162</v>
      </c>
      <c r="E292" s="841">
        <v>277.5</v>
      </c>
      <c r="F292" s="839" t="s">
        <v>1302</v>
      </c>
      <c r="G292" s="839" t="s">
        <v>1311</v>
      </c>
    </row>
    <row r="293" spans="1:7" ht="13.5" customHeight="1" x14ac:dyDescent="0.35">
      <c r="A293" s="838">
        <v>45168</v>
      </c>
      <c r="B293" s="839" t="s">
        <v>1385</v>
      </c>
      <c r="C293" s="840" t="s">
        <v>1274</v>
      </c>
      <c r="D293" s="839" t="s">
        <v>162</v>
      </c>
      <c r="E293" s="841">
        <v>175</v>
      </c>
      <c r="F293" s="839" t="s">
        <v>1304</v>
      </c>
      <c r="G293" s="839" t="s">
        <v>1311</v>
      </c>
    </row>
    <row r="294" spans="1:7" ht="13.5" customHeight="1" x14ac:dyDescent="0.35">
      <c r="A294" s="838">
        <v>45164</v>
      </c>
      <c r="B294" s="839" t="s">
        <v>1386</v>
      </c>
      <c r="C294" s="840" t="s">
        <v>1274</v>
      </c>
      <c r="D294" s="839" t="s">
        <v>159</v>
      </c>
      <c r="E294" s="841">
        <v>75</v>
      </c>
      <c r="F294" s="839" t="s">
        <v>1228</v>
      </c>
      <c r="G294" s="839" t="s">
        <v>174</v>
      </c>
    </row>
    <row r="295" spans="1:7" ht="13.5" customHeight="1" x14ac:dyDescent="0.35">
      <c r="A295" s="838">
        <v>45163</v>
      </c>
      <c r="B295" s="839" t="s">
        <v>1387</v>
      </c>
      <c r="C295" s="840" t="s">
        <v>1274</v>
      </c>
      <c r="D295" s="839" t="s">
        <v>160</v>
      </c>
      <c r="E295" s="841">
        <v>100</v>
      </c>
      <c r="F295" s="839" t="s">
        <v>1212</v>
      </c>
      <c r="G295" s="839" t="s">
        <v>174</v>
      </c>
    </row>
    <row r="296" spans="1:7" ht="13.5" customHeight="1" x14ac:dyDescent="0.35">
      <c r="A296" s="838">
        <v>45165</v>
      </c>
      <c r="B296" s="839" t="s">
        <v>1388</v>
      </c>
      <c r="C296" s="840" t="s">
        <v>1284</v>
      </c>
      <c r="D296" s="839" t="s">
        <v>164</v>
      </c>
      <c r="E296" s="841">
        <v>50</v>
      </c>
      <c r="F296" s="839" t="s">
        <v>753</v>
      </c>
      <c r="G296" s="839" t="s">
        <v>174</v>
      </c>
    </row>
    <row r="297" spans="1:7" ht="13.5" customHeight="1" x14ac:dyDescent="0.35">
      <c r="A297" s="838">
        <v>45162</v>
      </c>
      <c r="B297" s="839" t="s">
        <v>1389</v>
      </c>
      <c r="C297" s="840" t="s">
        <v>1284</v>
      </c>
      <c r="D297" s="839" t="s">
        <v>159</v>
      </c>
      <c r="E297" s="841">
        <v>25</v>
      </c>
      <c r="F297" s="839" t="s">
        <v>753</v>
      </c>
      <c r="G297" s="839" t="s">
        <v>174</v>
      </c>
    </row>
    <row r="298" spans="1:7" ht="13.5" customHeight="1" x14ac:dyDescent="0.35">
      <c r="A298" s="838">
        <v>45161</v>
      </c>
      <c r="B298" s="839" t="s">
        <v>1390</v>
      </c>
      <c r="C298" s="840" t="s">
        <v>1280</v>
      </c>
      <c r="D298" s="839" t="s">
        <v>159</v>
      </c>
      <c r="E298" s="841">
        <v>100</v>
      </c>
      <c r="F298" s="839" t="s">
        <v>734</v>
      </c>
      <c r="G298" s="839" t="s">
        <v>174</v>
      </c>
    </row>
    <row r="299" spans="1:7" ht="13.5" customHeight="1" x14ac:dyDescent="0.35">
      <c r="A299" s="838">
        <v>45155</v>
      </c>
      <c r="B299" s="839" t="s">
        <v>1391</v>
      </c>
      <c r="C299" s="840" t="s">
        <v>1279</v>
      </c>
      <c r="D299" s="839" t="s">
        <v>159</v>
      </c>
      <c r="E299" s="841">
        <v>120</v>
      </c>
      <c r="F299" s="839" t="s">
        <v>1092</v>
      </c>
      <c r="G299" s="839" t="s">
        <v>175</v>
      </c>
    </row>
    <row r="300" spans="1:7" ht="13.5" customHeight="1" x14ac:dyDescent="0.35">
      <c r="A300" s="838">
        <v>45155</v>
      </c>
      <c r="B300" s="839" t="s">
        <v>1213</v>
      </c>
      <c r="C300" s="840" t="s">
        <v>1279</v>
      </c>
      <c r="D300" s="839" t="s">
        <v>159</v>
      </c>
      <c r="E300" s="841">
        <v>50</v>
      </c>
      <c r="F300" s="839" t="s">
        <v>1377</v>
      </c>
      <c r="G300" s="839" t="s">
        <v>175</v>
      </c>
    </row>
    <row r="301" spans="1:7" ht="13.5" customHeight="1" x14ac:dyDescent="0.35">
      <c r="A301" s="838">
        <v>45154</v>
      </c>
      <c r="B301" s="839" t="s">
        <v>1392</v>
      </c>
      <c r="C301" s="840" t="s">
        <v>1283</v>
      </c>
      <c r="D301" s="839" t="s">
        <v>162</v>
      </c>
      <c r="E301" s="841">
        <v>50</v>
      </c>
      <c r="F301" s="839" t="s">
        <v>494</v>
      </c>
      <c r="G301" s="839" t="s">
        <v>176</v>
      </c>
    </row>
    <row r="302" spans="1:7" ht="13.5" customHeight="1" x14ac:dyDescent="0.35">
      <c r="A302" s="838">
        <v>45154</v>
      </c>
      <c r="B302" s="839" t="s">
        <v>1393</v>
      </c>
      <c r="C302" s="840" t="s">
        <v>1274</v>
      </c>
      <c r="D302" s="839" t="s">
        <v>162</v>
      </c>
      <c r="E302" s="841">
        <v>50</v>
      </c>
      <c r="F302" s="839" t="s">
        <v>1394</v>
      </c>
      <c r="G302" s="839" t="s">
        <v>175</v>
      </c>
    </row>
    <row r="303" spans="1:7" ht="13.5" customHeight="1" x14ac:dyDescent="0.35">
      <c r="A303" s="838">
        <v>45153</v>
      </c>
      <c r="B303" s="839" t="s">
        <v>1395</v>
      </c>
      <c r="C303" s="840" t="s">
        <v>1279</v>
      </c>
      <c r="D303" s="839" t="s">
        <v>159</v>
      </c>
      <c r="E303" s="841">
        <v>360</v>
      </c>
      <c r="F303" s="839" t="s">
        <v>1168</v>
      </c>
      <c r="G303" s="839" t="s">
        <v>175</v>
      </c>
    </row>
    <row r="304" spans="1:7" ht="13.5" customHeight="1" x14ac:dyDescent="0.35">
      <c r="A304" s="838">
        <v>45152</v>
      </c>
      <c r="B304" s="839" t="s">
        <v>97</v>
      </c>
      <c r="C304" s="840" t="s">
        <v>1283</v>
      </c>
      <c r="D304" s="839" t="s">
        <v>162</v>
      </c>
      <c r="E304" s="841">
        <v>125</v>
      </c>
      <c r="F304" s="839" t="s">
        <v>1132</v>
      </c>
      <c r="G304" s="839" t="s">
        <v>175</v>
      </c>
    </row>
    <row r="305" spans="1:7" ht="13.5" customHeight="1" x14ac:dyDescent="0.35">
      <c r="A305" s="838">
        <v>45149</v>
      </c>
      <c r="B305" s="839" t="s">
        <v>1396</v>
      </c>
      <c r="C305" s="840" t="s">
        <v>1274</v>
      </c>
      <c r="D305" s="839" t="s">
        <v>160</v>
      </c>
      <c r="E305" s="841">
        <v>75</v>
      </c>
      <c r="F305" s="839" t="s">
        <v>1228</v>
      </c>
      <c r="G305" s="839" t="s">
        <v>174</v>
      </c>
    </row>
    <row r="306" spans="1:7" ht="13.5" customHeight="1" x14ac:dyDescent="0.35">
      <c r="A306" s="838">
        <v>45149</v>
      </c>
      <c r="B306" s="839" t="s">
        <v>1397</v>
      </c>
      <c r="C306" s="840" t="s">
        <v>1279</v>
      </c>
      <c r="D306" s="839" t="s">
        <v>159</v>
      </c>
      <c r="E306" s="841">
        <v>95</v>
      </c>
      <c r="F306" s="839" t="s">
        <v>1398</v>
      </c>
      <c r="G306" s="839" t="s">
        <v>175</v>
      </c>
    </row>
    <row r="307" spans="1:7" ht="13.5" customHeight="1" x14ac:dyDescent="0.35">
      <c r="A307" s="838">
        <v>45148</v>
      </c>
      <c r="B307" s="839" t="s">
        <v>1295</v>
      </c>
      <c r="C307" s="840" t="s">
        <v>28</v>
      </c>
      <c r="D307" s="839" t="s">
        <v>162</v>
      </c>
      <c r="E307" s="841">
        <v>200</v>
      </c>
      <c r="F307" s="839" t="s">
        <v>1296</v>
      </c>
      <c r="G307" s="839" t="s">
        <v>1311</v>
      </c>
    </row>
    <row r="308" spans="1:7" ht="13.5" customHeight="1" x14ac:dyDescent="0.35">
      <c r="A308" s="838">
        <v>45148</v>
      </c>
      <c r="B308" s="839" t="s">
        <v>1298</v>
      </c>
      <c r="C308" s="840" t="s">
        <v>28</v>
      </c>
      <c r="D308" s="839" t="s">
        <v>162</v>
      </c>
      <c r="E308" s="841">
        <v>200</v>
      </c>
      <c r="F308" s="839" t="s">
        <v>1296</v>
      </c>
      <c r="G308" s="839" t="s">
        <v>1311</v>
      </c>
    </row>
    <row r="309" spans="1:7" ht="13.5" customHeight="1" x14ac:dyDescent="0.35">
      <c r="A309" s="838">
        <v>45148</v>
      </c>
      <c r="B309" s="839" t="s">
        <v>1299</v>
      </c>
      <c r="C309" s="840" t="s">
        <v>28</v>
      </c>
      <c r="D309" s="839" t="s">
        <v>162</v>
      </c>
      <c r="E309" s="841">
        <v>200</v>
      </c>
      <c r="F309" s="839" t="s">
        <v>1300</v>
      </c>
      <c r="G309" s="839" t="s">
        <v>1311</v>
      </c>
    </row>
    <row r="310" spans="1:7" ht="13.5" customHeight="1" x14ac:dyDescent="0.35">
      <c r="A310" s="838">
        <v>45148</v>
      </c>
      <c r="B310" s="839" t="s">
        <v>1399</v>
      </c>
      <c r="C310" s="840" t="s">
        <v>1279</v>
      </c>
      <c r="D310" s="839" t="s">
        <v>159</v>
      </c>
      <c r="E310" s="841">
        <v>120</v>
      </c>
      <c r="F310" s="848" t="s">
        <v>1067</v>
      </c>
      <c r="G310" s="839" t="s">
        <v>174</v>
      </c>
    </row>
    <row r="311" spans="1:7" ht="13.5" customHeight="1" x14ac:dyDescent="0.35">
      <c r="A311" s="838">
        <v>45147</v>
      </c>
      <c r="B311" s="839" t="s">
        <v>89</v>
      </c>
      <c r="C311" s="840" t="s">
        <v>1282</v>
      </c>
      <c r="D311" s="839" t="s">
        <v>160</v>
      </c>
      <c r="E311" s="841">
        <v>44.19</v>
      </c>
      <c r="F311" s="839" t="s">
        <v>1026</v>
      </c>
      <c r="G311" s="839" t="s">
        <v>89</v>
      </c>
    </row>
    <row r="312" spans="1:7" ht="13.5" customHeight="1" x14ac:dyDescent="0.35">
      <c r="A312" s="838">
        <v>45145</v>
      </c>
      <c r="B312" s="839" t="s">
        <v>1327</v>
      </c>
      <c r="C312" s="840" t="s">
        <v>28</v>
      </c>
      <c r="D312" s="839" t="s">
        <v>159</v>
      </c>
      <c r="E312" s="841">
        <v>250</v>
      </c>
      <c r="F312" s="839" t="s">
        <v>1071</v>
      </c>
      <c r="G312" s="839" t="s">
        <v>174</v>
      </c>
    </row>
    <row r="313" spans="1:7" ht="13.5" customHeight="1" x14ac:dyDescent="0.35">
      <c r="A313" s="838">
        <v>45145</v>
      </c>
      <c r="B313" s="839" t="s">
        <v>1400</v>
      </c>
      <c r="C313" s="840" t="s">
        <v>1274</v>
      </c>
      <c r="D313" s="839" t="s">
        <v>159</v>
      </c>
      <c r="E313" s="841">
        <v>125</v>
      </c>
      <c r="F313" s="839" t="s">
        <v>1401</v>
      </c>
      <c r="G313" s="839" t="s">
        <v>174</v>
      </c>
    </row>
    <row r="314" spans="1:7" ht="13.5" customHeight="1" x14ac:dyDescent="0.35">
      <c r="A314" s="838">
        <v>45145</v>
      </c>
      <c r="B314" s="839" t="s">
        <v>1192</v>
      </c>
      <c r="C314" s="840" t="s">
        <v>1274</v>
      </c>
      <c r="D314" s="839" t="s">
        <v>159</v>
      </c>
      <c r="E314" s="841">
        <v>50</v>
      </c>
      <c r="F314" s="839" t="s">
        <v>783</v>
      </c>
      <c r="G314" s="839" t="s">
        <v>175</v>
      </c>
    </row>
    <row r="315" spans="1:7" ht="13.5" customHeight="1" x14ac:dyDescent="0.35">
      <c r="A315" s="838">
        <v>45144</v>
      </c>
      <c r="B315" s="839" t="s">
        <v>1343</v>
      </c>
      <c r="C315" s="840" t="s">
        <v>28</v>
      </c>
      <c r="D315" s="839" t="s">
        <v>159</v>
      </c>
      <c r="E315" s="841">
        <v>250</v>
      </c>
      <c r="F315" s="839" t="s">
        <v>1071</v>
      </c>
      <c r="G315" s="839" t="s">
        <v>174</v>
      </c>
    </row>
    <row r="316" spans="1:7" ht="13.5" customHeight="1" x14ac:dyDescent="0.35">
      <c r="A316" s="838">
        <v>45144</v>
      </c>
      <c r="B316" s="839" t="s">
        <v>1402</v>
      </c>
      <c r="C316" s="840" t="s">
        <v>1274</v>
      </c>
      <c r="D316" s="839" t="s">
        <v>159</v>
      </c>
      <c r="E316" s="841">
        <v>195</v>
      </c>
      <c r="F316" s="839" t="s">
        <v>177</v>
      </c>
      <c r="G316" s="839" t="s">
        <v>174</v>
      </c>
    </row>
    <row r="317" spans="1:7" ht="13.5" customHeight="1" x14ac:dyDescent="0.35">
      <c r="A317" s="838">
        <v>45143</v>
      </c>
      <c r="B317" s="839" t="s">
        <v>1403</v>
      </c>
      <c r="C317" s="840" t="s">
        <v>1279</v>
      </c>
      <c r="D317" s="839" t="s">
        <v>159</v>
      </c>
      <c r="E317" s="841">
        <v>70</v>
      </c>
      <c r="F317" s="848" t="s">
        <v>1067</v>
      </c>
      <c r="G317" s="839" t="s">
        <v>174</v>
      </c>
    </row>
    <row r="318" spans="1:7" ht="13.5" customHeight="1" x14ac:dyDescent="0.35">
      <c r="A318" s="838">
        <v>45142</v>
      </c>
      <c r="B318" s="839" t="s">
        <v>1082</v>
      </c>
      <c r="C318" s="840" t="s">
        <v>1284</v>
      </c>
      <c r="D318" s="839" t="s">
        <v>162</v>
      </c>
      <c r="E318" s="841">
        <v>23.93</v>
      </c>
      <c r="F318" s="839" t="s">
        <v>81</v>
      </c>
      <c r="G318" s="839" t="s">
        <v>175</v>
      </c>
    </row>
    <row r="319" spans="1:7" ht="13.5" customHeight="1" x14ac:dyDescent="0.35">
      <c r="A319" s="838">
        <v>45142</v>
      </c>
      <c r="B319" s="839" t="s">
        <v>351</v>
      </c>
      <c r="C319" s="840" t="s">
        <v>1278</v>
      </c>
      <c r="D319" s="839" t="s">
        <v>159</v>
      </c>
      <c r="E319" s="841">
        <v>200</v>
      </c>
      <c r="F319" s="839" t="s">
        <v>293</v>
      </c>
      <c r="G319" s="839" t="s">
        <v>175</v>
      </c>
    </row>
    <row r="320" spans="1:7" ht="13.5" customHeight="1" x14ac:dyDescent="0.35">
      <c r="A320" s="838">
        <v>45140</v>
      </c>
      <c r="B320" s="839" t="s">
        <v>1404</v>
      </c>
      <c r="C320" s="840" t="s">
        <v>1275</v>
      </c>
      <c r="D320" s="839" t="s">
        <v>159</v>
      </c>
      <c r="E320" s="841">
        <v>300</v>
      </c>
      <c r="F320" s="839" t="s">
        <v>1405</v>
      </c>
      <c r="G320" s="839" t="s">
        <v>174</v>
      </c>
    </row>
    <row r="321" spans="1:7" ht="13.5" customHeight="1" x14ac:dyDescent="0.35">
      <c r="A321" s="838">
        <v>45140</v>
      </c>
      <c r="B321" s="839" t="s">
        <v>1404</v>
      </c>
      <c r="C321" s="840" t="s">
        <v>1275</v>
      </c>
      <c r="D321" s="839" t="s">
        <v>159</v>
      </c>
      <c r="E321" s="841">
        <v>1750</v>
      </c>
      <c r="F321" s="839" t="s">
        <v>463</v>
      </c>
      <c r="G321" s="839" t="s">
        <v>174</v>
      </c>
    </row>
    <row r="322" spans="1:7" ht="13.5" customHeight="1" x14ac:dyDescent="0.35">
      <c r="A322" s="838">
        <v>45139</v>
      </c>
      <c r="B322" s="839" t="s">
        <v>1077</v>
      </c>
      <c r="C322" s="840" t="s">
        <v>1276</v>
      </c>
      <c r="D322" s="839" t="s">
        <v>161</v>
      </c>
      <c r="E322" s="841">
        <v>50</v>
      </c>
      <c r="F322" s="839" t="s">
        <v>1078</v>
      </c>
      <c r="G322" s="839" t="s">
        <v>175</v>
      </c>
    </row>
    <row r="323" spans="1:7" ht="13.5" customHeight="1" x14ac:dyDescent="0.35">
      <c r="A323" s="838">
        <v>45139</v>
      </c>
      <c r="B323" s="839" t="s">
        <v>292</v>
      </c>
      <c r="C323" s="840" t="s">
        <v>1278</v>
      </c>
      <c r="D323" s="839" t="s">
        <v>161</v>
      </c>
      <c r="E323" s="841">
        <v>20</v>
      </c>
      <c r="F323" s="839" t="s">
        <v>292</v>
      </c>
      <c r="G323" s="839" t="s">
        <v>175</v>
      </c>
    </row>
    <row r="324" spans="1:7" ht="13.5" customHeight="1" x14ac:dyDescent="0.35">
      <c r="A324" s="838"/>
      <c r="B324" s="839"/>
      <c r="C324" s="840"/>
      <c r="D324" s="839"/>
      <c r="E324" s="841"/>
      <c r="F324" s="839"/>
      <c r="G324" s="839"/>
    </row>
    <row r="325" spans="1:7" ht="13.5" customHeight="1" x14ac:dyDescent="0.35">
      <c r="A325" s="838">
        <v>45138</v>
      </c>
      <c r="B325" s="839" t="s">
        <v>1192</v>
      </c>
      <c r="C325" s="840" t="s">
        <v>1274</v>
      </c>
      <c r="D325" s="839" t="s">
        <v>159</v>
      </c>
      <c r="E325" s="841">
        <v>45</v>
      </c>
      <c r="F325" s="839" t="s">
        <v>1008</v>
      </c>
      <c r="G325" s="839" t="s">
        <v>175</v>
      </c>
    </row>
    <row r="326" spans="1:7" ht="13.5" customHeight="1" x14ac:dyDescent="0.35">
      <c r="A326" s="838">
        <v>45138</v>
      </c>
      <c r="B326" s="839" t="s">
        <v>1009</v>
      </c>
      <c r="C326" s="840" t="s">
        <v>1276</v>
      </c>
      <c r="D326" s="839" t="s">
        <v>162</v>
      </c>
      <c r="E326" s="841">
        <v>250</v>
      </c>
      <c r="F326" s="839" t="s">
        <v>1406</v>
      </c>
      <c r="G326" s="839" t="s">
        <v>175</v>
      </c>
    </row>
    <row r="327" spans="1:7" ht="13.5" customHeight="1" x14ac:dyDescent="0.35">
      <c r="A327" s="838">
        <v>45137</v>
      </c>
      <c r="B327" s="839" t="s">
        <v>1407</v>
      </c>
      <c r="C327" s="840" t="s">
        <v>1274</v>
      </c>
      <c r="D327" s="839" t="s">
        <v>159</v>
      </c>
      <c r="E327" s="841">
        <v>195</v>
      </c>
      <c r="F327" s="839" t="s">
        <v>177</v>
      </c>
      <c r="G327" s="839" t="s">
        <v>175</v>
      </c>
    </row>
    <row r="328" spans="1:7" ht="13.5" customHeight="1" x14ac:dyDescent="0.35">
      <c r="A328" s="838">
        <v>45137</v>
      </c>
      <c r="B328" s="839" t="s">
        <v>1407</v>
      </c>
      <c r="C328" s="840" t="s">
        <v>1274</v>
      </c>
      <c r="D328" s="839" t="s">
        <v>159</v>
      </c>
      <c r="E328" s="841">
        <v>45</v>
      </c>
      <c r="F328" s="839" t="s">
        <v>1008</v>
      </c>
      <c r="G328" s="839" t="s">
        <v>174</v>
      </c>
    </row>
    <row r="329" spans="1:7" ht="13.5" customHeight="1" x14ac:dyDescent="0.35">
      <c r="A329" s="838">
        <v>45137</v>
      </c>
      <c r="B329" s="839" t="s">
        <v>1222</v>
      </c>
      <c r="C329" s="840" t="s">
        <v>1279</v>
      </c>
      <c r="D329" s="839" t="s">
        <v>159</v>
      </c>
      <c r="E329" s="841">
        <v>240</v>
      </c>
      <c r="F329" s="839" t="s">
        <v>662</v>
      </c>
      <c r="G329" s="839" t="s">
        <v>175</v>
      </c>
    </row>
    <row r="330" spans="1:7" ht="13.5" customHeight="1" x14ac:dyDescent="0.35">
      <c r="A330" s="838">
        <v>45132</v>
      </c>
      <c r="B330" s="839" t="s">
        <v>1009</v>
      </c>
      <c r="C330" s="840" t="s">
        <v>1274</v>
      </c>
      <c r="D330" s="839" t="s">
        <v>166</v>
      </c>
      <c r="E330" s="841">
        <v>125</v>
      </c>
      <c r="F330" s="839" t="s">
        <v>273</v>
      </c>
      <c r="G330" s="839" t="s">
        <v>175</v>
      </c>
    </row>
    <row r="331" spans="1:7" ht="13.5" customHeight="1" x14ac:dyDescent="0.35">
      <c r="A331" s="838">
        <v>45132</v>
      </c>
      <c r="B331" s="839" t="s">
        <v>1009</v>
      </c>
      <c r="C331" s="840" t="s">
        <v>1277</v>
      </c>
      <c r="D331" s="839" t="s">
        <v>166</v>
      </c>
      <c r="E331" s="841">
        <v>-125</v>
      </c>
      <c r="F331" s="839" t="s">
        <v>273</v>
      </c>
      <c r="G331" s="839" t="s">
        <v>175</v>
      </c>
    </row>
    <row r="332" spans="1:7" ht="13.5" customHeight="1" x14ac:dyDescent="0.35">
      <c r="A332" s="838">
        <v>45133</v>
      </c>
      <c r="B332" s="839" t="s">
        <v>1408</v>
      </c>
      <c r="C332" s="840" t="s">
        <v>1280</v>
      </c>
      <c r="D332" s="839" t="s">
        <v>159</v>
      </c>
      <c r="E332" s="841">
        <v>100</v>
      </c>
      <c r="F332" s="839" t="s">
        <v>1409</v>
      </c>
      <c r="G332" s="839" t="s">
        <v>174</v>
      </c>
    </row>
    <row r="333" spans="1:7" ht="13.5" customHeight="1" x14ac:dyDescent="0.35">
      <c r="A333" s="838">
        <v>45129</v>
      </c>
      <c r="B333" s="839" t="s">
        <v>1410</v>
      </c>
      <c r="C333" s="840" t="s">
        <v>28</v>
      </c>
      <c r="D333" s="839" t="s">
        <v>159</v>
      </c>
      <c r="E333" s="841">
        <v>30</v>
      </c>
      <c r="F333" s="839" t="s">
        <v>1236</v>
      </c>
      <c r="G333" s="839" t="s">
        <v>174</v>
      </c>
    </row>
    <row r="334" spans="1:7" ht="13.5" customHeight="1" x14ac:dyDescent="0.35">
      <c r="A334" s="838">
        <v>45126</v>
      </c>
      <c r="B334" s="839" t="s">
        <v>1411</v>
      </c>
      <c r="C334" s="840" t="s">
        <v>1280</v>
      </c>
      <c r="D334" s="839" t="s">
        <v>159</v>
      </c>
      <c r="E334" s="841">
        <v>125</v>
      </c>
      <c r="F334" s="839" t="s">
        <v>1409</v>
      </c>
      <c r="G334" s="839" t="s">
        <v>174</v>
      </c>
    </row>
    <row r="335" spans="1:7" ht="13.5" customHeight="1" x14ac:dyDescent="0.35">
      <c r="A335" s="838">
        <v>45125</v>
      </c>
      <c r="B335" s="839" t="s">
        <v>1412</v>
      </c>
      <c r="C335" s="840" t="s">
        <v>1274</v>
      </c>
      <c r="D335" s="839" t="s">
        <v>159</v>
      </c>
      <c r="E335" s="841">
        <v>75</v>
      </c>
      <c r="F335" s="839" t="s">
        <v>1228</v>
      </c>
      <c r="G335" s="839" t="s">
        <v>174</v>
      </c>
    </row>
    <row r="336" spans="1:7" ht="13.5" customHeight="1" x14ac:dyDescent="0.35">
      <c r="A336" s="838">
        <v>45128</v>
      </c>
      <c r="B336" s="839" t="s">
        <v>1413</v>
      </c>
      <c r="C336" s="840" t="s">
        <v>1274</v>
      </c>
      <c r="D336" s="839" t="s">
        <v>162</v>
      </c>
      <c r="E336" s="841">
        <v>75</v>
      </c>
      <c r="F336" s="839" t="s">
        <v>177</v>
      </c>
      <c r="G336" s="839" t="s">
        <v>175</v>
      </c>
    </row>
    <row r="337" spans="1:7" ht="13.5" customHeight="1" x14ac:dyDescent="0.35">
      <c r="A337" s="838">
        <v>45121</v>
      </c>
      <c r="B337" s="839" t="s">
        <v>1414</v>
      </c>
      <c r="C337" s="840" t="s">
        <v>28</v>
      </c>
      <c r="D337" s="839" t="s">
        <v>162</v>
      </c>
      <c r="E337" s="841">
        <v>250</v>
      </c>
      <c r="F337" s="839" t="s">
        <v>1415</v>
      </c>
      <c r="G337" s="839" t="s">
        <v>174</v>
      </c>
    </row>
    <row r="338" spans="1:7" ht="13.5" customHeight="1" x14ac:dyDescent="0.35">
      <c r="A338" s="838">
        <v>45121</v>
      </c>
      <c r="B338" s="839" t="s">
        <v>1416</v>
      </c>
      <c r="C338" s="840" t="s">
        <v>1284</v>
      </c>
      <c r="D338" s="839" t="s">
        <v>159</v>
      </c>
      <c r="E338" s="841">
        <v>25</v>
      </c>
      <c r="F338" s="839" t="s">
        <v>753</v>
      </c>
      <c r="G338" s="839" t="s">
        <v>174</v>
      </c>
    </row>
    <row r="339" spans="1:7" ht="13.5" customHeight="1" x14ac:dyDescent="0.35">
      <c r="A339" s="838">
        <v>45120</v>
      </c>
      <c r="B339" s="839" t="s">
        <v>1329</v>
      </c>
      <c r="C339" s="840" t="s">
        <v>1278</v>
      </c>
      <c r="D339" s="839" t="s">
        <v>159</v>
      </c>
      <c r="E339" s="841">
        <v>20</v>
      </c>
      <c r="F339" s="839" t="s">
        <v>293</v>
      </c>
      <c r="G339" s="839" t="s">
        <v>174</v>
      </c>
    </row>
    <row r="340" spans="1:7" ht="13.5" customHeight="1" x14ac:dyDescent="0.35">
      <c r="A340" s="838">
        <v>45112</v>
      </c>
      <c r="B340" s="839" t="s">
        <v>1417</v>
      </c>
      <c r="C340" s="840" t="s">
        <v>1284</v>
      </c>
      <c r="D340" s="839" t="s">
        <v>160</v>
      </c>
      <c r="E340" s="841">
        <v>25</v>
      </c>
      <c r="F340" s="839" t="s">
        <v>753</v>
      </c>
      <c r="G340" s="839" t="s">
        <v>174</v>
      </c>
    </row>
    <row r="341" spans="1:7" ht="13.5" customHeight="1" x14ac:dyDescent="0.35">
      <c r="A341" s="838">
        <v>45112</v>
      </c>
      <c r="B341" s="839" t="s">
        <v>1227</v>
      </c>
      <c r="C341" s="840" t="s">
        <v>1274</v>
      </c>
      <c r="D341" s="839" t="s">
        <v>166</v>
      </c>
      <c r="E341" s="841">
        <v>35</v>
      </c>
      <c r="F341" s="848" t="s">
        <v>279</v>
      </c>
      <c r="G341" s="839" t="s">
        <v>175</v>
      </c>
    </row>
    <row r="342" spans="1:7" ht="13.5" customHeight="1" x14ac:dyDescent="0.35">
      <c r="A342" s="838">
        <v>45112</v>
      </c>
      <c r="B342" s="839" t="s">
        <v>1227</v>
      </c>
      <c r="C342" s="840" t="s">
        <v>1277</v>
      </c>
      <c r="D342" s="839" t="s">
        <v>166</v>
      </c>
      <c r="E342" s="841">
        <v>-35</v>
      </c>
      <c r="F342" s="848" t="s">
        <v>279</v>
      </c>
      <c r="G342" s="839" t="s">
        <v>175</v>
      </c>
    </row>
    <row r="343" spans="1:7" ht="13.5" customHeight="1" x14ac:dyDescent="0.35">
      <c r="A343" s="838">
        <v>45111</v>
      </c>
      <c r="B343" s="839" t="s">
        <v>1418</v>
      </c>
      <c r="C343" s="840" t="s">
        <v>1284</v>
      </c>
      <c r="D343" s="839" t="s">
        <v>160</v>
      </c>
      <c r="E343" s="841">
        <v>2</v>
      </c>
      <c r="F343" s="839" t="s">
        <v>1419</v>
      </c>
      <c r="G343" s="839" t="s">
        <v>174</v>
      </c>
    </row>
    <row r="344" spans="1:7" ht="13.5" customHeight="1" x14ac:dyDescent="0.35">
      <c r="A344" s="838">
        <v>45111</v>
      </c>
      <c r="B344" s="839" t="s">
        <v>1082</v>
      </c>
      <c r="C344" s="840" t="s">
        <v>1284</v>
      </c>
      <c r="D344" s="839" t="s">
        <v>162</v>
      </c>
      <c r="E344" s="841">
        <v>32.44</v>
      </c>
      <c r="F344" s="839" t="s">
        <v>1420</v>
      </c>
      <c r="G344" s="839" t="s">
        <v>181</v>
      </c>
    </row>
    <row r="345" spans="1:7" ht="13.5" customHeight="1" x14ac:dyDescent="0.35">
      <c r="A345" s="838">
        <v>45110</v>
      </c>
      <c r="B345" s="839" t="s">
        <v>89</v>
      </c>
      <c r="C345" s="840" t="s">
        <v>1282</v>
      </c>
      <c r="D345" s="839" t="s">
        <v>160</v>
      </c>
      <c r="E345" s="841">
        <v>29.84</v>
      </c>
      <c r="F345" s="839" t="s">
        <v>1026</v>
      </c>
      <c r="G345" s="839" t="s">
        <v>89</v>
      </c>
    </row>
    <row r="346" spans="1:7" ht="13.5" customHeight="1" x14ac:dyDescent="0.35">
      <c r="A346" s="838">
        <v>45110</v>
      </c>
      <c r="B346" s="839" t="s">
        <v>1397</v>
      </c>
      <c r="C346" s="840" t="s">
        <v>1279</v>
      </c>
      <c r="D346" s="839" t="s">
        <v>165</v>
      </c>
      <c r="E346" s="841">
        <v>10</v>
      </c>
      <c r="F346" s="839" t="s">
        <v>1421</v>
      </c>
      <c r="G346" s="839" t="s">
        <v>175</v>
      </c>
    </row>
    <row r="347" spans="1:7" ht="13.5" customHeight="1" x14ac:dyDescent="0.35">
      <c r="A347" s="838">
        <v>45110</v>
      </c>
      <c r="B347" s="839" t="s">
        <v>1397</v>
      </c>
      <c r="C347" s="840" t="s">
        <v>1281</v>
      </c>
      <c r="D347" s="839" t="s">
        <v>165</v>
      </c>
      <c r="E347" s="841">
        <v>-10</v>
      </c>
      <c r="F347" s="839" t="s">
        <v>1421</v>
      </c>
      <c r="G347" s="839" t="s">
        <v>175</v>
      </c>
    </row>
    <row r="348" spans="1:7" ht="13.5" customHeight="1" x14ac:dyDescent="0.35">
      <c r="A348" s="838">
        <v>45110</v>
      </c>
      <c r="B348" s="839" t="s">
        <v>1397</v>
      </c>
      <c r="C348" s="840" t="s">
        <v>1279</v>
      </c>
      <c r="D348" s="839" t="s">
        <v>159</v>
      </c>
      <c r="E348" s="841">
        <v>80</v>
      </c>
      <c r="F348" s="839" t="s">
        <v>1421</v>
      </c>
      <c r="G348" s="839" t="s">
        <v>175</v>
      </c>
    </row>
    <row r="349" spans="1:7" ht="13.5" customHeight="1" x14ac:dyDescent="0.35">
      <c r="A349" s="838">
        <v>45110</v>
      </c>
      <c r="B349" s="839" t="s">
        <v>1200</v>
      </c>
      <c r="C349" s="840" t="s">
        <v>1274</v>
      </c>
      <c r="D349" s="839" t="s">
        <v>159</v>
      </c>
      <c r="E349" s="841">
        <v>45</v>
      </c>
      <c r="F349" s="839" t="s">
        <v>1008</v>
      </c>
      <c r="G349" s="839" t="s">
        <v>175</v>
      </c>
    </row>
    <row r="350" spans="1:7" ht="13.5" customHeight="1" x14ac:dyDescent="0.35">
      <c r="A350" s="838">
        <v>45110</v>
      </c>
      <c r="B350" s="839" t="s">
        <v>1288</v>
      </c>
      <c r="C350" s="840" t="s">
        <v>1275</v>
      </c>
      <c r="D350" s="839" t="s">
        <v>162</v>
      </c>
      <c r="E350" s="841">
        <v>695</v>
      </c>
      <c r="F350" s="839" t="s">
        <v>1171</v>
      </c>
      <c r="G350" s="839" t="s">
        <v>175</v>
      </c>
    </row>
    <row r="351" spans="1:7" ht="13.5" customHeight="1" x14ac:dyDescent="0.35">
      <c r="A351" s="838">
        <v>45109</v>
      </c>
      <c r="B351" s="839" t="s">
        <v>1422</v>
      </c>
      <c r="C351" s="840" t="s">
        <v>1279</v>
      </c>
      <c r="D351" s="839" t="s">
        <v>159</v>
      </c>
      <c r="E351" s="841">
        <v>225</v>
      </c>
      <c r="F351" s="839" t="s">
        <v>1423</v>
      </c>
      <c r="G351" s="839" t="s">
        <v>174</v>
      </c>
    </row>
    <row r="352" spans="1:7" ht="13.5" customHeight="1" x14ac:dyDescent="0.35">
      <c r="A352" s="838">
        <v>45109</v>
      </c>
      <c r="B352" s="839" t="s">
        <v>1424</v>
      </c>
      <c r="C352" s="840" t="s">
        <v>1274</v>
      </c>
      <c r="D352" s="839" t="s">
        <v>160</v>
      </c>
      <c r="E352" s="841">
        <v>35</v>
      </c>
      <c r="F352" s="839" t="s">
        <v>279</v>
      </c>
      <c r="G352" s="839" t="s">
        <v>174</v>
      </c>
    </row>
    <row r="353" spans="1:7" ht="13.5" customHeight="1" x14ac:dyDescent="0.35">
      <c r="A353" s="838">
        <v>45108</v>
      </c>
      <c r="B353" s="839" t="s">
        <v>1425</v>
      </c>
      <c r="C353" s="840" t="s">
        <v>1274</v>
      </c>
      <c r="D353" s="839" t="s">
        <v>160</v>
      </c>
      <c r="E353" s="841">
        <v>95</v>
      </c>
      <c r="F353" s="848" t="s">
        <v>1426</v>
      </c>
      <c r="G353" s="839" t="s">
        <v>175</v>
      </c>
    </row>
    <row r="354" spans="1:7" ht="13.5" customHeight="1" x14ac:dyDescent="0.35">
      <c r="A354" s="838">
        <v>45108</v>
      </c>
      <c r="B354" s="839" t="s">
        <v>1077</v>
      </c>
      <c r="C354" s="840" t="s">
        <v>1276</v>
      </c>
      <c r="D354" s="839" t="s">
        <v>161</v>
      </c>
      <c r="E354" s="841">
        <v>50</v>
      </c>
      <c r="F354" s="839" t="s">
        <v>1078</v>
      </c>
      <c r="G354" s="839" t="s">
        <v>175</v>
      </c>
    </row>
    <row r="355" spans="1:7" ht="13.5" customHeight="1" x14ac:dyDescent="0.35">
      <c r="A355" s="838">
        <v>45108</v>
      </c>
      <c r="B355" s="839" t="s">
        <v>292</v>
      </c>
      <c r="C355" s="840" t="s">
        <v>1278</v>
      </c>
      <c r="D355" s="839" t="s">
        <v>161</v>
      </c>
      <c r="E355" s="841">
        <v>20</v>
      </c>
      <c r="F355" s="839" t="s">
        <v>292</v>
      </c>
      <c r="G355" s="839" t="s">
        <v>175</v>
      </c>
    </row>
    <row r="356" spans="1:7" ht="13.5" customHeight="1" x14ac:dyDescent="0.35">
      <c r="A356" s="838"/>
      <c r="B356" s="839"/>
      <c r="C356" s="840"/>
      <c r="D356" s="839"/>
      <c r="E356" s="841"/>
      <c r="F356" s="839"/>
      <c r="G356" s="839"/>
    </row>
    <row r="357" spans="1:7" ht="13.5" customHeight="1" x14ac:dyDescent="0.35">
      <c r="A357" s="838">
        <v>45107</v>
      </c>
      <c r="B357" s="839" t="s">
        <v>1427</v>
      </c>
      <c r="C357" s="840" t="s">
        <v>1274</v>
      </c>
      <c r="D357" s="839" t="s">
        <v>159</v>
      </c>
      <c r="E357" s="841">
        <v>50</v>
      </c>
      <c r="F357" s="839" t="s">
        <v>1428</v>
      </c>
      <c r="G357" s="839" t="s">
        <v>174</v>
      </c>
    </row>
    <row r="358" spans="1:7" ht="13.5" customHeight="1" x14ac:dyDescent="0.35">
      <c r="A358" s="838">
        <v>45107</v>
      </c>
      <c r="B358" s="839" t="s">
        <v>1429</v>
      </c>
      <c r="C358" s="840" t="s">
        <v>1274</v>
      </c>
      <c r="D358" s="839" t="s">
        <v>159</v>
      </c>
      <c r="E358" s="841">
        <v>95</v>
      </c>
      <c r="F358" s="848" t="s">
        <v>1426</v>
      </c>
      <c r="G358" s="839" t="s">
        <v>175</v>
      </c>
    </row>
    <row r="359" spans="1:7" ht="13.5" customHeight="1" x14ac:dyDescent="0.35">
      <c r="A359" s="838">
        <v>45107</v>
      </c>
      <c r="B359" s="839" t="s">
        <v>402</v>
      </c>
      <c r="C359" s="840" t="s">
        <v>1274</v>
      </c>
      <c r="D359" s="839" t="s">
        <v>159</v>
      </c>
      <c r="E359" s="841">
        <v>95</v>
      </c>
      <c r="F359" s="848" t="s">
        <v>1426</v>
      </c>
      <c r="G359" s="839" t="s">
        <v>175</v>
      </c>
    </row>
    <row r="360" spans="1:7" ht="13.5" customHeight="1" x14ac:dyDescent="0.35">
      <c r="A360" s="838">
        <v>45107</v>
      </c>
      <c r="B360" s="839" t="s">
        <v>1430</v>
      </c>
      <c r="C360" s="840" t="s">
        <v>1283</v>
      </c>
      <c r="D360" s="839" t="s">
        <v>159</v>
      </c>
      <c r="E360" s="841">
        <v>425</v>
      </c>
      <c r="F360" s="839" t="s">
        <v>1431</v>
      </c>
      <c r="G360" s="839" t="s">
        <v>175</v>
      </c>
    </row>
    <row r="361" spans="1:7" ht="13.5" customHeight="1" x14ac:dyDescent="0.35">
      <c r="A361" s="838">
        <v>45107</v>
      </c>
      <c r="B361" s="839" t="s">
        <v>351</v>
      </c>
      <c r="C361" s="840" t="s">
        <v>1274</v>
      </c>
      <c r="D361" s="839" t="s">
        <v>166</v>
      </c>
      <c r="E361" s="841">
        <v>95</v>
      </c>
      <c r="F361" s="848" t="s">
        <v>1426</v>
      </c>
      <c r="G361" s="839" t="s">
        <v>175</v>
      </c>
    </row>
    <row r="362" spans="1:7" ht="13.5" customHeight="1" x14ac:dyDescent="0.35">
      <c r="A362" s="838">
        <v>45107</v>
      </c>
      <c r="B362" s="839" t="s">
        <v>351</v>
      </c>
      <c r="C362" s="840" t="s">
        <v>1277</v>
      </c>
      <c r="D362" s="839" t="s">
        <v>166</v>
      </c>
      <c r="E362" s="841">
        <v>-95</v>
      </c>
      <c r="F362" s="848" t="s">
        <v>1426</v>
      </c>
      <c r="G362" s="839" t="s">
        <v>175</v>
      </c>
    </row>
    <row r="363" spans="1:7" ht="13.5" customHeight="1" x14ac:dyDescent="0.35">
      <c r="A363" s="838">
        <v>45106</v>
      </c>
      <c r="B363" s="839" t="s">
        <v>1432</v>
      </c>
      <c r="C363" s="840" t="s">
        <v>1274</v>
      </c>
      <c r="D363" s="839" t="s">
        <v>159</v>
      </c>
      <c r="E363" s="841">
        <v>12</v>
      </c>
      <c r="F363" s="839" t="s">
        <v>324</v>
      </c>
      <c r="G363" s="839" t="s">
        <v>174</v>
      </c>
    </row>
    <row r="364" spans="1:7" ht="13.5" customHeight="1" x14ac:dyDescent="0.35">
      <c r="A364" s="838">
        <v>45104</v>
      </c>
      <c r="B364" s="839" t="s">
        <v>1433</v>
      </c>
      <c r="C364" s="840" t="s">
        <v>1274</v>
      </c>
      <c r="D364" s="839" t="s">
        <v>159</v>
      </c>
      <c r="E364" s="841">
        <v>50</v>
      </c>
      <c r="F364" s="839" t="s">
        <v>472</v>
      </c>
      <c r="G364" s="839" t="s">
        <v>174</v>
      </c>
    </row>
    <row r="365" spans="1:7" ht="13.5" customHeight="1" x14ac:dyDescent="0.35">
      <c r="A365" s="838">
        <v>45104</v>
      </c>
      <c r="B365" s="839" t="s">
        <v>1434</v>
      </c>
      <c r="C365" s="840" t="s">
        <v>1283</v>
      </c>
      <c r="D365" s="839" t="s">
        <v>159</v>
      </c>
      <c r="E365" s="841">
        <v>95</v>
      </c>
      <c r="F365" s="839" t="s">
        <v>1431</v>
      </c>
      <c r="G365" s="839" t="s">
        <v>174</v>
      </c>
    </row>
    <row r="366" spans="1:7" ht="13.5" customHeight="1" x14ac:dyDescent="0.35">
      <c r="A366" s="838">
        <v>45103</v>
      </c>
      <c r="B366" s="839" t="s">
        <v>1372</v>
      </c>
      <c r="C366" s="840" t="s">
        <v>1274</v>
      </c>
      <c r="D366" s="839" t="s">
        <v>159</v>
      </c>
      <c r="E366" s="841">
        <v>95</v>
      </c>
      <c r="F366" s="848" t="s">
        <v>1426</v>
      </c>
      <c r="G366" s="839" t="s">
        <v>175</v>
      </c>
    </row>
    <row r="367" spans="1:7" ht="13.5" customHeight="1" x14ac:dyDescent="0.35">
      <c r="A367" s="838">
        <v>45103</v>
      </c>
      <c r="B367" s="839" t="s">
        <v>1373</v>
      </c>
      <c r="C367" s="840" t="s">
        <v>1274</v>
      </c>
      <c r="D367" s="839" t="s">
        <v>159</v>
      </c>
      <c r="E367" s="841">
        <v>70</v>
      </c>
      <c r="F367" s="848" t="s">
        <v>1426</v>
      </c>
      <c r="G367" s="839" t="s">
        <v>175</v>
      </c>
    </row>
    <row r="368" spans="1:7" ht="13.5" customHeight="1" x14ac:dyDescent="0.35">
      <c r="A368" s="838">
        <v>45100</v>
      </c>
      <c r="B368" s="839" t="s">
        <v>1227</v>
      </c>
      <c r="C368" s="840" t="s">
        <v>1274</v>
      </c>
      <c r="D368" s="839" t="s">
        <v>166</v>
      </c>
      <c r="E368" s="841">
        <v>95</v>
      </c>
      <c r="F368" s="848" t="s">
        <v>1426</v>
      </c>
      <c r="G368" s="839" t="s">
        <v>175</v>
      </c>
    </row>
    <row r="369" spans="1:7" ht="13.5" customHeight="1" x14ac:dyDescent="0.35">
      <c r="A369" s="838">
        <v>45100</v>
      </c>
      <c r="B369" s="839" t="s">
        <v>1227</v>
      </c>
      <c r="C369" s="840" t="s">
        <v>1277</v>
      </c>
      <c r="D369" s="839" t="s">
        <v>166</v>
      </c>
      <c r="E369" s="841">
        <v>-95</v>
      </c>
      <c r="F369" s="848" t="s">
        <v>1426</v>
      </c>
      <c r="G369" s="839" t="s">
        <v>175</v>
      </c>
    </row>
    <row r="370" spans="1:7" ht="13.5" customHeight="1" x14ac:dyDescent="0.35">
      <c r="A370" s="838">
        <v>45100</v>
      </c>
      <c r="B370" s="839" t="s">
        <v>1435</v>
      </c>
      <c r="C370" s="840" t="s">
        <v>1279</v>
      </c>
      <c r="D370" s="839" t="s">
        <v>162</v>
      </c>
      <c r="E370" s="841">
        <v>50</v>
      </c>
      <c r="F370" s="839" t="s">
        <v>1436</v>
      </c>
      <c r="G370" s="839" t="s">
        <v>1311</v>
      </c>
    </row>
    <row r="371" spans="1:7" ht="13.5" customHeight="1" x14ac:dyDescent="0.35">
      <c r="A371" s="838">
        <v>45099</v>
      </c>
      <c r="B371" s="839" t="s">
        <v>1437</v>
      </c>
      <c r="C371" s="840" t="s">
        <v>1274</v>
      </c>
      <c r="D371" s="839" t="s">
        <v>159</v>
      </c>
      <c r="E371" s="841">
        <v>95</v>
      </c>
      <c r="F371" s="839" t="s">
        <v>1426</v>
      </c>
      <c r="G371" s="839" t="s">
        <v>175</v>
      </c>
    </row>
    <row r="372" spans="1:7" ht="13.5" customHeight="1" x14ac:dyDescent="0.35">
      <c r="A372" s="838">
        <v>45099</v>
      </c>
      <c r="B372" s="839" t="s">
        <v>1438</v>
      </c>
      <c r="C372" s="840" t="s">
        <v>1274</v>
      </c>
      <c r="D372" s="839" t="s">
        <v>159</v>
      </c>
      <c r="E372" s="841">
        <v>95</v>
      </c>
      <c r="F372" s="839" t="s">
        <v>1426</v>
      </c>
      <c r="G372" s="839" t="s">
        <v>175</v>
      </c>
    </row>
    <row r="373" spans="1:7" ht="13.5" customHeight="1" x14ac:dyDescent="0.35">
      <c r="A373" s="838">
        <v>45094</v>
      </c>
      <c r="B373" s="839" t="s">
        <v>1439</v>
      </c>
      <c r="C373" s="840" t="s">
        <v>1274</v>
      </c>
      <c r="D373" s="839" t="s">
        <v>159</v>
      </c>
      <c r="E373" s="841">
        <v>125</v>
      </c>
      <c r="F373" s="839" t="s">
        <v>177</v>
      </c>
      <c r="G373" s="839" t="s">
        <v>174</v>
      </c>
    </row>
    <row r="374" spans="1:7" ht="13.5" customHeight="1" x14ac:dyDescent="0.35">
      <c r="A374" s="838">
        <v>45093</v>
      </c>
      <c r="B374" s="839" t="s">
        <v>1440</v>
      </c>
      <c r="C374" s="840" t="s">
        <v>1274</v>
      </c>
      <c r="D374" s="839" t="s">
        <v>159</v>
      </c>
      <c r="E374" s="841">
        <v>35</v>
      </c>
      <c r="F374" s="839" t="s">
        <v>279</v>
      </c>
      <c r="G374" s="839" t="s">
        <v>174</v>
      </c>
    </row>
    <row r="375" spans="1:7" ht="13.5" customHeight="1" x14ac:dyDescent="0.35">
      <c r="A375" s="838">
        <v>45092</v>
      </c>
      <c r="B375" s="839" t="s">
        <v>78</v>
      </c>
      <c r="C375" s="840" t="s">
        <v>1282</v>
      </c>
      <c r="D375" s="839" t="s">
        <v>162</v>
      </c>
      <c r="E375" s="841">
        <v>266.64999999999998</v>
      </c>
      <c r="F375" s="839" t="s">
        <v>1441</v>
      </c>
      <c r="G375" s="839" t="s">
        <v>175</v>
      </c>
    </row>
    <row r="376" spans="1:7" ht="13.5" customHeight="1" x14ac:dyDescent="0.35">
      <c r="A376" s="838">
        <v>45090</v>
      </c>
      <c r="B376" s="839" t="s">
        <v>229</v>
      </c>
      <c r="C376" s="840" t="s">
        <v>1274</v>
      </c>
      <c r="D376" s="839" t="s">
        <v>160</v>
      </c>
      <c r="E376" s="841">
        <v>75</v>
      </c>
      <c r="F376" s="839" t="s">
        <v>695</v>
      </c>
      <c r="G376" s="839" t="s">
        <v>175</v>
      </c>
    </row>
    <row r="377" spans="1:7" ht="13.5" customHeight="1" x14ac:dyDescent="0.35">
      <c r="A377" s="838">
        <v>45089</v>
      </c>
      <c r="B377" s="839" t="s">
        <v>1442</v>
      </c>
      <c r="C377" s="840" t="s">
        <v>1274</v>
      </c>
      <c r="D377" s="839" t="s">
        <v>159</v>
      </c>
      <c r="E377" s="841">
        <v>45</v>
      </c>
      <c r="F377" s="839" t="s">
        <v>1008</v>
      </c>
      <c r="G377" s="839" t="s">
        <v>176</v>
      </c>
    </row>
    <row r="378" spans="1:7" ht="13.5" customHeight="1" x14ac:dyDescent="0.35">
      <c r="A378" s="838">
        <v>45089</v>
      </c>
      <c r="B378" s="839" t="s">
        <v>1443</v>
      </c>
      <c r="C378" s="840" t="s">
        <v>1279</v>
      </c>
      <c r="D378" s="839" t="s">
        <v>159</v>
      </c>
      <c r="E378" s="841">
        <v>170</v>
      </c>
      <c r="F378" s="839" t="s">
        <v>313</v>
      </c>
      <c r="G378" s="839" t="s">
        <v>175</v>
      </c>
    </row>
    <row r="379" spans="1:7" ht="13.5" customHeight="1" x14ac:dyDescent="0.35">
      <c r="A379" s="838">
        <v>45088</v>
      </c>
      <c r="B379" s="839" t="s">
        <v>1444</v>
      </c>
      <c r="C379" s="840" t="s">
        <v>1274</v>
      </c>
      <c r="D379" s="839" t="s">
        <v>159</v>
      </c>
      <c r="E379" s="841">
        <v>45</v>
      </c>
      <c r="F379" s="839" t="s">
        <v>1008</v>
      </c>
      <c r="G379" s="839" t="s">
        <v>174</v>
      </c>
    </row>
    <row r="380" spans="1:7" ht="13.5" customHeight="1" x14ac:dyDescent="0.35">
      <c r="A380" s="838">
        <v>45088</v>
      </c>
      <c r="B380" s="839" t="s">
        <v>1395</v>
      </c>
      <c r="C380" s="840" t="s">
        <v>1279</v>
      </c>
      <c r="D380" s="839" t="s">
        <v>159</v>
      </c>
      <c r="E380" s="841">
        <v>360</v>
      </c>
      <c r="F380" s="839" t="s">
        <v>1445</v>
      </c>
      <c r="G380" s="839" t="s">
        <v>175</v>
      </c>
    </row>
    <row r="381" spans="1:7" ht="13.5" customHeight="1" x14ac:dyDescent="0.35">
      <c r="A381" s="838">
        <v>45087</v>
      </c>
      <c r="B381" s="839" t="s">
        <v>1393</v>
      </c>
      <c r="C381" s="840" t="s">
        <v>1274</v>
      </c>
      <c r="D381" s="839" t="s">
        <v>159</v>
      </c>
      <c r="E381" s="841">
        <v>125</v>
      </c>
      <c r="F381" s="839" t="s">
        <v>1446</v>
      </c>
      <c r="G381" s="839" t="s">
        <v>175</v>
      </c>
    </row>
    <row r="382" spans="1:7" ht="13.5" customHeight="1" x14ac:dyDescent="0.35">
      <c r="A382" s="838">
        <v>45086</v>
      </c>
      <c r="B382" s="839" t="s">
        <v>327</v>
      </c>
      <c r="C382" s="840" t="s">
        <v>1284</v>
      </c>
      <c r="D382" s="839" t="s">
        <v>160</v>
      </c>
      <c r="E382" s="841">
        <v>2</v>
      </c>
      <c r="F382" s="839" t="s">
        <v>1419</v>
      </c>
      <c r="G382" s="839" t="s">
        <v>174</v>
      </c>
    </row>
    <row r="383" spans="1:7" ht="13.5" customHeight="1" x14ac:dyDescent="0.35">
      <c r="A383" s="838">
        <v>45085</v>
      </c>
      <c r="B383" s="839" t="s">
        <v>1447</v>
      </c>
      <c r="C383" s="840" t="s">
        <v>1274</v>
      </c>
      <c r="D383" s="839" t="s">
        <v>159</v>
      </c>
      <c r="E383" s="841">
        <v>75</v>
      </c>
      <c r="F383" s="839" t="s">
        <v>695</v>
      </c>
      <c r="G383" s="839" t="s">
        <v>174</v>
      </c>
    </row>
    <row r="384" spans="1:7" ht="13.5" customHeight="1" x14ac:dyDescent="0.35">
      <c r="A384" s="838">
        <v>45083</v>
      </c>
      <c r="B384" s="839" t="s">
        <v>1448</v>
      </c>
      <c r="C384" s="840" t="s">
        <v>1279</v>
      </c>
      <c r="D384" s="839" t="s">
        <v>160</v>
      </c>
      <c r="E384" s="841">
        <v>65</v>
      </c>
      <c r="F384" s="839" t="s">
        <v>264</v>
      </c>
      <c r="G384" s="839" t="s">
        <v>174</v>
      </c>
    </row>
    <row r="385" spans="1:7" ht="13.5" customHeight="1" x14ac:dyDescent="0.35">
      <c r="A385" s="838">
        <v>45082</v>
      </c>
      <c r="B385" s="839" t="s">
        <v>1247</v>
      </c>
      <c r="C385" s="840" t="s">
        <v>1274</v>
      </c>
      <c r="D385" s="839" t="s">
        <v>160</v>
      </c>
      <c r="E385" s="841">
        <v>75</v>
      </c>
      <c r="F385" s="839" t="s">
        <v>695</v>
      </c>
      <c r="G385" s="839" t="s">
        <v>174</v>
      </c>
    </row>
    <row r="386" spans="1:7" ht="13.5" customHeight="1" x14ac:dyDescent="0.35">
      <c r="A386" s="838">
        <v>45080</v>
      </c>
      <c r="B386" s="839" t="s">
        <v>1413</v>
      </c>
      <c r="C386" s="840" t="s">
        <v>1274</v>
      </c>
      <c r="D386" s="839" t="s">
        <v>159</v>
      </c>
      <c r="E386" s="841">
        <v>50</v>
      </c>
      <c r="F386" s="839" t="s">
        <v>695</v>
      </c>
      <c r="G386" s="839" t="s">
        <v>175</v>
      </c>
    </row>
    <row r="387" spans="1:7" ht="13.5" customHeight="1" x14ac:dyDescent="0.35">
      <c r="A387" s="838">
        <v>45080</v>
      </c>
      <c r="B387" s="839" t="s">
        <v>1216</v>
      </c>
      <c r="C387" s="840" t="s">
        <v>1274</v>
      </c>
      <c r="D387" s="839" t="s">
        <v>165</v>
      </c>
      <c r="E387" s="841">
        <v>60</v>
      </c>
      <c r="F387" s="839" t="s">
        <v>1446</v>
      </c>
      <c r="G387" s="839" t="s">
        <v>175</v>
      </c>
    </row>
    <row r="388" spans="1:7" ht="13.5" customHeight="1" x14ac:dyDescent="0.35">
      <c r="A388" s="838">
        <v>45080</v>
      </c>
      <c r="B388" s="839" t="s">
        <v>1216</v>
      </c>
      <c r="C388" s="840" t="s">
        <v>1281</v>
      </c>
      <c r="D388" s="839" t="s">
        <v>165</v>
      </c>
      <c r="E388" s="841">
        <v>-60</v>
      </c>
      <c r="F388" s="839" t="s">
        <v>1446</v>
      </c>
      <c r="G388" s="839" t="s">
        <v>175</v>
      </c>
    </row>
    <row r="389" spans="1:7" ht="13.5" customHeight="1" x14ac:dyDescent="0.35">
      <c r="A389" s="838">
        <v>45078</v>
      </c>
      <c r="B389" s="839" t="s">
        <v>1077</v>
      </c>
      <c r="C389" s="840" t="s">
        <v>1276</v>
      </c>
      <c r="D389" s="839" t="s">
        <v>161</v>
      </c>
      <c r="E389" s="841">
        <v>50</v>
      </c>
      <c r="F389" s="839" t="s">
        <v>1078</v>
      </c>
      <c r="G389" s="839" t="s">
        <v>175</v>
      </c>
    </row>
    <row r="390" spans="1:7" ht="13.5" customHeight="1" x14ac:dyDescent="0.35">
      <c r="A390" s="838">
        <v>45078</v>
      </c>
      <c r="B390" s="839" t="s">
        <v>292</v>
      </c>
      <c r="C390" s="840" t="s">
        <v>1278</v>
      </c>
      <c r="D390" s="839" t="s">
        <v>161</v>
      </c>
      <c r="E390" s="841">
        <v>40</v>
      </c>
      <c r="F390" s="839" t="s">
        <v>292</v>
      </c>
      <c r="G390" s="839" t="s">
        <v>175</v>
      </c>
    </row>
    <row r="391" spans="1:7" ht="13.5" customHeight="1" x14ac:dyDescent="0.35">
      <c r="A391" s="838"/>
      <c r="B391" s="839"/>
      <c r="C391" s="840"/>
      <c r="D391" s="839"/>
      <c r="E391" s="841"/>
      <c r="F391" s="839"/>
      <c r="G391" s="839"/>
    </row>
    <row r="392" spans="1:7" ht="13.5" customHeight="1" x14ac:dyDescent="0.35">
      <c r="A392" s="838">
        <v>45077</v>
      </c>
      <c r="B392" s="839" t="s">
        <v>78</v>
      </c>
      <c r="C392" s="840" t="s">
        <v>1282</v>
      </c>
      <c r="D392" s="839" t="s">
        <v>162</v>
      </c>
      <c r="E392" s="841">
        <v>759.39</v>
      </c>
      <c r="F392" s="839" t="s">
        <v>1449</v>
      </c>
      <c r="G392" s="839" t="s">
        <v>181</v>
      </c>
    </row>
    <row r="393" spans="1:7" ht="13.5" customHeight="1" x14ac:dyDescent="0.35">
      <c r="A393" s="838">
        <v>45077</v>
      </c>
      <c r="B393" s="839" t="s">
        <v>1227</v>
      </c>
      <c r="C393" s="840" t="s">
        <v>1276</v>
      </c>
      <c r="D393" s="839" t="s">
        <v>159</v>
      </c>
      <c r="E393" s="841">
        <v>50</v>
      </c>
      <c r="F393" s="839" t="s">
        <v>1078</v>
      </c>
      <c r="G393" s="839" t="s">
        <v>175</v>
      </c>
    </row>
    <row r="394" spans="1:7" ht="13.5" customHeight="1" x14ac:dyDescent="0.35">
      <c r="A394" s="838">
        <v>45077</v>
      </c>
      <c r="B394" s="839" t="s">
        <v>1360</v>
      </c>
      <c r="C394" s="840" t="s">
        <v>1274</v>
      </c>
      <c r="D394" s="839" t="s">
        <v>165</v>
      </c>
      <c r="E394" s="841">
        <v>125</v>
      </c>
      <c r="F394" s="839" t="s">
        <v>1446</v>
      </c>
      <c r="G394" s="839" t="s">
        <v>175</v>
      </c>
    </row>
    <row r="395" spans="1:7" ht="13.5" customHeight="1" x14ac:dyDescent="0.35">
      <c r="A395" s="838">
        <v>45077</v>
      </c>
      <c r="B395" s="839" t="s">
        <v>1360</v>
      </c>
      <c r="C395" s="840" t="s">
        <v>1281</v>
      </c>
      <c r="D395" s="839" t="s">
        <v>165</v>
      </c>
      <c r="E395" s="841">
        <v>-125</v>
      </c>
      <c r="F395" s="839" t="s">
        <v>1446</v>
      </c>
      <c r="G395" s="839" t="s">
        <v>175</v>
      </c>
    </row>
    <row r="396" spans="1:7" ht="13.5" customHeight="1" x14ac:dyDescent="0.35">
      <c r="A396" s="838">
        <v>45075</v>
      </c>
      <c r="B396" s="839" t="s">
        <v>402</v>
      </c>
      <c r="C396" s="840" t="s">
        <v>1279</v>
      </c>
      <c r="D396" s="839" t="s">
        <v>160</v>
      </c>
      <c r="E396" s="841">
        <v>95</v>
      </c>
      <c r="F396" s="839" t="s">
        <v>1377</v>
      </c>
      <c r="G396" s="839" t="s">
        <v>175</v>
      </c>
    </row>
    <row r="397" spans="1:7" ht="13.5" customHeight="1" x14ac:dyDescent="0.35">
      <c r="A397" s="838">
        <v>45075</v>
      </c>
      <c r="B397" s="839" t="s">
        <v>263</v>
      </c>
      <c r="C397" s="840" t="s">
        <v>1279</v>
      </c>
      <c r="D397" s="839" t="s">
        <v>166</v>
      </c>
      <c r="E397" s="841">
        <v>96</v>
      </c>
      <c r="F397" s="848" t="s">
        <v>941</v>
      </c>
      <c r="G397" s="839" t="s">
        <v>175</v>
      </c>
    </row>
    <row r="398" spans="1:7" ht="13.5" customHeight="1" x14ac:dyDescent="0.35">
      <c r="A398" s="838">
        <v>45075</v>
      </c>
      <c r="B398" s="839" t="s">
        <v>263</v>
      </c>
      <c r="C398" s="840" t="s">
        <v>1277</v>
      </c>
      <c r="D398" s="839" t="s">
        <v>166</v>
      </c>
      <c r="E398" s="841">
        <v>-96</v>
      </c>
      <c r="F398" s="848" t="s">
        <v>941</v>
      </c>
      <c r="G398" s="839" t="s">
        <v>175</v>
      </c>
    </row>
    <row r="399" spans="1:7" ht="13.5" customHeight="1" x14ac:dyDescent="0.35">
      <c r="A399" s="838">
        <v>45075</v>
      </c>
      <c r="B399" s="839" t="s">
        <v>1450</v>
      </c>
      <c r="C399" s="840" t="s">
        <v>1274</v>
      </c>
      <c r="D399" s="839" t="s">
        <v>159</v>
      </c>
      <c r="E399" s="841">
        <v>75</v>
      </c>
      <c r="F399" s="839" t="s">
        <v>1451</v>
      </c>
      <c r="G399" s="839" t="s">
        <v>174</v>
      </c>
    </row>
    <row r="400" spans="1:7" ht="13.5" customHeight="1" x14ac:dyDescent="0.35">
      <c r="A400" s="838">
        <v>45075</v>
      </c>
      <c r="B400" s="839" t="s">
        <v>1452</v>
      </c>
      <c r="C400" s="840" t="s">
        <v>1284</v>
      </c>
      <c r="D400" s="839" t="s">
        <v>160</v>
      </c>
      <c r="E400" s="841">
        <v>25</v>
      </c>
      <c r="F400" s="839" t="s">
        <v>753</v>
      </c>
      <c r="G400" s="839" t="s">
        <v>174</v>
      </c>
    </row>
    <row r="401" spans="1:7" ht="13.5" customHeight="1" x14ac:dyDescent="0.35">
      <c r="A401" s="838">
        <v>45072</v>
      </c>
      <c r="B401" s="839" t="s">
        <v>1213</v>
      </c>
      <c r="C401" s="840" t="s">
        <v>1278</v>
      </c>
      <c r="D401" s="839" t="s">
        <v>159</v>
      </c>
      <c r="E401" s="841">
        <v>20</v>
      </c>
      <c r="F401" s="839" t="s">
        <v>293</v>
      </c>
      <c r="G401" s="839" t="s">
        <v>175</v>
      </c>
    </row>
    <row r="402" spans="1:7" ht="13.5" customHeight="1" x14ac:dyDescent="0.35">
      <c r="A402" s="838">
        <v>45070</v>
      </c>
      <c r="B402" s="839" t="s">
        <v>1453</v>
      </c>
      <c r="C402" s="840" t="s">
        <v>1275</v>
      </c>
      <c r="D402" s="839" t="s">
        <v>162</v>
      </c>
      <c r="E402" s="841">
        <v>775</v>
      </c>
      <c r="F402" s="839" t="s">
        <v>463</v>
      </c>
      <c r="G402" s="839" t="s">
        <v>175</v>
      </c>
    </row>
    <row r="403" spans="1:7" ht="13.5" customHeight="1" x14ac:dyDescent="0.35">
      <c r="A403" s="838">
        <v>45064</v>
      </c>
      <c r="B403" s="839" t="s">
        <v>78</v>
      </c>
      <c r="C403" s="840" t="s">
        <v>1282</v>
      </c>
      <c r="D403" s="839" t="s">
        <v>162</v>
      </c>
      <c r="E403" s="841">
        <v>355</v>
      </c>
      <c r="F403" s="839" t="s">
        <v>1454</v>
      </c>
      <c r="G403" s="839" t="s">
        <v>175</v>
      </c>
    </row>
    <row r="404" spans="1:7" ht="13.5" customHeight="1" x14ac:dyDescent="0.35">
      <c r="A404" s="838">
        <v>45063</v>
      </c>
      <c r="B404" s="839" t="s">
        <v>1443</v>
      </c>
      <c r="C404" s="840" t="s">
        <v>1279</v>
      </c>
      <c r="D404" s="839" t="s">
        <v>159</v>
      </c>
      <c r="E404" s="841">
        <v>50</v>
      </c>
      <c r="F404" s="839" t="s">
        <v>1377</v>
      </c>
      <c r="G404" s="839" t="s">
        <v>174</v>
      </c>
    </row>
    <row r="405" spans="1:7" ht="13.5" customHeight="1" x14ac:dyDescent="0.35">
      <c r="A405" s="838">
        <v>45062</v>
      </c>
      <c r="B405" s="839" t="s">
        <v>1455</v>
      </c>
      <c r="C405" s="840" t="s">
        <v>1274</v>
      </c>
      <c r="D405" s="839" t="s">
        <v>159</v>
      </c>
      <c r="E405" s="841">
        <v>75</v>
      </c>
      <c r="F405" s="839" t="s">
        <v>1228</v>
      </c>
      <c r="G405" s="839" t="s">
        <v>174</v>
      </c>
    </row>
    <row r="406" spans="1:7" ht="13.5" customHeight="1" x14ac:dyDescent="0.35">
      <c r="A406" s="838">
        <v>45061</v>
      </c>
      <c r="B406" s="839" t="s">
        <v>1302</v>
      </c>
      <c r="C406" s="840" t="s">
        <v>28</v>
      </c>
      <c r="D406" s="839" t="s">
        <v>162</v>
      </c>
      <c r="E406" s="841">
        <v>50</v>
      </c>
      <c r="F406" s="839" t="s">
        <v>1025</v>
      </c>
      <c r="G406" s="839" t="s">
        <v>1311</v>
      </c>
    </row>
    <row r="407" spans="1:7" ht="13.5" customHeight="1" x14ac:dyDescent="0.35">
      <c r="A407" s="838">
        <v>45058</v>
      </c>
      <c r="B407" s="839" t="s">
        <v>1456</v>
      </c>
      <c r="C407" s="840" t="s">
        <v>1284</v>
      </c>
      <c r="D407" s="839" t="s">
        <v>160</v>
      </c>
      <c r="E407" s="841">
        <v>4</v>
      </c>
      <c r="F407" s="839" t="s">
        <v>1419</v>
      </c>
      <c r="G407" s="839" t="s">
        <v>174</v>
      </c>
    </row>
    <row r="408" spans="1:7" ht="13.5" customHeight="1" x14ac:dyDescent="0.35">
      <c r="A408" s="838">
        <v>45057</v>
      </c>
      <c r="B408" s="839" t="s">
        <v>1457</v>
      </c>
      <c r="C408" s="840" t="s">
        <v>1274</v>
      </c>
      <c r="D408" s="839" t="s">
        <v>160</v>
      </c>
      <c r="E408" s="841">
        <v>149</v>
      </c>
      <c r="F408" s="839" t="s">
        <v>1458</v>
      </c>
      <c r="G408" s="839" t="s">
        <v>175</v>
      </c>
    </row>
    <row r="409" spans="1:7" ht="13.5" customHeight="1" x14ac:dyDescent="0.35">
      <c r="A409" s="838">
        <v>45057</v>
      </c>
      <c r="B409" s="839" t="s">
        <v>1443</v>
      </c>
      <c r="C409" s="840" t="s">
        <v>1279</v>
      </c>
      <c r="D409" s="839" t="s">
        <v>160</v>
      </c>
      <c r="E409" s="841">
        <v>50</v>
      </c>
      <c r="F409" s="839" t="s">
        <v>1377</v>
      </c>
      <c r="G409" s="839" t="s">
        <v>175</v>
      </c>
    </row>
    <row r="410" spans="1:7" ht="13.5" customHeight="1" x14ac:dyDescent="0.35">
      <c r="A410" s="838">
        <v>45055</v>
      </c>
      <c r="B410" s="839" t="s">
        <v>1459</v>
      </c>
      <c r="C410" s="840" t="s">
        <v>1284</v>
      </c>
      <c r="D410" s="839" t="s">
        <v>159</v>
      </c>
      <c r="E410" s="841">
        <v>2</v>
      </c>
      <c r="F410" s="839" t="s">
        <v>1419</v>
      </c>
      <c r="G410" s="839" t="s">
        <v>174</v>
      </c>
    </row>
    <row r="411" spans="1:7" ht="13.5" customHeight="1" x14ac:dyDescent="0.35">
      <c r="A411" s="838">
        <v>45055</v>
      </c>
      <c r="B411" s="839" t="s">
        <v>1443</v>
      </c>
      <c r="C411" s="840" t="s">
        <v>1279</v>
      </c>
      <c r="D411" s="839" t="s">
        <v>160</v>
      </c>
      <c r="E411" s="841">
        <v>50</v>
      </c>
      <c r="F411" s="839" t="s">
        <v>1377</v>
      </c>
      <c r="G411" s="839" t="s">
        <v>174</v>
      </c>
    </row>
    <row r="412" spans="1:7" ht="13.5" customHeight="1" x14ac:dyDescent="0.35">
      <c r="A412" s="838">
        <v>45055</v>
      </c>
      <c r="B412" s="839" t="s">
        <v>1460</v>
      </c>
      <c r="C412" s="840" t="s">
        <v>1283</v>
      </c>
      <c r="D412" s="839" t="s">
        <v>162</v>
      </c>
      <c r="E412" s="841">
        <v>295</v>
      </c>
      <c r="F412" s="839" t="s">
        <v>1356</v>
      </c>
      <c r="G412" s="839" t="s">
        <v>174</v>
      </c>
    </row>
    <row r="413" spans="1:7" ht="13.5" customHeight="1" x14ac:dyDescent="0.35">
      <c r="A413" s="838">
        <v>45054</v>
      </c>
      <c r="B413" s="839" t="s">
        <v>1461</v>
      </c>
      <c r="C413" s="840" t="s">
        <v>1280</v>
      </c>
      <c r="D413" s="839" t="s">
        <v>159</v>
      </c>
      <c r="E413" s="841">
        <v>300</v>
      </c>
      <c r="F413" s="839" t="s">
        <v>734</v>
      </c>
      <c r="G413" s="839" t="s">
        <v>174</v>
      </c>
    </row>
    <row r="414" spans="1:7" ht="13.5" customHeight="1" x14ac:dyDescent="0.35">
      <c r="A414" s="838">
        <v>45052</v>
      </c>
      <c r="B414" s="839" t="s">
        <v>401</v>
      </c>
      <c r="C414" s="840" t="s">
        <v>28</v>
      </c>
      <c r="D414" s="839" t="s">
        <v>159</v>
      </c>
      <c r="E414" s="841">
        <v>250</v>
      </c>
      <c r="F414" s="839" t="s">
        <v>1267</v>
      </c>
      <c r="G414" s="839" t="s">
        <v>175</v>
      </c>
    </row>
    <row r="415" spans="1:7" ht="13.5" customHeight="1" x14ac:dyDescent="0.35">
      <c r="A415" s="838">
        <v>45051</v>
      </c>
      <c r="B415" s="839" t="s">
        <v>1462</v>
      </c>
      <c r="C415" s="840" t="s">
        <v>1274</v>
      </c>
      <c r="D415" s="839" t="s">
        <v>160</v>
      </c>
      <c r="E415" s="841">
        <v>75</v>
      </c>
      <c r="F415" s="839" t="s">
        <v>1228</v>
      </c>
      <c r="G415" s="839" t="s">
        <v>174</v>
      </c>
    </row>
    <row r="416" spans="1:7" ht="13.5" customHeight="1" x14ac:dyDescent="0.35">
      <c r="A416" s="838">
        <v>45051</v>
      </c>
      <c r="B416" s="839" t="s">
        <v>1462</v>
      </c>
      <c r="C416" s="840" t="s">
        <v>1274</v>
      </c>
      <c r="D416" s="839" t="s">
        <v>160</v>
      </c>
      <c r="E416" s="841">
        <v>75</v>
      </c>
      <c r="F416" s="839" t="s">
        <v>695</v>
      </c>
      <c r="G416" s="839" t="s">
        <v>174</v>
      </c>
    </row>
    <row r="417" spans="1:7" ht="13.5" customHeight="1" x14ac:dyDescent="0.35">
      <c r="A417" s="838">
        <v>45049</v>
      </c>
      <c r="B417" s="839" t="s">
        <v>351</v>
      </c>
      <c r="C417" s="840" t="s">
        <v>1274</v>
      </c>
      <c r="D417" s="839" t="s">
        <v>166</v>
      </c>
      <c r="E417" s="841">
        <v>156</v>
      </c>
      <c r="F417" s="839" t="s">
        <v>177</v>
      </c>
      <c r="G417" s="839" t="s">
        <v>175</v>
      </c>
    </row>
    <row r="418" spans="1:7" ht="13.5" customHeight="1" x14ac:dyDescent="0.35">
      <c r="A418" s="838">
        <v>45049</v>
      </c>
      <c r="B418" s="839" t="s">
        <v>351</v>
      </c>
      <c r="C418" s="840" t="s">
        <v>1277</v>
      </c>
      <c r="D418" s="839" t="s">
        <v>166</v>
      </c>
      <c r="E418" s="841">
        <v>-156</v>
      </c>
      <c r="F418" s="839" t="s">
        <v>177</v>
      </c>
      <c r="G418" s="839" t="s">
        <v>175</v>
      </c>
    </row>
    <row r="419" spans="1:7" ht="13.5" customHeight="1" x14ac:dyDescent="0.35">
      <c r="A419" s="838">
        <v>45049</v>
      </c>
      <c r="B419" s="839" t="s">
        <v>351</v>
      </c>
      <c r="C419" s="840" t="s">
        <v>1274</v>
      </c>
      <c r="D419" s="839" t="s">
        <v>166</v>
      </c>
      <c r="E419" s="841">
        <v>140</v>
      </c>
      <c r="F419" s="839" t="s">
        <v>235</v>
      </c>
      <c r="G419" s="839" t="s">
        <v>175</v>
      </c>
    </row>
    <row r="420" spans="1:7" ht="13.5" customHeight="1" x14ac:dyDescent="0.35">
      <c r="A420" s="838">
        <v>45049</v>
      </c>
      <c r="B420" s="839" t="s">
        <v>351</v>
      </c>
      <c r="C420" s="840" t="s">
        <v>1277</v>
      </c>
      <c r="D420" s="839" t="s">
        <v>166</v>
      </c>
      <c r="E420" s="841">
        <v>-140</v>
      </c>
      <c r="F420" s="839" t="s">
        <v>235</v>
      </c>
      <c r="G420" s="839" t="s">
        <v>175</v>
      </c>
    </row>
    <row r="421" spans="1:7" ht="13.5" customHeight="1" x14ac:dyDescent="0.35">
      <c r="A421" s="838">
        <v>45049</v>
      </c>
      <c r="B421" s="839" t="s">
        <v>351</v>
      </c>
      <c r="C421" s="840" t="s">
        <v>1274</v>
      </c>
      <c r="D421" s="839" t="s">
        <v>166</v>
      </c>
      <c r="E421" s="841">
        <v>75</v>
      </c>
      <c r="F421" s="839" t="s">
        <v>1463</v>
      </c>
      <c r="G421" s="839" t="s">
        <v>175</v>
      </c>
    </row>
    <row r="422" spans="1:7" ht="13.5" customHeight="1" x14ac:dyDescent="0.35">
      <c r="A422" s="838">
        <v>45049</v>
      </c>
      <c r="B422" s="839" t="s">
        <v>351</v>
      </c>
      <c r="C422" s="840" t="s">
        <v>1277</v>
      </c>
      <c r="D422" s="839" t="s">
        <v>166</v>
      </c>
      <c r="E422" s="841">
        <v>-75</v>
      </c>
      <c r="F422" s="839" t="s">
        <v>1463</v>
      </c>
      <c r="G422" s="839" t="s">
        <v>175</v>
      </c>
    </row>
    <row r="423" spans="1:7" ht="13.5" customHeight="1" x14ac:dyDescent="0.35">
      <c r="A423" s="838">
        <v>45049</v>
      </c>
      <c r="B423" s="839" t="s">
        <v>351</v>
      </c>
      <c r="C423" s="840" t="s">
        <v>1274</v>
      </c>
      <c r="D423" s="839" t="s">
        <v>166</v>
      </c>
      <c r="E423" s="841">
        <v>75</v>
      </c>
      <c r="F423" s="839" t="s">
        <v>1451</v>
      </c>
      <c r="G423" s="839" t="s">
        <v>175</v>
      </c>
    </row>
    <row r="424" spans="1:7" ht="13.5" customHeight="1" x14ac:dyDescent="0.35">
      <c r="A424" s="838">
        <v>45049</v>
      </c>
      <c r="B424" s="839" t="s">
        <v>351</v>
      </c>
      <c r="C424" s="840" t="s">
        <v>1277</v>
      </c>
      <c r="D424" s="839" t="s">
        <v>166</v>
      </c>
      <c r="E424" s="841">
        <v>-75</v>
      </c>
      <c r="F424" s="839" t="s">
        <v>1451</v>
      </c>
      <c r="G424" s="839" t="s">
        <v>175</v>
      </c>
    </row>
    <row r="425" spans="1:7" ht="13.5" customHeight="1" x14ac:dyDescent="0.35">
      <c r="A425" s="838">
        <v>45049</v>
      </c>
      <c r="B425" s="839" t="s">
        <v>351</v>
      </c>
      <c r="C425" s="840" t="s">
        <v>1274</v>
      </c>
      <c r="D425" s="839" t="s">
        <v>166</v>
      </c>
      <c r="E425" s="841">
        <v>45</v>
      </c>
      <c r="F425" s="839" t="s">
        <v>1464</v>
      </c>
      <c r="G425" s="839" t="s">
        <v>175</v>
      </c>
    </row>
    <row r="426" spans="1:7" ht="13.5" customHeight="1" x14ac:dyDescent="0.35">
      <c r="A426" s="838">
        <v>45049</v>
      </c>
      <c r="B426" s="839" t="s">
        <v>351</v>
      </c>
      <c r="C426" s="840" t="s">
        <v>1277</v>
      </c>
      <c r="D426" s="839" t="s">
        <v>166</v>
      </c>
      <c r="E426" s="841">
        <v>-45</v>
      </c>
      <c r="F426" s="839" t="s">
        <v>1464</v>
      </c>
      <c r="G426" s="839" t="s">
        <v>175</v>
      </c>
    </row>
    <row r="427" spans="1:7" ht="13.5" customHeight="1" x14ac:dyDescent="0.35">
      <c r="A427" s="838">
        <v>45048</v>
      </c>
      <c r="B427" s="839" t="s">
        <v>1465</v>
      </c>
      <c r="C427" s="840" t="s">
        <v>1280</v>
      </c>
      <c r="D427" s="839" t="s">
        <v>159</v>
      </c>
      <c r="E427" s="841">
        <v>125</v>
      </c>
      <c r="F427" s="839" t="s">
        <v>734</v>
      </c>
      <c r="G427" s="839" t="s">
        <v>174</v>
      </c>
    </row>
    <row r="428" spans="1:7" ht="13.5" customHeight="1" x14ac:dyDescent="0.35">
      <c r="A428" s="838">
        <v>45047</v>
      </c>
      <c r="B428" s="839" t="s">
        <v>1077</v>
      </c>
      <c r="C428" s="840" t="s">
        <v>1276</v>
      </c>
      <c r="D428" s="839" t="s">
        <v>161</v>
      </c>
      <c r="E428" s="841">
        <v>50</v>
      </c>
      <c r="F428" s="839" t="s">
        <v>1078</v>
      </c>
      <c r="G428" s="839" t="s">
        <v>175</v>
      </c>
    </row>
    <row r="429" spans="1:7" ht="13.5" customHeight="1" x14ac:dyDescent="0.35">
      <c r="A429" s="838">
        <v>45047</v>
      </c>
      <c r="B429" s="839" t="s">
        <v>292</v>
      </c>
      <c r="C429" s="840" t="s">
        <v>1278</v>
      </c>
      <c r="D429" s="839" t="s">
        <v>161</v>
      </c>
      <c r="E429" s="841">
        <v>40</v>
      </c>
      <c r="F429" s="839" t="s">
        <v>292</v>
      </c>
      <c r="G429" s="839" t="s">
        <v>175</v>
      </c>
    </row>
    <row r="430" spans="1:7" ht="13.5" customHeight="1" x14ac:dyDescent="0.35">
      <c r="A430" s="838"/>
      <c r="B430" s="839"/>
      <c r="C430" s="840"/>
      <c r="D430" s="839"/>
      <c r="E430" s="841"/>
      <c r="F430" s="839"/>
      <c r="G430" s="839"/>
    </row>
    <row r="431" spans="1:7" ht="13.5" customHeight="1" x14ac:dyDescent="0.35">
      <c r="A431" s="838">
        <v>45043</v>
      </c>
      <c r="B431" s="839" t="s">
        <v>1466</v>
      </c>
      <c r="C431" s="840" t="s">
        <v>1274</v>
      </c>
      <c r="D431" s="839" t="s">
        <v>162</v>
      </c>
      <c r="E431" s="841">
        <v>34</v>
      </c>
      <c r="F431" s="839" t="s">
        <v>230</v>
      </c>
      <c r="G431" s="839" t="s">
        <v>175</v>
      </c>
    </row>
    <row r="432" spans="1:7" ht="13.5" customHeight="1" x14ac:dyDescent="0.35">
      <c r="A432" s="838">
        <v>45043</v>
      </c>
      <c r="B432" s="839" t="s">
        <v>1466</v>
      </c>
      <c r="C432" s="840" t="s">
        <v>1274</v>
      </c>
      <c r="D432" s="839" t="s">
        <v>166</v>
      </c>
      <c r="E432" s="841">
        <v>99</v>
      </c>
      <c r="F432" s="839" t="s">
        <v>230</v>
      </c>
      <c r="G432" s="839" t="s">
        <v>175</v>
      </c>
    </row>
    <row r="433" spans="1:7" ht="13.5" customHeight="1" x14ac:dyDescent="0.35">
      <c r="A433" s="838">
        <v>45043</v>
      </c>
      <c r="B433" s="839" t="s">
        <v>1466</v>
      </c>
      <c r="C433" s="840" t="s">
        <v>1277</v>
      </c>
      <c r="D433" s="839" t="s">
        <v>166</v>
      </c>
      <c r="E433" s="841">
        <v>-99</v>
      </c>
      <c r="F433" s="839" t="s">
        <v>230</v>
      </c>
      <c r="G433" s="839" t="s">
        <v>175</v>
      </c>
    </row>
    <row r="434" spans="1:7" ht="13.5" customHeight="1" x14ac:dyDescent="0.35">
      <c r="A434" s="838">
        <v>45040</v>
      </c>
      <c r="B434" s="839" t="s">
        <v>1207</v>
      </c>
      <c r="C434" s="840" t="s">
        <v>1274</v>
      </c>
      <c r="D434" s="839" t="s">
        <v>159</v>
      </c>
      <c r="E434" s="841">
        <v>75</v>
      </c>
      <c r="F434" s="839" t="s">
        <v>1467</v>
      </c>
      <c r="G434" s="839" t="s">
        <v>174</v>
      </c>
    </row>
    <row r="435" spans="1:7" ht="13.5" customHeight="1" x14ac:dyDescent="0.35">
      <c r="A435" s="838">
        <v>45039</v>
      </c>
      <c r="B435" s="839" t="s">
        <v>89</v>
      </c>
      <c r="C435" s="840" t="s">
        <v>1282</v>
      </c>
      <c r="D435" s="839" t="s">
        <v>160</v>
      </c>
      <c r="E435" s="841">
        <v>45.37</v>
      </c>
      <c r="F435" s="839" t="s">
        <v>1026</v>
      </c>
      <c r="G435" s="839" t="s">
        <v>89</v>
      </c>
    </row>
    <row r="436" spans="1:7" ht="13.5" customHeight="1" x14ac:dyDescent="0.35">
      <c r="A436" s="838">
        <v>45038</v>
      </c>
      <c r="B436" s="839" t="s">
        <v>1468</v>
      </c>
      <c r="C436" s="840" t="s">
        <v>1274</v>
      </c>
      <c r="D436" s="839" t="s">
        <v>159</v>
      </c>
      <c r="E436" s="841">
        <v>99</v>
      </c>
      <c r="F436" s="839" t="s">
        <v>230</v>
      </c>
      <c r="G436" s="839" t="s">
        <v>175</v>
      </c>
    </row>
    <row r="437" spans="1:7" ht="13.5" customHeight="1" x14ac:dyDescent="0.35">
      <c r="A437" s="838">
        <v>45037</v>
      </c>
      <c r="B437" s="839" t="s">
        <v>1469</v>
      </c>
      <c r="C437" s="840" t="s">
        <v>1280</v>
      </c>
      <c r="D437" s="839" t="s">
        <v>159</v>
      </c>
      <c r="E437" s="841">
        <v>75</v>
      </c>
      <c r="F437" s="839" t="s">
        <v>734</v>
      </c>
      <c r="G437" s="839" t="s">
        <v>174</v>
      </c>
    </row>
    <row r="438" spans="1:7" ht="13.5" customHeight="1" x14ac:dyDescent="0.35">
      <c r="A438" s="838">
        <v>45033</v>
      </c>
      <c r="B438" s="839" t="s">
        <v>1227</v>
      </c>
      <c r="C438" s="840" t="s">
        <v>28</v>
      </c>
      <c r="D438" s="839" t="s">
        <v>166</v>
      </c>
      <c r="E438" s="841">
        <v>225</v>
      </c>
      <c r="F438" s="839" t="s">
        <v>1286</v>
      </c>
      <c r="G438" s="839" t="s">
        <v>175</v>
      </c>
    </row>
    <row r="439" spans="1:7" ht="13.5" customHeight="1" x14ac:dyDescent="0.35">
      <c r="A439" s="838">
        <v>45033</v>
      </c>
      <c r="B439" s="839" t="s">
        <v>1227</v>
      </c>
      <c r="C439" s="840" t="s">
        <v>1277</v>
      </c>
      <c r="D439" s="839" t="s">
        <v>166</v>
      </c>
      <c r="E439" s="841">
        <v>-225</v>
      </c>
      <c r="F439" s="839" t="s">
        <v>1286</v>
      </c>
      <c r="G439" s="839" t="s">
        <v>175</v>
      </c>
    </row>
    <row r="440" spans="1:7" ht="13.5" customHeight="1" x14ac:dyDescent="0.35">
      <c r="A440" s="838">
        <v>45033</v>
      </c>
      <c r="B440" s="839" t="s">
        <v>1227</v>
      </c>
      <c r="C440" s="840" t="s">
        <v>1274</v>
      </c>
      <c r="D440" s="839" t="s">
        <v>166</v>
      </c>
      <c r="E440" s="841">
        <v>67.5</v>
      </c>
      <c r="F440" s="839" t="s">
        <v>1467</v>
      </c>
      <c r="G440" s="839" t="s">
        <v>175</v>
      </c>
    </row>
    <row r="441" spans="1:7" ht="13.5" customHeight="1" x14ac:dyDescent="0.35">
      <c r="A441" s="838">
        <v>45033</v>
      </c>
      <c r="B441" s="839" t="s">
        <v>1227</v>
      </c>
      <c r="C441" s="840" t="s">
        <v>1277</v>
      </c>
      <c r="D441" s="839" t="s">
        <v>166</v>
      </c>
      <c r="E441" s="841">
        <v>-67.5</v>
      </c>
      <c r="F441" s="839" t="s">
        <v>1467</v>
      </c>
      <c r="G441" s="839" t="s">
        <v>175</v>
      </c>
    </row>
    <row r="442" spans="1:7" ht="13.5" customHeight="1" x14ac:dyDescent="0.35">
      <c r="A442" s="838">
        <v>45031</v>
      </c>
      <c r="B442" s="839" t="s">
        <v>1470</v>
      </c>
      <c r="C442" s="840" t="s">
        <v>1274</v>
      </c>
      <c r="D442" s="839" t="s">
        <v>160</v>
      </c>
      <c r="E442" s="841">
        <v>75</v>
      </c>
      <c r="F442" s="839" t="s">
        <v>695</v>
      </c>
      <c r="G442" s="839" t="s">
        <v>174</v>
      </c>
    </row>
    <row r="443" spans="1:7" ht="13.5" customHeight="1" x14ac:dyDescent="0.35">
      <c r="A443" s="838">
        <v>45031</v>
      </c>
      <c r="B443" s="839" t="s">
        <v>1470</v>
      </c>
      <c r="C443" s="840" t="s">
        <v>1274</v>
      </c>
      <c r="D443" s="839" t="s">
        <v>160</v>
      </c>
      <c r="E443" s="841">
        <v>75</v>
      </c>
      <c r="F443" s="839" t="s">
        <v>1467</v>
      </c>
      <c r="G443" s="839" t="s">
        <v>174</v>
      </c>
    </row>
    <row r="444" spans="1:7" ht="13.5" customHeight="1" x14ac:dyDescent="0.35">
      <c r="A444" s="838">
        <v>45030</v>
      </c>
      <c r="B444" s="839" t="s">
        <v>934</v>
      </c>
      <c r="C444" s="840" t="s">
        <v>1275</v>
      </c>
      <c r="D444" s="839" t="s">
        <v>162</v>
      </c>
      <c r="E444" s="841">
        <v>155</v>
      </c>
      <c r="F444" s="839" t="s">
        <v>463</v>
      </c>
      <c r="G444" s="839" t="s">
        <v>175</v>
      </c>
    </row>
    <row r="445" spans="1:7" ht="13.5" customHeight="1" x14ac:dyDescent="0.35">
      <c r="A445" s="838">
        <v>45028</v>
      </c>
      <c r="B445" s="839" t="s">
        <v>1471</v>
      </c>
      <c r="C445" s="840" t="s">
        <v>28</v>
      </c>
      <c r="D445" s="839" t="s">
        <v>159</v>
      </c>
      <c r="E445" s="841">
        <v>250</v>
      </c>
      <c r="F445" s="839" t="s">
        <v>1025</v>
      </c>
      <c r="G445" s="839" t="s">
        <v>174</v>
      </c>
    </row>
    <row r="446" spans="1:7" ht="13.5" customHeight="1" x14ac:dyDescent="0.35">
      <c r="A446" s="838">
        <v>45027</v>
      </c>
      <c r="B446" s="839" t="s">
        <v>1472</v>
      </c>
      <c r="C446" s="840" t="s">
        <v>1280</v>
      </c>
      <c r="D446" s="839" t="s">
        <v>159</v>
      </c>
      <c r="E446" s="841">
        <v>100</v>
      </c>
      <c r="F446" s="839" t="s">
        <v>734</v>
      </c>
      <c r="G446" s="839" t="s">
        <v>174</v>
      </c>
    </row>
    <row r="447" spans="1:7" ht="13.5" customHeight="1" x14ac:dyDescent="0.35">
      <c r="A447" s="838">
        <v>45027</v>
      </c>
      <c r="B447" s="839" t="s">
        <v>1473</v>
      </c>
      <c r="C447" s="840" t="s">
        <v>28</v>
      </c>
      <c r="D447" s="839" t="s">
        <v>160</v>
      </c>
      <c r="E447" s="841">
        <v>250</v>
      </c>
      <c r="F447" s="839" t="s">
        <v>1025</v>
      </c>
      <c r="G447" s="839" t="s">
        <v>174</v>
      </c>
    </row>
    <row r="448" spans="1:7" ht="13.5" customHeight="1" x14ac:dyDescent="0.35">
      <c r="A448" s="838">
        <v>45027</v>
      </c>
      <c r="B448" s="839" t="s">
        <v>1474</v>
      </c>
      <c r="C448" s="840" t="s">
        <v>28</v>
      </c>
      <c r="D448" s="839" t="s">
        <v>159</v>
      </c>
      <c r="E448" s="841">
        <v>230</v>
      </c>
      <c r="F448" s="839" t="s">
        <v>1475</v>
      </c>
      <c r="G448" s="839" t="s">
        <v>175</v>
      </c>
    </row>
    <row r="449" spans="1:7" ht="13.5" customHeight="1" x14ac:dyDescent="0.35">
      <c r="A449" s="838">
        <v>45020</v>
      </c>
      <c r="B449" s="839" t="s">
        <v>934</v>
      </c>
      <c r="C449" s="840" t="s">
        <v>1275</v>
      </c>
      <c r="D449" s="839" t="s">
        <v>159</v>
      </c>
      <c r="E449" s="841">
        <v>1750</v>
      </c>
      <c r="F449" s="839" t="s">
        <v>463</v>
      </c>
      <c r="G449" s="839" t="s">
        <v>175</v>
      </c>
    </row>
    <row r="450" spans="1:7" ht="13.5" customHeight="1" x14ac:dyDescent="0.35">
      <c r="A450" s="838">
        <v>45017</v>
      </c>
      <c r="B450" s="839" t="s">
        <v>1227</v>
      </c>
      <c r="C450" s="840" t="s">
        <v>1274</v>
      </c>
      <c r="D450" s="839" t="s">
        <v>166</v>
      </c>
      <c r="E450" s="841">
        <v>99</v>
      </c>
      <c r="F450" s="839" t="s">
        <v>230</v>
      </c>
      <c r="G450" s="839" t="s">
        <v>175</v>
      </c>
    </row>
    <row r="451" spans="1:7" ht="13.5" customHeight="1" x14ac:dyDescent="0.35">
      <c r="A451" s="838">
        <v>45017</v>
      </c>
      <c r="B451" s="839" t="s">
        <v>1227</v>
      </c>
      <c r="C451" s="840" t="s">
        <v>1277</v>
      </c>
      <c r="D451" s="839" t="s">
        <v>166</v>
      </c>
      <c r="E451" s="841">
        <v>-99</v>
      </c>
      <c r="F451" s="839" t="s">
        <v>230</v>
      </c>
      <c r="G451" s="839" t="s">
        <v>175</v>
      </c>
    </row>
    <row r="452" spans="1:7" ht="13.5" customHeight="1" x14ac:dyDescent="0.35">
      <c r="A452" s="838">
        <v>45017</v>
      </c>
      <c r="B452" s="839" t="s">
        <v>1077</v>
      </c>
      <c r="C452" s="840" t="s">
        <v>1276</v>
      </c>
      <c r="D452" s="839" t="s">
        <v>161</v>
      </c>
      <c r="E452" s="841">
        <v>50</v>
      </c>
      <c r="F452" s="839" t="s">
        <v>1078</v>
      </c>
      <c r="G452" s="839" t="s">
        <v>175</v>
      </c>
    </row>
    <row r="453" spans="1:7" ht="13.5" customHeight="1" x14ac:dyDescent="0.35">
      <c r="A453" s="838">
        <v>45017</v>
      </c>
      <c r="B453" s="839" t="s">
        <v>292</v>
      </c>
      <c r="C453" s="840" t="s">
        <v>1278</v>
      </c>
      <c r="D453" s="839" t="s">
        <v>161</v>
      </c>
      <c r="E453" s="841">
        <v>40</v>
      </c>
      <c r="F453" s="839" t="s">
        <v>292</v>
      </c>
      <c r="G453" s="839" t="s">
        <v>175</v>
      </c>
    </row>
    <row r="454" spans="1:7" ht="13.5" customHeight="1" x14ac:dyDescent="0.35">
      <c r="A454" s="838"/>
      <c r="B454" s="839"/>
      <c r="C454" s="840"/>
      <c r="D454" s="839"/>
      <c r="E454" s="841"/>
      <c r="F454" s="839"/>
      <c r="G454" s="839"/>
    </row>
    <row r="455" spans="1:7" ht="13.5" customHeight="1" x14ac:dyDescent="0.35">
      <c r="A455" s="838">
        <v>45016</v>
      </c>
      <c r="B455" s="839" t="s">
        <v>1397</v>
      </c>
      <c r="C455" s="840" t="s">
        <v>1279</v>
      </c>
      <c r="D455" s="839" t="s">
        <v>165</v>
      </c>
      <c r="E455" s="841">
        <v>190</v>
      </c>
      <c r="F455" s="839" t="s">
        <v>1476</v>
      </c>
      <c r="G455" s="839" t="s">
        <v>174</v>
      </c>
    </row>
    <row r="456" spans="1:7" ht="13.5" customHeight="1" x14ac:dyDescent="0.35">
      <c r="A456" s="838">
        <v>45016</v>
      </c>
      <c r="B456" s="839" t="s">
        <v>1397</v>
      </c>
      <c r="C456" s="840" t="s">
        <v>1281</v>
      </c>
      <c r="D456" s="839" t="s">
        <v>165</v>
      </c>
      <c r="E456" s="841">
        <v>-190</v>
      </c>
      <c r="F456" s="839" t="s">
        <v>1476</v>
      </c>
      <c r="G456" s="839" t="s">
        <v>174</v>
      </c>
    </row>
    <row r="457" spans="1:7" ht="13.5" customHeight="1" x14ac:dyDescent="0.35">
      <c r="A457" s="838">
        <v>45016</v>
      </c>
      <c r="B457" s="839" t="s">
        <v>1227</v>
      </c>
      <c r="C457" s="840" t="s">
        <v>1276</v>
      </c>
      <c r="D457" s="839" t="s">
        <v>159</v>
      </c>
      <c r="E457" s="841">
        <v>50</v>
      </c>
      <c r="F457" s="839" t="s">
        <v>1477</v>
      </c>
      <c r="G457" s="839" t="s">
        <v>175</v>
      </c>
    </row>
    <row r="458" spans="1:7" ht="13.5" customHeight="1" x14ac:dyDescent="0.35">
      <c r="A458" s="838">
        <v>45016</v>
      </c>
      <c r="B458" s="839" t="s">
        <v>1478</v>
      </c>
      <c r="C458" s="840" t="s">
        <v>1274</v>
      </c>
      <c r="D458" s="839" t="s">
        <v>159</v>
      </c>
      <c r="E458" s="841">
        <v>65</v>
      </c>
      <c r="F458" s="839" t="s">
        <v>1428</v>
      </c>
      <c r="G458" s="839" t="s">
        <v>174</v>
      </c>
    </row>
    <row r="459" spans="1:7" ht="13.5" customHeight="1" x14ac:dyDescent="0.35">
      <c r="A459" s="838">
        <v>45016</v>
      </c>
      <c r="B459" s="839" t="s">
        <v>1479</v>
      </c>
      <c r="C459" s="840" t="s">
        <v>1275</v>
      </c>
      <c r="D459" s="839" t="s">
        <v>159</v>
      </c>
      <c r="E459" s="841">
        <v>775</v>
      </c>
      <c r="F459" s="839" t="s">
        <v>467</v>
      </c>
      <c r="G459" s="839" t="s">
        <v>174</v>
      </c>
    </row>
    <row r="460" spans="1:7" ht="13.5" customHeight="1" x14ac:dyDescent="0.35">
      <c r="A460" s="838">
        <v>45016</v>
      </c>
      <c r="B460" s="839" t="s">
        <v>1479</v>
      </c>
      <c r="C460" s="840" t="s">
        <v>1274</v>
      </c>
      <c r="D460" s="839" t="s">
        <v>159</v>
      </c>
      <c r="E460" s="841">
        <v>95</v>
      </c>
      <c r="F460" s="839" t="s">
        <v>224</v>
      </c>
      <c r="G460" s="839" t="s">
        <v>174</v>
      </c>
    </row>
    <row r="461" spans="1:7" ht="13.5" customHeight="1" x14ac:dyDescent="0.35">
      <c r="A461" s="838">
        <v>45016</v>
      </c>
      <c r="B461" s="839" t="s">
        <v>180</v>
      </c>
      <c r="C461" s="840" t="s">
        <v>1274</v>
      </c>
      <c r="D461" s="839" t="s">
        <v>162</v>
      </c>
      <c r="E461" s="841">
        <v>540</v>
      </c>
      <c r="F461" s="839" t="s">
        <v>1480</v>
      </c>
      <c r="G461" s="839" t="s">
        <v>180</v>
      </c>
    </row>
    <row r="462" spans="1:7" ht="13.5" customHeight="1" x14ac:dyDescent="0.35">
      <c r="A462" s="838">
        <v>45014</v>
      </c>
      <c r="B462" s="839" t="s">
        <v>1481</v>
      </c>
      <c r="C462" s="840" t="s">
        <v>1274</v>
      </c>
      <c r="D462" s="839" t="s">
        <v>160</v>
      </c>
      <c r="E462" s="841">
        <v>99</v>
      </c>
      <c r="F462" s="839" t="s">
        <v>230</v>
      </c>
      <c r="G462" s="839" t="s">
        <v>175</v>
      </c>
    </row>
    <row r="463" spans="1:7" ht="13.5" customHeight="1" x14ac:dyDescent="0.35">
      <c r="A463" s="838">
        <v>45013</v>
      </c>
      <c r="B463" s="839" t="s">
        <v>1295</v>
      </c>
      <c r="C463" s="840" t="s">
        <v>28</v>
      </c>
      <c r="D463" s="839" t="s">
        <v>162</v>
      </c>
      <c r="E463" s="841">
        <v>50</v>
      </c>
      <c r="F463" s="839" t="s">
        <v>1482</v>
      </c>
      <c r="G463" s="839" t="s">
        <v>1311</v>
      </c>
    </row>
    <row r="464" spans="1:7" ht="13.5" customHeight="1" x14ac:dyDescent="0.35">
      <c r="A464" s="838">
        <v>45012</v>
      </c>
      <c r="B464" s="839" t="s">
        <v>1483</v>
      </c>
      <c r="C464" s="840" t="s">
        <v>1275</v>
      </c>
      <c r="D464" s="839" t="s">
        <v>159</v>
      </c>
      <c r="E464" s="841">
        <v>575</v>
      </c>
      <c r="F464" s="839" t="s">
        <v>288</v>
      </c>
      <c r="G464" s="839" t="s">
        <v>174</v>
      </c>
    </row>
    <row r="465" spans="1:7" ht="13.5" customHeight="1" x14ac:dyDescent="0.35">
      <c r="A465" s="838">
        <v>45012</v>
      </c>
      <c r="B465" s="839" t="s">
        <v>1484</v>
      </c>
      <c r="C465" s="840" t="s">
        <v>1274</v>
      </c>
      <c r="D465" s="839" t="s">
        <v>160</v>
      </c>
      <c r="E465" s="841">
        <v>65</v>
      </c>
      <c r="F465" s="839" t="s">
        <v>1428</v>
      </c>
      <c r="G465" s="839" t="s">
        <v>174</v>
      </c>
    </row>
    <row r="466" spans="1:7" ht="13.5" customHeight="1" x14ac:dyDescent="0.35">
      <c r="A466" s="838">
        <v>45011</v>
      </c>
      <c r="B466" s="839" t="s">
        <v>1046</v>
      </c>
      <c r="C466" s="840" t="s">
        <v>1274</v>
      </c>
      <c r="D466" s="839" t="s">
        <v>159</v>
      </c>
      <c r="E466" s="841">
        <v>65</v>
      </c>
      <c r="F466" s="839" t="s">
        <v>1428</v>
      </c>
      <c r="G466" s="839" t="s">
        <v>175</v>
      </c>
    </row>
    <row r="467" spans="1:7" ht="13.5" customHeight="1" x14ac:dyDescent="0.35">
      <c r="A467" s="838">
        <v>45010</v>
      </c>
      <c r="B467" s="839" t="s">
        <v>1485</v>
      </c>
      <c r="C467" s="840" t="s">
        <v>1284</v>
      </c>
      <c r="D467" s="839" t="s">
        <v>160</v>
      </c>
      <c r="E467" s="841">
        <v>17</v>
      </c>
      <c r="F467" s="839" t="s">
        <v>1381</v>
      </c>
      <c r="G467" s="839" t="s">
        <v>174</v>
      </c>
    </row>
    <row r="468" spans="1:7" ht="13.5" customHeight="1" x14ac:dyDescent="0.35">
      <c r="A468" s="838">
        <v>45010</v>
      </c>
      <c r="B468" s="839" t="s">
        <v>1486</v>
      </c>
      <c r="C468" s="840" t="s">
        <v>1280</v>
      </c>
      <c r="D468" s="839" t="s">
        <v>159</v>
      </c>
      <c r="E468" s="841">
        <v>400</v>
      </c>
      <c r="F468" s="839" t="s">
        <v>734</v>
      </c>
      <c r="G468" s="839" t="s">
        <v>174</v>
      </c>
    </row>
    <row r="469" spans="1:7" ht="13.5" customHeight="1" x14ac:dyDescent="0.35">
      <c r="A469" s="838">
        <v>45009</v>
      </c>
      <c r="B469" s="839" t="s">
        <v>1487</v>
      </c>
      <c r="C469" s="840" t="s">
        <v>1280</v>
      </c>
      <c r="D469" s="839" t="s">
        <v>159</v>
      </c>
      <c r="E469" s="841">
        <v>100</v>
      </c>
      <c r="F469" s="839" t="s">
        <v>734</v>
      </c>
      <c r="G469" s="839" t="s">
        <v>174</v>
      </c>
    </row>
    <row r="470" spans="1:7" ht="13.5" customHeight="1" x14ac:dyDescent="0.35">
      <c r="A470" s="838">
        <v>45008</v>
      </c>
      <c r="B470" s="839" t="s">
        <v>1488</v>
      </c>
      <c r="C470" s="840" t="s">
        <v>28</v>
      </c>
      <c r="D470" s="839" t="s">
        <v>162</v>
      </c>
      <c r="E470" s="841">
        <v>58</v>
      </c>
      <c r="F470" s="839" t="s">
        <v>1489</v>
      </c>
      <c r="G470" s="839" t="s">
        <v>175</v>
      </c>
    </row>
    <row r="471" spans="1:7" ht="13.5" customHeight="1" x14ac:dyDescent="0.35">
      <c r="A471" s="838">
        <v>45008</v>
      </c>
      <c r="B471" s="839" t="s">
        <v>1490</v>
      </c>
      <c r="C471" s="840" t="s">
        <v>1274</v>
      </c>
      <c r="D471" s="839" t="s">
        <v>162</v>
      </c>
      <c r="E471" s="841">
        <v>50</v>
      </c>
      <c r="F471" s="839" t="s">
        <v>235</v>
      </c>
      <c r="G471" s="839" t="s">
        <v>174</v>
      </c>
    </row>
    <row r="472" spans="1:7" ht="13.5" customHeight="1" x14ac:dyDescent="0.35">
      <c r="A472" s="838">
        <v>45008</v>
      </c>
      <c r="B472" s="839" t="s">
        <v>1490</v>
      </c>
      <c r="C472" s="840" t="s">
        <v>1274</v>
      </c>
      <c r="D472" s="839" t="s">
        <v>159</v>
      </c>
      <c r="E472" s="841">
        <v>125</v>
      </c>
      <c r="F472" s="839" t="s">
        <v>235</v>
      </c>
      <c r="G472" s="839" t="s">
        <v>174</v>
      </c>
    </row>
    <row r="473" spans="1:7" ht="13.5" customHeight="1" x14ac:dyDescent="0.35">
      <c r="A473" s="838">
        <v>45008</v>
      </c>
      <c r="B473" s="839" t="s">
        <v>1491</v>
      </c>
      <c r="C473" s="840" t="s">
        <v>1282</v>
      </c>
      <c r="D473" s="839" t="s">
        <v>162</v>
      </c>
      <c r="E473" s="841">
        <v>28.46</v>
      </c>
      <c r="F473" s="839" t="s">
        <v>1492</v>
      </c>
      <c r="G473" s="839" t="s">
        <v>175</v>
      </c>
    </row>
    <row r="474" spans="1:7" ht="13.5" customHeight="1" x14ac:dyDescent="0.35">
      <c r="A474" s="838">
        <v>45004</v>
      </c>
      <c r="B474" s="839" t="s">
        <v>1493</v>
      </c>
      <c r="C474" s="840" t="s">
        <v>1274</v>
      </c>
      <c r="D474" s="839" t="s">
        <v>159</v>
      </c>
      <c r="E474" s="841">
        <v>198</v>
      </c>
      <c r="F474" s="839" t="s">
        <v>230</v>
      </c>
      <c r="G474" s="839" t="s">
        <v>175</v>
      </c>
    </row>
    <row r="475" spans="1:7" ht="13.5" customHeight="1" x14ac:dyDescent="0.35">
      <c r="A475" s="838">
        <v>45000</v>
      </c>
      <c r="B475" s="839" t="s">
        <v>97</v>
      </c>
      <c r="C475" s="840" t="s">
        <v>1283</v>
      </c>
      <c r="D475" s="839" t="s">
        <v>162</v>
      </c>
      <c r="E475" s="841">
        <v>175</v>
      </c>
      <c r="F475" s="839" t="s">
        <v>1494</v>
      </c>
      <c r="G475" s="839" t="s">
        <v>176</v>
      </c>
    </row>
    <row r="476" spans="1:7" ht="13.5" customHeight="1" x14ac:dyDescent="0.35">
      <c r="A476" s="838">
        <v>44999</v>
      </c>
      <c r="B476" s="839" t="s">
        <v>1495</v>
      </c>
      <c r="C476" s="840" t="s">
        <v>1274</v>
      </c>
      <c r="D476" s="839" t="s">
        <v>159</v>
      </c>
      <c r="E476" s="841">
        <v>150</v>
      </c>
      <c r="F476" s="839" t="s">
        <v>230</v>
      </c>
      <c r="G476" s="839" t="s">
        <v>176</v>
      </c>
    </row>
    <row r="477" spans="1:7" ht="13.5" customHeight="1" x14ac:dyDescent="0.35">
      <c r="A477" s="838">
        <v>44999</v>
      </c>
      <c r="B477" s="839" t="s">
        <v>1496</v>
      </c>
      <c r="C477" s="840" t="s">
        <v>1280</v>
      </c>
      <c r="D477" s="839" t="s">
        <v>159</v>
      </c>
      <c r="E477" s="841">
        <v>350</v>
      </c>
      <c r="F477" s="839" t="s">
        <v>734</v>
      </c>
      <c r="G477" s="839" t="s">
        <v>174</v>
      </c>
    </row>
    <row r="478" spans="1:7" ht="13.5" customHeight="1" x14ac:dyDescent="0.35">
      <c r="A478" s="838">
        <v>44999</v>
      </c>
      <c r="B478" s="839" t="s">
        <v>1488</v>
      </c>
      <c r="C478" s="840" t="s">
        <v>28</v>
      </c>
      <c r="D478" s="839" t="s">
        <v>162</v>
      </c>
      <c r="E478" s="841">
        <v>58</v>
      </c>
      <c r="F478" s="839" t="s">
        <v>1489</v>
      </c>
      <c r="G478" s="839" t="s">
        <v>175</v>
      </c>
    </row>
    <row r="479" spans="1:7" ht="13.5" customHeight="1" x14ac:dyDescent="0.35">
      <c r="A479" s="838">
        <v>44998</v>
      </c>
      <c r="B479" s="839" t="s">
        <v>1299</v>
      </c>
      <c r="C479" s="840" t="s">
        <v>28</v>
      </c>
      <c r="D479" s="839" t="s">
        <v>162</v>
      </c>
      <c r="E479" s="841">
        <v>50</v>
      </c>
      <c r="F479" s="839" t="s">
        <v>1497</v>
      </c>
      <c r="G479" s="839" t="s">
        <v>1311</v>
      </c>
    </row>
    <row r="480" spans="1:7" ht="13.5" customHeight="1" x14ac:dyDescent="0.35">
      <c r="A480" s="838">
        <v>44998</v>
      </c>
      <c r="B480" s="839" t="s">
        <v>1298</v>
      </c>
      <c r="C480" s="840" t="s">
        <v>28</v>
      </c>
      <c r="D480" s="839" t="s">
        <v>162</v>
      </c>
      <c r="E480" s="841">
        <v>50</v>
      </c>
      <c r="F480" s="839" t="s">
        <v>1180</v>
      </c>
      <c r="G480" s="839" t="s">
        <v>1311</v>
      </c>
    </row>
    <row r="481" spans="1:7" ht="13.5" customHeight="1" x14ac:dyDescent="0.35">
      <c r="A481" s="838">
        <v>44996</v>
      </c>
      <c r="B481" s="839" t="s">
        <v>1222</v>
      </c>
      <c r="C481" s="840" t="s">
        <v>28</v>
      </c>
      <c r="D481" s="839" t="s">
        <v>159</v>
      </c>
      <c r="E481" s="841">
        <v>395</v>
      </c>
      <c r="F481" s="839" t="s">
        <v>1498</v>
      </c>
      <c r="G481" s="839" t="s">
        <v>174</v>
      </c>
    </row>
    <row r="482" spans="1:7" ht="13.5" customHeight="1" x14ac:dyDescent="0.35">
      <c r="A482" s="838">
        <v>44995</v>
      </c>
      <c r="B482" s="839" t="s">
        <v>1499</v>
      </c>
      <c r="C482" s="840" t="s">
        <v>1280</v>
      </c>
      <c r="D482" s="839" t="s">
        <v>159</v>
      </c>
      <c r="E482" s="841">
        <v>100</v>
      </c>
      <c r="F482" s="839" t="s">
        <v>734</v>
      </c>
      <c r="G482" s="839" t="s">
        <v>174</v>
      </c>
    </row>
    <row r="483" spans="1:7" ht="13.5" customHeight="1" x14ac:dyDescent="0.35">
      <c r="A483" s="838">
        <v>44994</v>
      </c>
      <c r="B483" s="839" t="s">
        <v>1500</v>
      </c>
      <c r="C483" s="840" t="s">
        <v>1274</v>
      </c>
      <c r="D483" s="839" t="s">
        <v>160</v>
      </c>
      <c r="E483" s="841">
        <v>50</v>
      </c>
      <c r="F483" s="839" t="s">
        <v>230</v>
      </c>
      <c r="G483" s="839" t="s">
        <v>175</v>
      </c>
    </row>
    <row r="484" spans="1:7" ht="13.5" customHeight="1" x14ac:dyDescent="0.35">
      <c r="A484" s="838">
        <v>44994</v>
      </c>
      <c r="B484" s="839" t="s">
        <v>1500</v>
      </c>
      <c r="C484" s="840" t="s">
        <v>1274</v>
      </c>
      <c r="D484" s="839" t="s">
        <v>165</v>
      </c>
      <c r="E484" s="841">
        <v>100</v>
      </c>
      <c r="F484" s="839" t="s">
        <v>230</v>
      </c>
      <c r="G484" s="839" t="s">
        <v>175</v>
      </c>
    </row>
    <row r="485" spans="1:7" ht="13.5" customHeight="1" x14ac:dyDescent="0.35">
      <c r="A485" s="838">
        <v>44994</v>
      </c>
      <c r="B485" s="839" t="s">
        <v>1500</v>
      </c>
      <c r="C485" s="840" t="s">
        <v>1281</v>
      </c>
      <c r="D485" s="839" t="s">
        <v>165</v>
      </c>
      <c r="E485" s="841">
        <v>-100</v>
      </c>
      <c r="F485" s="839" t="s">
        <v>230</v>
      </c>
      <c r="G485" s="839" t="s">
        <v>175</v>
      </c>
    </row>
    <row r="486" spans="1:7" ht="13.5" customHeight="1" x14ac:dyDescent="0.35">
      <c r="A486" s="838">
        <v>44994</v>
      </c>
      <c r="B486" s="839" t="s">
        <v>1501</v>
      </c>
      <c r="C486" s="840" t="s">
        <v>1274</v>
      </c>
      <c r="D486" s="839" t="s">
        <v>159</v>
      </c>
      <c r="E486" s="841">
        <v>99</v>
      </c>
      <c r="F486" s="839" t="s">
        <v>230</v>
      </c>
      <c r="G486" s="839" t="s">
        <v>175</v>
      </c>
    </row>
    <row r="487" spans="1:7" ht="13.5" customHeight="1" x14ac:dyDescent="0.35">
      <c r="A487" s="838">
        <v>44994</v>
      </c>
      <c r="B487" s="839" t="s">
        <v>1502</v>
      </c>
      <c r="C487" s="840" t="s">
        <v>1274</v>
      </c>
      <c r="D487" s="839" t="s">
        <v>159</v>
      </c>
      <c r="E487" s="841">
        <v>99</v>
      </c>
      <c r="F487" s="839" t="s">
        <v>230</v>
      </c>
      <c r="G487" s="839" t="s">
        <v>179</v>
      </c>
    </row>
    <row r="488" spans="1:7" ht="13.5" customHeight="1" x14ac:dyDescent="0.35">
      <c r="A488" s="838">
        <v>44994</v>
      </c>
      <c r="B488" s="839" t="s">
        <v>1503</v>
      </c>
      <c r="C488" s="840" t="s">
        <v>1280</v>
      </c>
      <c r="D488" s="839" t="s">
        <v>159</v>
      </c>
      <c r="E488" s="841">
        <v>100</v>
      </c>
      <c r="F488" s="839" t="s">
        <v>734</v>
      </c>
      <c r="G488" s="839" t="s">
        <v>174</v>
      </c>
    </row>
    <row r="489" spans="1:7" ht="13.5" customHeight="1" x14ac:dyDescent="0.35">
      <c r="A489" s="838">
        <v>44994</v>
      </c>
      <c r="B489" s="839" t="s">
        <v>1488</v>
      </c>
      <c r="C489" s="840" t="s">
        <v>28</v>
      </c>
      <c r="D489" s="839" t="s">
        <v>162</v>
      </c>
      <c r="E489" s="841">
        <v>58</v>
      </c>
      <c r="F489" s="839" t="s">
        <v>1489</v>
      </c>
      <c r="G489" s="839" t="s">
        <v>175</v>
      </c>
    </row>
    <row r="490" spans="1:7" ht="13.5" customHeight="1" x14ac:dyDescent="0.35">
      <c r="A490" s="838">
        <v>44993</v>
      </c>
      <c r="B490" s="839" t="s">
        <v>1504</v>
      </c>
      <c r="C490" s="840" t="s">
        <v>1279</v>
      </c>
      <c r="D490" s="839" t="s">
        <v>165</v>
      </c>
      <c r="E490" s="841">
        <v>100</v>
      </c>
      <c r="F490" s="839" t="s">
        <v>1092</v>
      </c>
      <c r="G490" s="839" t="s">
        <v>175</v>
      </c>
    </row>
    <row r="491" spans="1:7" ht="13.5" customHeight="1" x14ac:dyDescent="0.35">
      <c r="A491" s="838">
        <v>44993</v>
      </c>
      <c r="B491" s="839" t="s">
        <v>1504</v>
      </c>
      <c r="C491" s="840" t="s">
        <v>1281</v>
      </c>
      <c r="D491" s="839" t="s">
        <v>165</v>
      </c>
      <c r="E491" s="841">
        <v>-100</v>
      </c>
      <c r="F491" s="839" t="s">
        <v>1092</v>
      </c>
      <c r="G491" s="839" t="s">
        <v>175</v>
      </c>
    </row>
    <row r="492" spans="1:7" ht="13.5" customHeight="1" x14ac:dyDescent="0.35">
      <c r="A492" s="838">
        <v>44993</v>
      </c>
      <c r="B492" s="839" t="s">
        <v>1504</v>
      </c>
      <c r="C492" s="840" t="s">
        <v>1279</v>
      </c>
      <c r="D492" s="839" t="s">
        <v>159</v>
      </c>
      <c r="E492" s="841">
        <v>20</v>
      </c>
      <c r="F492" s="839" t="s">
        <v>1505</v>
      </c>
      <c r="G492" s="839" t="s">
        <v>175</v>
      </c>
    </row>
    <row r="493" spans="1:7" ht="13.5" customHeight="1" x14ac:dyDescent="0.35">
      <c r="A493" s="838">
        <v>44993</v>
      </c>
      <c r="B493" s="839" t="s">
        <v>1506</v>
      </c>
      <c r="C493" s="840" t="s">
        <v>28</v>
      </c>
      <c r="D493" s="839" t="s">
        <v>159</v>
      </c>
      <c r="E493" s="841">
        <v>75</v>
      </c>
      <c r="F493" s="839" t="s">
        <v>1507</v>
      </c>
      <c r="G493" s="839" t="s">
        <v>175</v>
      </c>
    </row>
    <row r="494" spans="1:7" ht="13.5" customHeight="1" x14ac:dyDescent="0.35">
      <c r="A494" s="838">
        <v>44993</v>
      </c>
      <c r="B494" s="839" t="s">
        <v>92</v>
      </c>
      <c r="C494" s="840" t="s">
        <v>1282</v>
      </c>
      <c r="D494" s="839" t="s">
        <v>162</v>
      </c>
      <c r="E494" s="841">
        <v>78.84</v>
      </c>
      <c r="F494" s="839" t="s">
        <v>1508</v>
      </c>
      <c r="G494" s="839" t="s">
        <v>175</v>
      </c>
    </row>
    <row r="495" spans="1:7" ht="13.5" customHeight="1" x14ac:dyDescent="0.35">
      <c r="A495" s="838">
        <v>44992</v>
      </c>
      <c r="B495" s="839" t="s">
        <v>351</v>
      </c>
      <c r="C495" s="840" t="s">
        <v>1279</v>
      </c>
      <c r="D495" s="839" t="s">
        <v>166</v>
      </c>
      <c r="E495" s="841">
        <v>96</v>
      </c>
      <c r="F495" s="848" t="s">
        <v>204</v>
      </c>
      <c r="G495" s="839" t="s">
        <v>175</v>
      </c>
    </row>
    <row r="496" spans="1:7" ht="13.5" customHeight="1" x14ac:dyDescent="0.35">
      <c r="A496" s="838">
        <v>44992</v>
      </c>
      <c r="B496" s="839" t="s">
        <v>351</v>
      </c>
      <c r="C496" s="840" t="s">
        <v>1279</v>
      </c>
      <c r="D496" s="839" t="s">
        <v>166</v>
      </c>
      <c r="E496" s="841">
        <v>96</v>
      </c>
      <c r="F496" s="848" t="s">
        <v>204</v>
      </c>
      <c r="G496" s="839" t="s">
        <v>175</v>
      </c>
    </row>
    <row r="497" spans="1:7" ht="13.5" customHeight="1" x14ac:dyDescent="0.35">
      <c r="A497" s="838">
        <v>44992</v>
      </c>
      <c r="B497" s="839" t="s">
        <v>351</v>
      </c>
      <c r="C497" s="840" t="s">
        <v>1277</v>
      </c>
      <c r="D497" s="839" t="s">
        <v>166</v>
      </c>
      <c r="E497" s="841">
        <v>-96</v>
      </c>
      <c r="F497" s="848" t="s">
        <v>204</v>
      </c>
      <c r="G497" s="839" t="s">
        <v>175</v>
      </c>
    </row>
    <row r="498" spans="1:7" ht="13.5" customHeight="1" x14ac:dyDescent="0.35">
      <c r="A498" s="838">
        <v>44992</v>
      </c>
      <c r="B498" s="839" t="s">
        <v>351</v>
      </c>
      <c r="C498" s="840" t="s">
        <v>1277</v>
      </c>
      <c r="D498" s="839" t="s">
        <v>166</v>
      </c>
      <c r="E498" s="841">
        <v>-96</v>
      </c>
      <c r="F498" s="848" t="s">
        <v>204</v>
      </c>
      <c r="G498" s="839" t="s">
        <v>175</v>
      </c>
    </row>
    <row r="499" spans="1:7" ht="13.5" customHeight="1" x14ac:dyDescent="0.35">
      <c r="A499" s="838">
        <v>44992</v>
      </c>
      <c r="B499" s="839" t="s">
        <v>1509</v>
      </c>
      <c r="C499" s="840" t="s">
        <v>1283</v>
      </c>
      <c r="D499" s="839" t="s">
        <v>160</v>
      </c>
      <c r="E499" s="841">
        <v>100</v>
      </c>
      <c r="F499" s="839" t="s">
        <v>993</v>
      </c>
      <c r="G499" s="839" t="s">
        <v>174</v>
      </c>
    </row>
    <row r="500" spans="1:7" ht="13.5" customHeight="1" x14ac:dyDescent="0.35">
      <c r="A500" s="838">
        <v>44991</v>
      </c>
      <c r="B500" s="839" t="s">
        <v>1510</v>
      </c>
      <c r="C500" s="840" t="s">
        <v>1278</v>
      </c>
      <c r="D500" s="839" t="s">
        <v>159</v>
      </c>
      <c r="E500" s="841">
        <v>20</v>
      </c>
      <c r="F500" s="839" t="s">
        <v>293</v>
      </c>
      <c r="G500" s="839" t="s">
        <v>174</v>
      </c>
    </row>
    <row r="501" spans="1:7" ht="13.5" customHeight="1" x14ac:dyDescent="0.35">
      <c r="A501" s="838">
        <v>44990</v>
      </c>
      <c r="B501" s="839" t="s">
        <v>1511</v>
      </c>
      <c r="C501" s="840" t="s">
        <v>28</v>
      </c>
      <c r="D501" s="839" t="s">
        <v>159</v>
      </c>
      <c r="E501" s="841">
        <v>30</v>
      </c>
      <c r="F501" s="839" t="s">
        <v>1236</v>
      </c>
      <c r="G501" s="839" t="s">
        <v>174</v>
      </c>
    </row>
    <row r="502" spans="1:7" ht="13.5" customHeight="1" x14ac:dyDescent="0.35">
      <c r="A502" s="838">
        <v>44989</v>
      </c>
      <c r="B502" s="839" t="s">
        <v>1512</v>
      </c>
      <c r="C502" s="840" t="s">
        <v>1274</v>
      </c>
      <c r="D502" s="839" t="s">
        <v>159</v>
      </c>
      <c r="E502" s="841">
        <v>65</v>
      </c>
      <c r="F502" s="839" t="s">
        <v>1513</v>
      </c>
      <c r="G502" s="839" t="s">
        <v>174</v>
      </c>
    </row>
    <row r="503" spans="1:7" ht="13.5" customHeight="1" x14ac:dyDescent="0.35">
      <c r="A503" s="838">
        <v>44989</v>
      </c>
      <c r="B503" s="839" t="s">
        <v>1488</v>
      </c>
      <c r="C503" s="840" t="s">
        <v>28</v>
      </c>
      <c r="D503" s="839" t="s">
        <v>162</v>
      </c>
      <c r="E503" s="841">
        <v>57.5</v>
      </c>
      <c r="F503" s="839" t="s">
        <v>1489</v>
      </c>
      <c r="G503" s="839" t="s">
        <v>175</v>
      </c>
    </row>
    <row r="504" spans="1:7" ht="13.5" customHeight="1" x14ac:dyDescent="0.35">
      <c r="A504" s="838">
        <v>44989</v>
      </c>
      <c r="B504" s="839" t="s">
        <v>1514</v>
      </c>
      <c r="C504" s="840" t="s">
        <v>1275</v>
      </c>
      <c r="D504" s="839" t="s">
        <v>162</v>
      </c>
      <c r="E504" s="841">
        <v>130</v>
      </c>
      <c r="F504" s="839" t="s">
        <v>1515</v>
      </c>
      <c r="G504" s="839" t="s">
        <v>175</v>
      </c>
    </row>
    <row r="505" spans="1:7" ht="13.5" customHeight="1" x14ac:dyDescent="0.35">
      <c r="A505" s="838">
        <v>44988</v>
      </c>
      <c r="B505" s="839" t="s">
        <v>1011</v>
      </c>
      <c r="C505" s="840" t="s">
        <v>1274</v>
      </c>
      <c r="D505" s="839" t="s">
        <v>160</v>
      </c>
      <c r="E505" s="841">
        <v>175</v>
      </c>
      <c r="F505" s="839" t="s">
        <v>230</v>
      </c>
      <c r="G505" s="839" t="s">
        <v>175</v>
      </c>
    </row>
    <row r="506" spans="1:7" ht="13.5" customHeight="1" x14ac:dyDescent="0.35">
      <c r="A506" s="838">
        <v>44987</v>
      </c>
      <c r="B506" s="839" t="s">
        <v>1227</v>
      </c>
      <c r="C506" s="840" t="s">
        <v>28</v>
      </c>
      <c r="D506" s="839" t="s">
        <v>159</v>
      </c>
      <c r="E506" s="841">
        <v>230</v>
      </c>
      <c r="F506" s="839" t="s">
        <v>1489</v>
      </c>
      <c r="G506" s="839" t="s">
        <v>175</v>
      </c>
    </row>
    <row r="507" spans="1:7" ht="13.5" customHeight="1" x14ac:dyDescent="0.35">
      <c r="A507" s="838">
        <v>44987</v>
      </c>
      <c r="B507" s="839" t="s">
        <v>1516</v>
      </c>
      <c r="C507" s="840" t="s">
        <v>1275</v>
      </c>
      <c r="D507" s="839" t="s">
        <v>160</v>
      </c>
      <c r="E507" s="841">
        <v>150</v>
      </c>
      <c r="F507" s="839" t="s">
        <v>463</v>
      </c>
      <c r="G507" s="839" t="s">
        <v>174</v>
      </c>
    </row>
    <row r="508" spans="1:7" ht="13.5" customHeight="1" x14ac:dyDescent="0.35">
      <c r="A508" s="838">
        <v>44987</v>
      </c>
      <c r="B508" s="839" t="s">
        <v>1516</v>
      </c>
      <c r="C508" s="840" t="s">
        <v>1275</v>
      </c>
      <c r="D508" s="839" t="s">
        <v>160</v>
      </c>
      <c r="E508" s="841">
        <v>875</v>
      </c>
      <c r="F508" s="839" t="s">
        <v>463</v>
      </c>
      <c r="G508" s="839" t="s">
        <v>174</v>
      </c>
    </row>
    <row r="509" spans="1:7" ht="13.5" customHeight="1" x14ac:dyDescent="0.35">
      <c r="A509" s="838">
        <v>44986</v>
      </c>
      <c r="B509" s="839" t="s">
        <v>1517</v>
      </c>
      <c r="C509" s="840" t="s">
        <v>1279</v>
      </c>
      <c r="D509" s="839" t="s">
        <v>159</v>
      </c>
      <c r="E509" s="841">
        <v>360</v>
      </c>
      <c r="F509" s="839" t="s">
        <v>1062</v>
      </c>
      <c r="G509" s="839" t="s">
        <v>174</v>
      </c>
    </row>
    <row r="510" spans="1:7" ht="13.5" customHeight="1" x14ac:dyDescent="0.35">
      <c r="A510" s="838">
        <v>44986</v>
      </c>
      <c r="B510" s="839" t="s">
        <v>292</v>
      </c>
      <c r="C510" s="840" t="s">
        <v>1278</v>
      </c>
      <c r="D510" s="839" t="s">
        <v>161</v>
      </c>
      <c r="E510" s="841">
        <v>40</v>
      </c>
      <c r="F510" s="839" t="s">
        <v>292</v>
      </c>
      <c r="G510" s="839" t="s">
        <v>175</v>
      </c>
    </row>
    <row r="511" spans="1:7" ht="13.5" customHeight="1" x14ac:dyDescent="0.35">
      <c r="A511" s="838"/>
      <c r="B511" s="839"/>
      <c r="C511" s="840"/>
      <c r="D511" s="839"/>
      <c r="E511" s="841"/>
      <c r="F511" s="839"/>
      <c r="G511" s="839"/>
    </row>
    <row r="512" spans="1:7" ht="13.5" customHeight="1" x14ac:dyDescent="0.35">
      <c r="A512" s="838">
        <v>44984</v>
      </c>
      <c r="B512" s="839" t="s">
        <v>1518</v>
      </c>
      <c r="C512" s="840" t="s">
        <v>1279</v>
      </c>
      <c r="D512" s="839" t="s">
        <v>159</v>
      </c>
      <c r="E512" s="841">
        <v>360</v>
      </c>
      <c r="F512" s="839" t="s">
        <v>1062</v>
      </c>
      <c r="G512" s="839" t="s">
        <v>174</v>
      </c>
    </row>
    <row r="513" spans="1:7" ht="13.5" customHeight="1" x14ac:dyDescent="0.35">
      <c r="A513" s="838">
        <v>44980</v>
      </c>
      <c r="B513" s="839" t="s">
        <v>351</v>
      </c>
      <c r="C513" s="840" t="s">
        <v>1284</v>
      </c>
      <c r="D513" s="839" t="s">
        <v>159</v>
      </c>
      <c r="E513" s="841">
        <v>6</v>
      </c>
      <c r="F513" s="839" t="s">
        <v>1254</v>
      </c>
      <c r="G513" s="839" t="s">
        <v>175</v>
      </c>
    </row>
    <row r="514" spans="1:7" ht="13.5" customHeight="1" x14ac:dyDescent="0.35">
      <c r="A514" s="838">
        <v>44980</v>
      </c>
      <c r="B514" s="839" t="s">
        <v>1519</v>
      </c>
      <c r="C514" s="840" t="s">
        <v>1274</v>
      </c>
      <c r="D514" s="839" t="s">
        <v>159</v>
      </c>
      <c r="E514" s="841">
        <v>75</v>
      </c>
      <c r="F514" s="839" t="s">
        <v>1520</v>
      </c>
      <c r="G514" s="839" t="s">
        <v>174</v>
      </c>
    </row>
    <row r="515" spans="1:7" ht="13.5" customHeight="1" x14ac:dyDescent="0.35">
      <c r="A515" s="838">
        <v>44980</v>
      </c>
      <c r="B515" s="839" t="s">
        <v>89</v>
      </c>
      <c r="C515" s="840" t="s">
        <v>1282</v>
      </c>
      <c r="D515" s="839" t="s">
        <v>160</v>
      </c>
      <c r="E515" s="841">
        <v>70.58</v>
      </c>
      <c r="F515" s="839" t="s">
        <v>1026</v>
      </c>
      <c r="G515" s="839" t="s">
        <v>89</v>
      </c>
    </row>
    <row r="516" spans="1:7" ht="13.5" customHeight="1" x14ac:dyDescent="0.35">
      <c r="A516" s="838">
        <v>44979</v>
      </c>
      <c r="B516" s="839" t="s">
        <v>1227</v>
      </c>
      <c r="C516" s="840" t="s">
        <v>28</v>
      </c>
      <c r="D516" s="839" t="s">
        <v>159</v>
      </c>
      <c r="E516" s="841">
        <v>30</v>
      </c>
      <c r="F516" s="839" t="s">
        <v>1521</v>
      </c>
      <c r="G516" s="839" t="s">
        <v>174</v>
      </c>
    </row>
    <row r="517" spans="1:7" ht="13.5" customHeight="1" x14ac:dyDescent="0.35">
      <c r="A517" s="838">
        <v>44977</v>
      </c>
      <c r="B517" s="839" t="s">
        <v>1522</v>
      </c>
      <c r="C517" s="840" t="s">
        <v>1274</v>
      </c>
      <c r="D517" s="839" t="s">
        <v>160</v>
      </c>
      <c r="E517" s="841">
        <v>50</v>
      </c>
      <c r="F517" s="839" t="s">
        <v>1523</v>
      </c>
      <c r="G517" s="839" t="s">
        <v>175</v>
      </c>
    </row>
    <row r="518" spans="1:7" ht="13.5" customHeight="1" x14ac:dyDescent="0.35">
      <c r="A518" s="838">
        <v>44976</v>
      </c>
      <c r="B518" s="839" t="s">
        <v>1524</v>
      </c>
      <c r="C518" s="840" t="s">
        <v>1274</v>
      </c>
      <c r="D518" s="839" t="s">
        <v>159</v>
      </c>
      <c r="E518" s="841">
        <v>50</v>
      </c>
      <c r="F518" s="839" t="s">
        <v>1523</v>
      </c>
      <c r="G518" s="839" t="s">
        <v>175</v>
      </c>
    </row>
    <row r="519" spans="1:7" ht="13.5" customHeight="1" x14ac:dyDescent="0.35">
      <c r="A519" s="838">
        <v>44973</v>
      </c>
      <c r="B519" s="839" t="s">
        <v>1525</v>
      </c>
      <c r="C519" s="840" t="s">
        <v>1284</v>
      </c>
      <c r="D519" s="839" t="s">
        <v>159</v>
      </c>
      <c r="E519" s="841">
        <v>25</v>
      </c>
      <c r="F519" s="839" t="s">
        <v>753</v>
      </c>
      <c r="G519" s="839" t="s">
        <v>175</v>
      </c>
    </row>
    <row r="520" spans="1:7" ht="13.5" customHeight="1" x14ac:dyDescent="0.35">
      <c r="A520" s="838">
        <v>44972</v>
      </c>
      <c r="B520" s="839" t="s">
        <v>1526</v>
      </c>
      <c r="C520" s="840" t="s">
        <v>1283</v>
      </c>
      <c r="D520" s="839" t="s">
        <v>159</v>
      </c>
      <c r="E520" s="841">
        <v>150</v>
      </c>
      <c r="F520" s="839" t="s">
        <v>1527</v>
      </c>
      <c r="G520" s="839" t="s">
        <v>174</v>
      </c>
    </row>
    <row r="521" spans="1:7" ht="13.5" customHeight="1" x14ac:dyDescent="0.35">
      <c r="A521" s="838">
        <v>44970</v>
      </c>
      <c r="B521" s="839" t="s">
        <v>1528</v>
      </c>
      <c r="C521" s="840" t="s">
        <v>1283</v>
      </c>
      <c r="D521" s="839" t="s">
        <v>159</v>
      </c>
      <c r="E521" s="841">
        <v>150</v>
      </c>
      <c r="F521" s="839" t="s">
        <v>1527</v>
      </c>
      <c r="G521" s="839" t="s">
        <v>174</v>
      </c>
    </row>
    <row r="522" spans="1:7" ht="12.75" customHeight="1" x14ac:dyDescent="0.35">
      <c r="A522" s="838">
        <v>44969</v>
      </c>
      <c r="B522" s="839" t="s">
        <v>1529</v>
      </c>
      <c r="C522" s="840" t="s">
        <v>1284</v>
      </c>
      <c r="D522" s="839" t="s">
        <v>159</v>
      </c>
      <c r="E522" s="841">
        <v>21</v>
      </c>
      <c r="F522" s="839" t="s">
        <v>1381</v>
      </c>
      <c r="G522" s="839" t="s">
        <v>174</v>
      </c>
    </row>
    <row r="523" spans="1:7" ht="12.75" customHeight="1" x14ac:dyDescent="0.35">
      <c r="A523" s="838">
        <v>44970</v>
      </c>
      <c r="B523" s="839" t="s">
        <v>1530</v>
      </c>
      <c r="C523" s="840" t="s">
        <v>28</v>
      </c>
      <c r="D523" s="839" t="s">
        <v>162</v>
      </c>
      <c r="E523" s="841">
        <v>200</v>
      </c>
      <c r="F523" s="839" t="s">
        <v>1311</v>
      </c>
      <c r="G523" s="839" t="s">
        <v>1311</v>
      </c>
    </row>
    <row r="524" spans="1:7" ht="12.75" customHeight="1" x14ac:dyDescent="0.35">
      <c r="A524" s="838">
        <v>44961</v>
      </c>
      <c r="B524" s="839" t="s">
        <v>351</v>
      </c>
      <c r="C524" s="840" t="s">
        <v>1277</v>
      </c>
      <c r="D524" s="839" t="s">
        <v>166</v>
      </c>
      <c r="E524" s="841">
        <v>-475</v>
      </c>
      <c r="F524" s="839" t="s">
        <v>1531</v>
      </c>
      <c r="G524" s="839" t="s">
        <v>175</v>
      </c>
    </row>
    <row r="525" spans="1:7" ht="12.75" customHeight="1" x14ac:dyDescent="0.35">
      <c r="A525" s="838">
        <v>44961</v>
      </c>
      <c r="B525" s="839" t="s">
        <v>351</v>
      </c>
      <c r="C525" s="840" t="s">
        <v>1274</v>
      </c>
      <c r="D525" s="839" t="s">
        <v>166</v>
      </c>
      <c r="E525" s="841">
        <v>65</v>
      </c>
      <c r="F525" s="839" t="s">
        <v>1532</v>
      </c>
      <c r="G525" s="839" t="s">
        <v>175</v>
      </c>
    </row>
    <row r="526" spans="1:7" ht="12.75" customHeight="1" x14ac:dyDescent="0.35">
      <c r="A526" s="838">
        <v>44961</v>
      </c>
      <c r="B526" s="839" t="s">
        <v>351</v>
      </c>
      <c r="C526" s="840" t="s">
        <v>1274</v>
      </c>
      <c r="D526" s="839" t="s">
        <v>166</v>
      </c>
      <c r="E526" s="841">
        <v>125</v>
      </c>
      <c r="F526" s="839" t="s">
        <v>1533</v>
      </c>
      <c r="G526" s="839" t="s">
        <v>175</v>
      </c>
    </row>
    <row r="527" spans="1:7" ht="13.5" customHeight="1" x14ac:dyDescent="0.35">
      <c r="A527" s="838">
        <v>44961</v>
      </c>
      <c r="B527" s="839" t="s">
        <v>351</v>
      </c>
      <c r="C527" s="840" t="s">
        <v>1274</v>
      </c>
      <c r="D527" s="839" t="s">
        <v>166</v>
      </c>
      <c r="E527" s="841">
        <v>35</v>
      </c>
      <c r="F527" s="839" t="s">
        <v>1534</v>
      </c>
      <c r="G527" s="839" t="s">
        <v>175</v>
      </c>
    </row>
    <row r="528" spans="1:7" ht="13.5" customHeight="1" x14ac:dyDescent="0.35">
      <c r="A528" s="838">
        <v>44961</v>
      </c>
      <c r="B528" s="839" t="s">
        <v>351</v>
      </c>
      <c r="C528" s="840" t="s">
        <v>1274</v>
      </c>
      <c r="D528" s="839" t="s">
        <v>166</v>
      </c>
      <c r="E528" s="841">
        <v>125</v>
      </c>
      <c r="F528" s="839" t="s">
        <v>1535</v>
      </c>
      <c r="G528" s="839" t="s">
        <v>175</v>
      </c>
    </row>
    <row r="529" spans="1:7" ht="13.5" customHeight="1" x14ac:dyDescent="0.35">
      <c r="A529" s="838">
        <v>44961</v>
      </c>
      <c r="B529" s="839" t="s">
        <v>351</v>
      </c>
      <c r="C529" s="840" t="s">
        <v>1274</v>
      </c>
      <c r="D529" s="839" t="s">
        <v>166</v>
      </c>
      <c r="E529" s="841">
        <v>75</v>
      </c>
      <c r="F529" s="839" t="s">
        <v>1520</v>
      </c>
      <c r="G529" s="839" t="s">
        <v>175</v>
      </c>
    </row>
    <row r="530" spans="1:7" ht="13.5" customHeight="1" x14ac:dyDescent="0.35">
      <c r="A530" s="838">
        <v>44961</v>
      </c>
      <c r="B530" s="839" t="s">
        <v>351</v>
      </c>
      <c r="C530" s="840" t="s">
        <v>1274</v>
      </c>
      <c r="D530" s="839" t="s">
        <v>166</v>
      </c>
      <c r="E530" s="841">
        <v>50</v>
      </c>
      <c r="F530" s="839" t="s">
        <v>1523</v>
      </c>
      <c r="G530" s="839" t="s">
        <v>175</v>
      </c>
    </row>
    <row r="531" spans="1:7" ht="13.5" customHeight="1" x14ac:dyDescent="0.35">
      <c r="A531" s="838">
        <v>44960</v>
      </c>
      <c r="B531" s="839" t="s">
        <v>351</v>
      </c>
      <c r="C531" s="840" t="s">
        <v>1276</v>
      </c>
      <c r="D531" s="839" t="s">
        <v>162</v>
      </c>
      <c r="E531" s="841">
        <v>1200</v>
      </c>
      <c r="F531" s="839" t="s">
        <v>1477</v>
      </c>
      <c r="G531" s="839" t="s">
        <v>175</v>
      </c>
    </row>
    <row r="532" spans="1:7" ht="13.5" customHeight="1" x14ac:dyDescent="0.35">
      <c r="A532" s="838">
        <v>44960</v>
      </c>
      <c r="B532" s="839" t="s">
        <v>1536</v>
      </c>
      <c r="C532" s="840" t="s">
        <v>1279</v>
      </c>
      <c r="D532" s="839" t="s">
        <v>160</v>
      </c>
      <c r="E532" s="841">
        <v>360</v>
      </c>
      <c r="F532" s="839" t="s">
        <v>1062</v>
      </c>
      <c r="G532" s="839" t="s">
        <v>174</v>
      </c>
    </row>
    <row r="533" spans="1:7" ht="13.5" customHeight="1" x14ac:dyDescent="0.35">
      <c r="A533" s="838">
        <v>44959</v>
      </c>
      <c r="B533" s="839" t="s">
        <v>1537</v>
      </c>
      <c r="C533" s="840" t="s">
        <v>28</v>
      </c>
      <c r="D533" s="839" t="s">
        <v>159</v>
      </c>
      <c r="E533" s="841">
        <v>30</v>
      </c>
      <c r="F533" s="839" t="s">
        <v>1521</v>
      </c>
      <c r="G533" s="839" t="s">
        <v>174</v>
      </c>
    </row>
    <row r="534" spans="1:7" ht="13.5" customHeight="1" x14ac:dyDescent="0.35">
      <c r="A534" s="838">
        <v>44958</v>
      </c>
      <c r="B534" s="839" t="s">
        <v>292</v>
      </c>
      <c r="C534" s="840" t="s">
        <v>1278</v>
      </c>
      <c r="D534" s="839" t="s">
        <v>161</v>
      </c>
      <c r="E534" s="841">
        <v>60</v>
      </c>
      <c r="F534" s="839" t="s">
        <v>292</v>
      </c>
      <c r="G534" s="839" t="s">
        <v>175</v>
      </c>
    </row>
    <row r="535" spans="1:7" ht="13.5" customHeight="1" x14ac:dyDescent="0.35">
      <c r="A535" s="838"/>
      <c r="B535" s="839"/>
      <c r="C535" s="840"/>
      <c r="D535" s="839"/>
      <c r="E535" s="841"/>
      <c r="F535" s="839"/>
      <c r="G535" s="839"/>
    </row>
    <row r="536" spans="1:7" ht="13.5" customHeight="1" x14ac:dyDescent="0.35">
      <c r="A536" s="838">
        <v>44957</v>
      </c>
      <c r="B536" s="839" t="s">
        <v>1538</v>
      </c>
      <c r="C536" s="840" t="s">
        <v>1274</v>
      </c>
      <c r="D536" s="839" t="s">
        <v>159</v>
      </c>
      <c r="E536" s="841">
        <v>125</v>
      </c>
      <c r="F536" s="839" t="s">
        <v>1539</v>
      </c>
      <c r="G536" s="839" t="s">
        <v>174</v>
      </c>
    </row>
    <row r="537" spans="1:7" ht="13.5" customHeight="1" x14ac:dyDescent="0.35">
      <c r="A537" s="838">
        <v>44957</v>
      </c>
      <c r="B537" s="839" t="s">
        <v>1540</v>
      </c>
      <c r="C537" s="840" t="s">
        <v>1279</v>
      </c>
      <c r="D537" s="839" t="s">
        <v>159</v>
      </c>
      <c r="E537" s="841">
        <v>120</v>
      </c>
      <c r="F537" s="839" t="s">
        <v>1092</v>
      </c>
      <c r="G537" s="839" t="s">
        <v>174</v>
      </c>
    </row>
    <row r="538" spans="1:7" ht="13.5" customHeight="1" x14ac:dyDescent="0.35">
      <c r="A538" s="838">
        <v>44956</v>
      </c>
      <c r="B538" s="839" t="s">
        <v>1468</v>
      </c>
      <c r="C538" s="840" t="s">
        <v>28</v>
      </c>
      <c r="D538" s="839" t="s">
        <v>159</v>
      </c>
      <c r="E538" s="841">
        <v>230</v>
      </c>
      <c r="F538" s="839" t="s">
        <v>1541</v>
      </c>
      <c r="G538" s="839" t="s">
        <v>175</v>
      </c>
    </row>
    <row r="539" spans="1:7" ht="13.5" customHeight="1" x14ac:dyDescent="0.35">
      <c r="A539" s="838">
        <v>44955</v>
      </c>
      <c r="B539" s="839" t="s">
        <v>1542</v>
      </c>
      <c r="C539" s="840" t="s">
        <v>1274</v>
      </c>
      <c r="D539" s="839" t="s">
        <v>160</v>
      </c>
      <c r="E539" s="841">
        <v>125</v>
      </c>
      <c r="F539" s="839" t="s">
        <v>230</v>
      </c>
      <c r="G539" s="839" t="s">
        <v>174</v>
      </c>
    </row>
    <row r="540" spans="1:7" ht="13.5" customHeight="1" x14ac:dyDescent="0.35">
      <c r="A540" s="838">
        <v>44951</v>
      </c>
      <c r="B540" s="839" t="s">
        <v>346</v>
      </c>
      <c r="C540" s="840" t="s">
        <v>1274</v>
      </c>
      <c r="D540" s="839" t="s">
        <v>159</v>
      </c>
      <c r="E540" s="841">
        <v>50</v>
      </c>
      <c r="F540" s="839" t="s">
        <v>494</v>
      </c>
      <c r="G540" s="839" t="s">
        <v>175</v>
      </c>
    </row>
    <row r="541" spans="1:7" ht="13.5" customHeight="1" x14ac:dyDescent="0.35">
      <c r="A541" s="838">
        <v>44951</v>
      </c>
      <c r="B541" s="839" t="s">
        <v>290</v>
      </c>
      <c r="C541" s="840" t="s">
        <v>28</v>
      </c>
      <c r="D541" s="839" t="s">
        <v>159</v>
      </c>
      <c r="E541" s="841">
        <v>230</v>
      </c>
      <c r="F541" s="839" t="s">
        <v>1541</v>
      </c>
      <c r="G541" s="839" t="s">
        <v>175</v>
      </c>
    </row>
    <row r="542" spans="1:7" ht="13.5" customHeight="1" x14ac:dyDescent="0.35">
      <c r="A542" s="838">
        <v>44951</v>
      </c>
      <c r="B542" s="839" t="s">
        <v>346</v>
      </c>
      <c r="C542" s="840" t="s">
        <v>1274</v>
      </c>
      <c r="D542" s="839" t="s">
        <v>159</v>
      </c>
      <c r="E542" s="841">
        <v>125</v>
      </c>
      <c r="F542" s="839" t="s">
        <v>230</v>
      </c>
      <c r="G542" s="839" t="s">
        <v>175</v>
      </c>
    </row>
    <row r="543" spans="1:7" ht="13.5" customHeight="1" x14ac:dyDescent="0.35">
      <c r="A543" s="838">
        <v>44950</v>
      </c>
      <c r="B543" s="839" t="s">
        <v>1543</v>
      </c>
      <c r="C543" s="840" t="s">
        <v>1279</v>
      </c>
      <c r="D543" s="839" t="s">
        <v>159</v>
      </c>
      <c r="E543" s="841">
        <v>70</v>
      </c>
      <c r="F543" s="848" t="s">
        <v>941</v>
      </c>
      <c r="G543" s="839" t="s">
        <v>175</v>
      </c>
    </row>
    <row r="544" spans="1:7" ht="13.5" customHeight="1" x14ac:dyDescent="0.35">
      <c r="A544" s="838">
        <v>44949</v>
      </c>
      <c r="B544" s="839" t="s">
        <v>1315</v>
      </c>
      <c r="C544" s="840" t="s">
        <v>1275</v>
      </c>
      <c r="D544" s="839" t="s">
        <v>160</v>
      </c>
      <c r="E544" s="841">
        <v>150</v>
      </c>
      <c r="F544" s="839" t="s">
        <v>1544</v>
      </c>
      <c r="G544" s="839" t="s">
        <v>175</v>
      </c>
    </row>
    <row r="545" spans="1:7" ht="13.5" customHeight="1" x14ac:dyDescent="0.35">
      <c r="A545" s="838">
        <v>44949</v>
      </c>
      <c r="B545" s="839" t="s">
        <v>1545</v>
      </c>
      <c r="C545" s="840" t="s">
        <v>1274</v>
      </c>
      <c r="D545" s="839" t="s">
        <v>159</v>
      </c>
      <c r="E545" s="841">
        <v>125</v>
      </c>
      <c r="F545" s="839" t="s">
        <v>1546</v>
      </c>
      <c r="G545" s="839" t="s">
        <v>174</v>
      </c>
    </row>
    <row r="546" spans="1:7" ht="13.5" customHeight="1" x14ac:dyDescent="0.35">
      <c r="A546" s="838">
        <v>44949</v>
      </c>
      <c r="B546" s="839" t="s">
        <v>1545</v>
      </c>
      <c r="C546" s="840" t="s">
        <v>1274</v>
      </c>
      <c r="D546" s="839" t="s">
        <v>159</v>
      </c>
      <c r="E546" s="841">
        <v>95</v>
      </c>
      <c r="F546" s="839" t="s">
        <v>224</v>
      </c>
      <c r="G546" s="839" t="s">
        <v>174</v>
      </c>
    </row>
    <row r="547" spans="1:7" ht="13.5" customHeight="1" x14ac:dyDescent="0.35">
      <c r="A547" s="838">
        <v>44949</v>
      </c>
      <c r="B547" s="839" t="s">
        <v>1547</v>
      </c>
      <c r="C547" s="840" t="s">
        <v>1275</v>
      </c>
      <c r="D547" s="839" t="s">
        <v>162</v>
      </c>
      <c r="E547" s="841">
        <v>335</v>
      </c>
      <c r="F547" s="839" t="s">
        <v>1548</v>
      </c>
      <c r="G547" s="839" t="s">
        <v>175</v>
      </c>
    </row>
    <row r="548" spans="1:7" ht="13.5" customHeight="1" x14ac:dyDescent="0.35">
      <c r="A548" s="838">
        <v>44945</v>
      </c>
      <c r="B548" s="839" t="s">
        <v>1549</v>
      </c>
      <c r="C548" s="840" t="s">
        <v>1282</v>
      </c>
      <c r="D548" s="839" t="s">
        <v>160</v>
      </c>
      <c r="E548" s="841">
        <v>20.52</v>
      </c>
      <c r="F548" s="839" t="s">
        <v>1550</v>
      </c>
      <c r="G548" s="839" t="s">
        <v>175</v>
      </c>
    </row>
    <row r="549" spans="1:7" ht="13.5" customHeight="1" x14ac:dyDescent="0.35">
      <c r="A549" s="838">
        <v>44944</v>
      </c>
      <c r="B549" s="839" t="s">
        <v>1551</v>
      </c>
      <c r="C549" s="840" t="s">
        <v>1274</v>
      </c>
      <c r="D549" s="839" t="s">
        <v>160</v>
      </c>
      <c r="E549" s="841">
        <v>125</v>
      </c>
      <c r="F549" s="839" t="s">
        <v>230</v>
      </c>
      <c r="G549" s="839" t="s">
        <v>174</v>
      </c>
    </row>
    <row r="550" spans="1:7" ht="13.5" customHeight="1" x14ac:dyDescent="0.35">
      <c r="A550" s="838">
        <v>44944</v>
      </c>
      <c r="B550" s="839" t="s">
        <v>1488</v>
      </c>
      <c r="C550" s="840" t="s">
        <v>28</v>
      </c>
      <c r="D550" s="839" t="s">
        <v>160</v>
      </c>
      <c r="E550" s="841">
        <v>30</v>
      </c>
      <c r="F550" s="839" t="s">
        <v>1236</v>
      </c>
      <c r="G550" s="839" t="s">
        <v>174</v>
      </c>
    </row>
    <row r="551" spans="1:7" ht="13.5" customHeight="1" x14ac:dyDescent="0.35">
      <c r="A551" s="838">
        <v>44943</v>
      </c>
      <c r="B551" s="839" t="s">
        <v>1468</v>
      </c>
      <c r="C551" s="840" t="s">
        <v>28</v>
      </c>
      <c r="D551" s="839" t="s">
        <v>159</v>
      </c>
      <c r="E551" s="841">
        <v>30</v>
      </c>
      <c r="F551" s="839" t="s">
        <v>1236</v>
      </c>
      <c r="G551" s="839" t="s">
        <v>174</v>
      </c>
    </row>
    <row r="552" spans="1:7" ht="13.5" customHeight="1" x14ac:dyDescent="0.35">
      <c r="A552" s="838">
        <v>44943</v>
      </c>
      <c r="B552" s="839" t="s">
        <v>1552</v>
      </c>
      <c r="C552" s="840" t="s">
        <v>1284</v>
      </c>
      <c r="D552" s="839" t="s">
        <v>160</v>
      </c>
      <c r="E552" s="841">
        <v>21</v>
      </c>
      <c r="F552" s="839" t="s">
        <v>1381</v>
      </c>
      <c r="G552" s="839" t="s">
        <v>174</v>
      </c>
    </row>
    <row r="553" spans="1:7" ht="13.5" customHeight="1" x14ac:dyDescent="0.35">
      <c r="A553" s="838">
        <v>44942</v>
      </c>
      <c r="B553" s="839" t="s">
        <v>1553</v>
      </c>
      <c r="C553" s="840" t="s">
        <v>1275</v>
      </c>
      <c r="D553" s="839" t="s">
        <v>159</v>
      </c>
      <c r="E553" s="841">
        <v>475</v>
      </c>
      <c r="F553" s="839" t="s">
        <v>249</v>
      </c>
      <c r="G553" s="839" t="s">
        <v>174</v>
      </c>
    </row>
    <row r="554" spans="1:7" ht="13.5" customHeight="1" x14ac:dyDescent="0.35">
      <c r="A554" s="838">
        <v>44941</v>
      </c>
      <c r="B554" s="839" t="s">
        <v>1554</v>
      </c>
      <c r="C554" s="840" t="s">
        <v>1284</v>
      </c>
      <c r="D554" s="839" t="s">
        <v>159</v>
      </c>
      <c r="E554" s="841">
        <v>21</v>
      </c>
      <c r="F554" s="839" t="s">
        <v>1381</v>
      </c>
      <c r="G554" s="839" t="s">
        <v>174</v>
      </c>
    </row>
    <row r="555" spans="1:7" ht="13.5" customHeight="1" x14ac:dyDescent="0.35">
      <c r="A555" s="838">
        <v>44940</v>
      </c>
      <c r="B555" s="839" t="s">
        <v>1555</v>
      </c>
      <c r="C555" s="840" t="s">
        <v>1275</v>
      </c>
      <c r="D555" s="839" t="s">
        <v>159</v>
      </c>
      <c r="E555" s="841">
        <v>475</v>
      </c>
      <c r="F555" s="839" t="s">
        <v>249</v>
      </c>
      <c r="G555" s="839" t="s">
        <v>175</v>
      </c>
    </row>
    <row r="556" spans="1:7" ht="13.5" customHeight="1" x14ac:dyDescent="0.35">
      <c r="A556" s="838">
        <v>44938</v>
      </c>
      <c r="B556" s="839" t="s">
        <v>1315</v>
      </c>
      <c r="C556" s="840" t="s">
        <v>1275</v>
      </c>
      <c r="D556" s="839" t="s">
        <v>159</v>
      </c>
      <c r="E556" s="841">
        <v>875</v>
      </c>
      <c r="F556" s="839" t="s">
        <v>1556</v>
      </c>
      <c r="G556" s="839" t="s">
        <v>174</v>
      </c>
    </row>
    <row r="557" spans="1:7" ht="13.5" customHeight="1" x14ac:dyDescent="0.35">
      <c r="A557" s="838">
        <v>44937</v>
      </c>
      <c r="B557" s="839" t="s">
        <v>290</v>
      </c>
      <c r="C557" s="840" t="s">
        <v>28</v>
      </c>
      <c r="D557" s="839" t="s">
        <v>159</v>
      </c>
      <c r="E557" s="841">
        <v>30</v>
      </c>
      <c r="F557" s="839" t="s">
        <v>1236</v>
      </c>
      <c r="G557" s="839" t="s">
        <v>174</v>
      </c>
    </row>
    <row r="558" spans="1:7" ht="13.5" customHeight="1" x14ac:dyDescent="0.35">
      <c r="A558" s="838">
        <v>44936</v>
      </c>
      <c r="B558" s="839" t="s">
        <v>351</v>
      </c>
      <c r="C558" s="840" t="s">
        <v>28</v>
      </c>
      <c r="D558" s="839" t="s">
        <v>159</v>
      </c>
      <c r="E558" s="841">
        <v>250</v>
      </c>
      <c r="F558" s="839" t="s">
        <v>1557</v>
      </c>
      <c r="G558" s="839" t="s">
        <v>175</v>
      </c>
    </row>
    <row r="559" spans="1:7" ht="13.5" customHeight="1" x14ac:dyDescent="0.35">
      <c r="A559" s="838">
        <v>44936</v>
      </c>
      <c r="B559" s="839" t="s">
        <v>1558</v>
      </c>
      <c r="C559" s="840" t="s">
        <v>28</v>
      </c>
      <c r="D559" s="839" t="s">
        <v>159</v>
      </c>
      <c r="E559" s="841">
        <v>230</v>
      </c>
      <c r="F559" s="839" t="s">
        <v>1541</v>
      </c>
      <c r="G559" s="839" t="s">
        <v>175</v>
      </c>
    </row>
    <row r="560" spans="1:7" ht="13.5" customHeight="1" x14ac:dyDescent="0.35">
      <c r="A560" s="838">
        <v>44932</v>
      </c>
      <c r="B560" s="839" t="s">
        <v>1559</v>
      </c>
      <c r="C560" s="840" t="s">
        <v>1278</v>
      </c>
      <c r="D560" s="839" t="s">
        <v>159</v>
      </c>
      <c r="E560" s="841">
        <v>20</v>
      </c>
      <c r="F560" s="839" t="s">
        <v>293</v>
      </c>
      <c r="G560" s="839" t="s">
        <v>174</v>
      </c>
    </row>
    <row r="561" spans="1:7" ht="13.5" customHeight="1" x14ac:dyDescent="0.35">
      <c r="A561" s="838">
        <v>44932</v>
      </c>
      <c r="B561" s="839" t="s">
        <v>1560</v>
      </c>
      <c r="C561" s="840" t="s">
        <v>1282</v>
      </c>
      <c r="D561" s="839" t="s">
        <v>162</v>
      </c>
      <c r="E561" s="841">
        <v>149.46</v>
      </c>
      <c r="F561" s="839" t="s">
        <v>1561</v>
      </c>
      <c r="G561" s="839" t="s">
        <v>175</v>
      </c>
    </row>
    <row r="562" spans="1:7" ht="13.5" customHeight="1" x14ac:dyDescent="0.35">
      <c r="A562" s="838">
        <v>44931</v>
      </c>
      <c r="B562" s="839" t="s">
        <v>1562</v>
      </c>
      <c r="C562" s="840" t="s">
        <v>1283</v>
      </c>
      <c r="D562" s="839" t="s">
        <v>159</v>
      </c>
      <c r="E562" s="841">
        <v>150</v>
      </c>
      <c r="F562" s="839" t="s">
        <v>1563</v>
      </c>
      <c r="G562" s="839" t="s">
        <v>174</v>
      </c>
    </row>
    <row r="563" spans="1:7" ht="13.5" customHeight="1" x14ac:dyDescent="0.35">
      <c r="A563" s="838">
        <v>44930</v>
      </c>
      <c r="B563" s="839" t="s">
        <v>1564</v>
      </c>
      <c r="C563" s="840" t="s">
        <v>1283</v>
      </c>
      <c r="D563" s="839" t="s">
        <v>164</v>
      </c>
      <c r="E563" s="841">
        <v>150</v>
      </c>
      <c r="F563" s="839" t="s">
        <v>1565</v>
      </c>
      <c r="G563" s="839" t="s">
        <v>175</v>
      </c>
    </row>
    <row r="564" spans="1:7" ht="13.5" customHeight="1" x14ac:dyDescent="0.35">
      <c r="A564" s="838">
        <v>44930</v>
      </c>
      <c r="B564" s="839" t="s">
        <v>1566</v>
      </c>
      <c r="C564" s="840" t="s">
        <v>28</v>
      </c>
      <c r="D564" s="839" t="s">
        <v>159</v>
      </c>
      <c r="E564" s="841">
        <v>250</v>
      </c>
      <c r="F564" s="839" t="s">
        <v>1180</v>
      </c>
      <c r="G564" s="839" t="s">
        <v>174</v>
      </c>
    </row>
    <row r="565" spans="1:7" ht="13.5" customHeight="1" x14ac:dyDescent="0.35">
      <c r="A565" s="838">
        <v>44929</v>
      </c>
      <c r="B565" s="839" t="s">
        <v>1567</v>
      </c>
      <c r="C565" s="840" t="s">
        <v>28</v>
      </c>
      <c r="D565" s="839" t="s">
        <v>160</v>
      </c>
      <c r="E565" s="841">
        <v>212.5</v>
      </c>
      <c r="F565" s="839" t="s">
        <v>1267</v>
      </c>
      <c r="G565" s="839" t="s">
        <v>175</v>
      </c>
    </row>
    <row r="566" spans="1:7" ht="13.5" customHeight="1" x14ac:dyDescent="0.35">
      <c r="A566" s="838">
        <v>44927</v>
      </c>
      <c r="B566" s="839" t="s">
        <v>292</v>
      </c>
      <c r="C566" s="840" t="s">
        <v>1278</v>
      </c>
      <c r="D566" s="839" t="s">
        <v>161</v>
      </c>
      <c r="E566" s="841">
        <v>60</v>
      </c>
      <c r="F566" s="839" t="s">
        <v>292</v>
      </c>
      <c r="G566" s="839" t="s">
        <v>175</v>
      </c>
    </row>
  </sheetData>
  <conditionalFormatting sqref="E2:E23 E31 E34:E44 E47:E50 E57 E60:E66 E69:E72 E83:E87 E89 E93:E162 E164:E203 E207:E229 E232:E263 E267:E286 E289:E321 E324:E353 E356:E388 E392:E427 E431:E451 E454:E489 E492:E509 E511:E533 E535:E552 E554 E567:E1048576 N26:N27 P26:V27 V155:V647 V649:V921 X6:X26 X40:X45 X108 X117:X127 X140 X145 X154 Y24:Y25">
    <cfRule type="cellIs" dxfId="3439" priority="331" operator="lessThan">
      <formula>0</formula>
    </cfRule>
  </conditionalFormatting>
  <conditionalFormatting sqref="X38">
    <cfRule type="cellIs" dxfId="3438" priority="330" operator="lessThan">
      <formula>0</formula>
    </cfRule>
  </conditionalFormatting>
  <conditionalFormatting sqref="X6:X18">
    <cfRule type="cellIs" dxfId="3437" priority="229" operator="lessThan">
      <formula>0</formula>
    </cfRule>
    <cfRule type="cellIs" dxfId="3436" priority="230" operator="lessThan">
      <formula>0</formula>
    </cfRule>
    <cfRule type="cellIs" dxfId="3435" priority="231" operator="lessThan">
      <formula>0</formula>
    </cfRule>
    <cfRule type="cellIs" dxfId="3434" priority="232" operator="lessThan">
      <formula>0</formula>
    </cfRule>
    <cfRule type="cellIs" dxfId="3433" priority="233" operator="lessThan">
      <formula>0</formula>
    </cfRule>
    <cfRule type="cellIs" dxfId="3432" priority="234" operator="lessThan">
      <formula>0</formula>
    </cfRule>
    <cfRule type="cellIs" dxfId="3431" priority="235" operator="lessThan">
      <formula>0</formula>
    </cfRule>
    <cfRule type="cellIs" dxfId="3430" priority="236" operator="lessThan">
      <formula>0</formula>
    </cfRule>
    <cfRule type="cellIs" dxfId="3429" priority="237" operator="lessThan">
      <formula>0</formula>
    </cfRule>
    <cfRule type="cellIs" dxfId="3428" priority="238" operator="lessThan">
      <formula>0</formula>
    </cfRule>
    <cfRule type="cellIs" dxfId="3427" priority="239" operator="lessThan">
      <formula>0</formula>
    </cfRule>
    <cfRule type="cellIs" dxfId="3426" priority="240" operator="lessThan">
      <formula>0</formula>
    </cfRule>
    <cfRule type="cellIs" dxfId="3425" priority="241" operator="lessThan">
      <formula>0</formula>
    </cfRule>
    <cfRule type="cellIs" dxfId="3424" priority="242" operator="lessThan">
      <formula>0</formula>
    </cfRule>
    <cfRule type="cellIs" dxfId="3423" priority="243" operator="lessThan">
      <formula>0</formula>
    </cfRule>
    <cfRule type="cellIs" dxfId="3422" priority="244" operator="lessThan">
      <formula>0</formula>
    </cfRule>
    <cfRule type="cellIs" dxfId="3421" priority="245" operator="lessThan">
      <formula>0</formula>
    </cfRule>
    <cfRule type="cellIs" dxfId="3420" priority="246" operator="lessThan">
      <formula>0</formula>
    </cfRule>
    <cfRule type="cellIs" dxfId="3419" priority="303" operator="lessThan">
      <formula>0</formula>
    </cfRule>
    <cfRule type="cellIs" dxfId="3418" priority="304" operator="lessThan">
      <formula>0</formula>
    </cfRule>
    <cfRule type="cellIs" dxfId="3417" priority="307" operator="lessThan">
      <formula>0</formula>
    </cfRule>
    <cfRule type="cellIs" dxfId="3416" priority="313" operator="lessThan">
      <formula>0</formula>
    </cfRule>
    <cfRule type="cellIs" dxfId="3415" priority="314" operator="lessThan">
      <formula>0</formula>
    </cfRule>
    <cfRule type="cellIs" dxfId="3414" priority="315" operator="lessThan">
      <formula>0</formula>
    </cfRule>
    <cfRule type="cellIs" dxfId="3413" priority="316" operator="lessThan">
      <formula>0</formula>
    </cfRule>
    <cfRule type="cellIs" dxfId="3412" priority="319" operator="lessThan">
      <formula>0</formula>
    </cfRule>
    <cfRule type="cellIs" dxfId="3411" priority="326" operator="lessThan">
      <formula>0</formula>
    </cfRule>
    <cfRule type="cellIs" dxfId="3410" priority="328" operator="lessThan">
      <formula>0</formula>
    </cfRule>
  </conditionalFormatting>
  <conditionalFormatting sqref="X39">
    <cfRule type="cellIs" dxfId="3409" priority="329" operator="lessThan">
      <formula>0</formula>
    </cfRule>
  </conditionalFormatting>
  <conditionalFormatting sqref="X6:X26 Y24:Y25">
    <cfRule type="cellIs" dxfId="3408" priority="327" operator="greaterThan">
      <formula>0</formula>
    </cfRule>
  </conditionalFormatting>
  <conditionalFormatting sqref="J43">
    <cfRule type="cellIs" dxfId="3407" priority="324" operator="greaterThan">
      <formula>0</formula>
    </cfRule>
    <cfRule type="cellIs" dxfId="3406" priority="325" operator="lessThan">
      <formula>0</formula>
    </cfRule>
  </conditionalFormatting>
  <conditionalFormatting sqref="Y6">
    <cfRule type="cellIs" dxfId="3405" priority="322" operator="greaterThan">
      <formula>0</formula>
    </cfRule>
    <cfRule type="cellIs" dxfId="3404" priority="323" operator="lessThan">
      <formula>0</formula>
    </cfRule>
  </conditionalFormatting>
  <conditionalFormatting sqref="Z6">
    <cfRule type="cellIs" dxfId="3403" priority="320" operator="greaterThan">
      <formula>0</formula>
    </cfRule>
    <cfRule type="cellIs" dxfId="3402" priority="321" operator="lessThan">
      <formula>0</formula>
    </cfRule>
  </conditionalFormatting>
  <conditionalFormatting sqref="AB6:AB18">
    <cfRule type="cellIs" dxfId="3401" priority="317" operator="lessThan">
      <formula>0</formula>
    </cfRule>
    <cfRule type="cellIs" dxfId="3400" priority="318" operator="greaterThan">
      <formula>0</formula>
    </cfRule>
  </conditionalFormatting>
  <conditionalFormatting sqref="W19">
    <cfRule type="cellIs" dxfId="3399" priority="310" operator="greaterThan">
      <formula>0.8</formula>
    </cfRule>
    <cfRule type="cellIs" dxfId="3398" priority="311" operator="between">
      <formula>0.51</formula>
      <formula>0.8</formula>
    </cfRule>
    <cfRule type="cellIs" dxfId="3397" priority="312" operator="lessThan">
      <formula>0.5</formula>
    </cfRule>
  </conditionalFormatting>
  <conditionalFormatting sqref="X129">
    <cfRule type="cellIs" dxfId="3396" priority="309" operator="lessThan">
      <formula>0</formula>
    </cfRule>
  </conditionalFormatting>
  <conditionalFormatting sqref="X142:X144">
    <cfRule type="cellIs" dxfId="3395" priority="308" operator="lessThan">
      <formula>0</formula>
    </cfRule>
  </conditionalFormatting>
  <conditionalFormatting sqref="Y35">
    <cfRule type="cellIs" dxfId="3394" priority="305" operator="greaterThan">
      <formula>0</formula>
    </cfRule>
    <cfRule type="cellIs" dxfId="3393" priority="306" operator="lessThan">
      <formula>0</formula>
    </cfRule>
  </conditionalFormatting>
  <conditionalFormatting sqref="X35">
    <cfRule type="cellIs" dxfId="3392" priority="296" operator="lessThan">
      <formula>0</formula>
    </cfRule>
    <cfRule type="cellIs" dxfId="3391" priority="297" operator="lessThan">
      <formula>0</formula>
    </cfRule>
    <cfRule type="cellIs" dxfId="3390" priority="298" operator="lessThan">
      <formula>0</formula>
    </cfRule>
    <cfRule type="cellIs" dxfId="3389" priority="299" operator="lessThan">
      <formula>0</formula>
    </cfRule>
    <cfRule type="cellIs" dxfId="3388" priority="300" operator="lessThan">
      <formula>0</formula>
    </cfRule>
    <cfRule type="cellIs" dxfId="3387" priority="301" operator="greaterThan">
      <formula>0</formula>
    </cfRule>
    <cfRule type="cellIs" dxfId="3386" priority="302" operator="lessThan">
      <formula>0</formula>
    </cfRule>
  </conditionalFormatting>
  <conditionalFormatting sqref="Z104:Z105">
    <cfRule type="cellIs" dxfId="3385" priority="294" operator="lessThan">
      <formula>0</formula>
    </cfRule>
    <cfRule type="cellIs" dxfId="3384" priority="295" operator="greaterThan">
      <formula>0</formula>
    </cfRule>
  </conditionalFormatting>
  <conditionalFormatting sqref="X147:X148">
    <cfRule type="cellIs" dxfId="3383" priority="293" operator="lessThan">
      <formula>0</formula>
    </cfRule>
  </conditionalFormatting>
  <conditionalFormatting sqref="X149:X150">
    <cfRule type="cellIs" dxfId="3382" priority="292" operator="lessThan">
      <formula>0</formula>
    </cfRule>
  </conditionalFormatting>
  <conditionalFormatting sqref="X152:X153">
    <cfRule type="cellIs" dxfId="3381" priority="291" operator="lessThan">
      <formula>0</formula>
    </cfRule>
  </conditionalFormatting>
  <conditionalFormatting sqref="X32:X34">
    <cfRule type="cellIs" dxfId="3380" priority="284" operator="lessThan">
      <formula>0</formula>
    </cfRule>
    <cfRule type="cellIs" dxfId="3379" priority="285" operator="lessThan">
      <formula>0</formula>
    </cfRule>
    <cfRule type="cellIs" dxfId="3378" priority="286" operator="lessThan">
      <formula>0</formula>
    </cfRule>
    <cfRule type="cellIs" dxfId="3377" priority="287" operator="lessThan">
      <formula>0</formula>
    </cfRule>
    <cfRule type="cellIs" dxfId="3376" priority="288" operator="lessThan">
      <formula>0</formula>
    </cfRule>
    <cfRule type="cellIs" dxfId="3375" priority="289" operator="greaterThan">
      <formula>0</formula>
    </cfRule>
    <cfRule type="cellIs" dxfId="3374" priority="290" operator="lessThan">
      <formula>0</formula>
    </cfRule>
  </conditionalFormatting>
  <conditionalFormatting sqref="Y32:Y34">
    <cfRule type="cellIs" dxfId="3373" priority="282" operator="greaterThan">
      <formula>0</formula>
    </cfRule>
    <cfRule type="cellIs" dxfId="3372" priority="283" operator="lessThan">
      <formula>0</formula>
    </cfRule>
  </conditionalFormatting>
  <conditionalFormatting sqref="K47:V58">
    <cfRule type="cellIs" dxfId="3371" priority="271" operator="lessThan">
      <formula>0</formula>
    </cfRule>
    <cfRule type="cellIs" dxfId="3370" priority="272" operator="greaterThan">
      <formula>0.1</formula>
    </cfRule>
  </conditionalFormatting>
  <conditionalFormatting sqref="K59">
    <cfRule type="cellIs" dxfId="3369" priority="269" operator="lessThan">
      <formula>0</formula>
    </cfRule>
    <cfRule type="cellIs" dxfId="3368" priority="270" operator="greaterThan">
      <formula>0.1</formula>
    </cfRule>
  </conditionalFormatting>
  <conditionalFormatting sqref="W47">
    <cfRule type="cellIs" dxfId="3367" priority="267" operator="lessThan">
      <formula>0</formula>
    </cfRule>
    <cfRule type="cellIs" dxfId="3366" priority="268" operator="greaterThan">
      <formula>0.1</formula>
    </cfRule>
  </conditionalFormatting>
  <conditionalFormatting sqref="E567:E585">
    <cfRule type="cellIs" dxfId="3365" priority="266" operator="lessThan">
      <formula>0</formula>
    </cfRule>
  </conditionalFormatting>
  <conditionalFormatting sqref="L47:V50 L52:V54 L56:V58">
    <cfRule type="cellIs" dxfId="3364" priority="264" operator="lessThan">
      <formula>0</formula>
    </cfRule>
    <cfRule type="cellIs" dxfId="3363" priority="265" operator="greaterThan">
      <formula>0.1</formula>
    </cfRule>
  </conditionalFormatting>
  <conditionalFormatting sqref="K51:V51">
    <cfRule type="cellIs" dxfId="3362" priority="260" operator="lessThan">
      <formula>0</formula>
    </cfRule>
    <cfRule type="cellIs" dxfId="3361" priority="261" operator="greaterThan">
      <formula>0.1</formula>
    </cfRule>
    <cfRule type="cellIs" dxfId="3360" priority="262" operator="lessThan">
      <formula>0</formula>
    </cfRule>
    <cfRule type="cellIs" dxfId="3359" priority="263" operator="greaterThan">
      <formula>0.1</formula>
    </cfRule>
  </conditionalFormatting>
  <conditionalFormatting sqref="L51:V51">
    <cfRule type="cellIs" dxfId="3358" priority="256" operator="lessThan">
      <formula>0</formula>
    </cfRule>
    <cfRule type="cellIs" dxfId="3357" priority="257" operator="greaterThan">
      <formula>0.1</formula>
    </cfRule>
    <cfRule type="cellIs" dxfId="3356" priority="258" operator="lessThan">
      <formula>0</formula>
    </cfRule>
    <cfRule type="cellIs" dxfId="3355" priority="259" operator="greaterThan">
      <formula>0.1</formula>
    </cfRule>
  </conditionalFormatting>
  <conditionalFormatting sqref="L59:W59">
    <cfRule type="cellIs" dxfId="3354" priority="254" operator="lessThan">
      <formula>0</formula>
    </cfRule>
    <cfRule type="cellIs" dxfId="3353" priority="255" operator="greaterThan">
      <formula>0.1</formula>
    </cfRule>
  </conditionalFormatting>
  <conditionalFormatting sqref="Z37">
    <cfRule type="cellIs" dxfId="3352" priority="225" operator="greaterThan">
      <formula>0</formula>
    </cfRule>
    <cfRule type="cellIs" dxfId="3351" priority="226" operator="lessThan">
      <formula>0</formula>
    </cfRule>
  </conditionalFormatting>
  <conditionalFormatting sqref="X31">
    <cfRule type="cellIs" dxfId="3350" priority="207" operator="lessThan">
      <formula>0</formula>
    </cfRule>
    <cfRule type="cellIs" dxfId="3349" priority="208" operator="lessThan">
      <formula>0</formula>
    </cfRule>
    <cfRule type="cellIs" dxfId="3348" priority="209" operator="lessThan">
      <formula>0</formula>
    </cfRule>
    <cfRule type="cellIs" dxfId="3347" priority="210" operator="lessThan">
      <formula>0</formula>
    </cfRule>
    <cfRule type="cellIs" dxfId="3346" priority="211" operator="lessThan">
      <formula>0</formula>
    </cfRule>
    <cfRule type="cellIs" dxfId="3345" priority="212" operator="greaterThan">
      <formula>0</formula>
    </cfRule>
    <cfRule type="cellIs" dxfId="3344" priority="213" operator="lessThan">
      <formula>0</formula>
    </cfRule>
  </conditionalFormatting>
  <conditionalFormatting sqref="Z7:Z18">
    <cfRule type="cellIs" dxfId="3343" priority="201" operator="greaterThan">
      <formula>0</formula>
    </cfRule>
    <cfRule type="cellIs" dxfId="3342" priority="202" operator="lessThan">
      <formula>0</formula>
    </cfRule>
  </conditionalFormatting>
  <conditionalFormatting sqref="K19:V19 K20:W20">
    <cfRule type="cellIs" dxfId="3341" priority="222" operator="greaterThan">
      <formula>0.81</formula>
    </cfRule>
    <cfRule type="cellIs" dxfId="3340" priority="223" operator="between">
      <formula>0.301</formula>
      <formula>0.8</formula>
    </cfRule>
    <cfRule type="cellIs" dxfId="3339" priority="224" operator="lessThan">
      <formula>0.3</formula>
    </cfRule>
  </conditionalFormatting>
  <conditionalFormatting sqref="K24:W24">
    <cfRule type="cellIs" dxfId="3338" priority="220" operator="lessThan">
      <formula>0</formula>
    </cfRule>
    <cfRule type="cellIs" dxfId="3337" priority="221" operator="greaterThan">
      <formula>0.0001</formula>
    </cfRule>
  </conditionalFormatting>
  <conditionalFormatting sqref="Q19">
    <cfRule type="cellIs" dxfId="3336" priority="217" operator="greaterThan">
      <formula>0.75</formula>
    </cfRule>
    <cfRule type="cellIs" dxfId="3335" priority="218" operator="between">
      <formula>0.301</formula>
      <formula>0.7499</formula>
    </cfRule>
    <cfRule type="cellIs" dxfId="3334" priority="219" operator="lessThan">
      <formula>0.3</formula>
    </cfRule>
  </conditionalFormatting>
  <conditionalFormatting sqref="Y37">
    <cfRule type="cellIs" dxfId="3333" priority="215" operator="lessThan">
      <formula>0</formula>
    </cfRule>
    <cfRule type="cellIs" dxfId="3332" priority="216" operator="greaterThan">
      <formula>0</formula>
    </cfRule>
  </conditionalFormatting>
  <conditionalFormatting sqref="X30">
    <cfRule type="cellIs" dxfId="3331" priority="187" operator="lessThan">
      <formula>0</formula>
    </cfRule>
    <cfRule type="cellIs" dxfId="3330" priority="188" operator="lessThan">
      <formula>0</formula>
    </cfRule>
    <cfRule type="cellIs" dxfId="3329" priority="189" operator="lessThan">
      <formula>0</formula>
    </cfRule>
    <cfRule type="cellIs" dxfId="3328" priority="190" operator="lessThan">
      <formula>0</formula>
    </cfRule>
    <cfRule type="cellIs" dxfId="3327" priority="191" operator="lessThan">
      <formula>0</formula>
    </cfRule>
    <cfRule type="cellIs" dxfId="3326" priority="192" operator="greaterThan">
      <formula>0</formula>
    </cfRule>
    <cfRule type="cellIs" dxfId="3325" priority="193" operator="lessThan">
      <formula>0</formula>
    </cfRule>
  </conditionalFormatting>
  <conditionalFormatting sqref="X130:X139">
    <cfRule type="cellIs" dxfId="3324" priority="214" operator="lessThan">
      <formula>0</formula>
    </cfRule>
  </conditionalFormatting>
  <conditionalFormatting sqref="Y31">
    <cfRule type="cellIs" dxfId="3323" priority="205" operator="greaterThan">
      <formula>0</formula>
    </cfRule>
    <cfRule type="cellIs" dxfId="3322" priority="206" operator="lessThan">
      <formula>0</formula>
    </cfRule>
  </conditionalFormatting>
  <conditionalFormatting sqref="X109:X116">
    <cfRule type="cellIs" dxfId="3321" priority="204" operator="lessThan">
      <formula>0</formula>
    </cfRule>
  </conditionalFormatting>
  <conditionalFormatting sqref="K6:V18">
    <cfRule type="cellIs" dxfId="3320" priority="203" operator="lessThan">
      <formula>0</formula>
    </cfRule>
  </conditionalFormatting>
  <conditionalFormatting sqref="K27:V36">
    <cfRule type="aboveAverage" dxfId="3319" priority="137"/>
    <cfRule type="aboveAverage" dxfId="3318" priority="138"/>
    <cfRule type="aboveAverage" dxfId="3317" priority="194"/>
    <cfRule type="aboveAverage" dxfId="3316" priority="200"/>
  </conditionalFormatting>
  <conditionalFormatting sqref="E80">
    <cfRule type="cellIs" dxfId="3315" priority="198" operator="lessThan">
      <formula>0</formula>
    </cfRule>
  </conditionalFormatting>
  <conditionalFormatting sqref="X47:X59">
    <cfRule type="cellIs" dxfId="3314" priority="195" operator="greaterThan">
      <formula>0</formula>
    </cfRule>
    <cfRule type="cellIs" dxfId="3313" priority="196" operator="greaterThan">
      <formula>0</formula>
    </cfRule>
    <cfRule type="cellIs" dxfId="3312" priority="197" operator="lessThan">
      <formula>0</formula>
    </cfRule>
  </conditionalFormatting>
  <conditionalFormatting sqref="Y30">
    <cfRule type="cellIs" dxfId="3311" priority="185" operator="greaterThan">
      <formula>0</formula>
    </cfRule>
    <cfRule type="cellIs" dxfId="3310" priority="186" operator="lessThan">
      <formula>0</formula>
    </cfRule>
  </conditionalFormatting>
  <conditionalFormatting sqref="L148:V148">
    <cfRule type="cellIs" dxfId="3309" priority="180" operator="lessThan">
      <formula>0</formula>
    </cfRule>
  </conditionalFormatting>
  <conditionalFormatting sqref="K55:V55">
    <cfRule type="cellIs" dxfId="3308" priority="183" operator="lessThan">
      <formula>0</formula>
    </cfRule>
    <cfRule type="cellIs" dxfId="3307" priority="184" operator="greaterThan">
      <formula>0.1</formula>
    </cfRule>
  </conditionalFormatting>
  <conditionalFormatting sqref="K62:K73">
    <cfRule type="cellIs" dxfId="3306" priority="182" operator="lessThan">
      <formula>0</formula>
    </cfRule>
  </conditionalFormatting>
  <conditionalFormatting sqref="L62:V62">
    <cfRule type="cellIs" dxfId="3305" priority="181" operator="lessThan">
      <formula>0</formula>
    </cfRule>
  </conditionalFormatting>
  <conditionalFormatting sqref="Y19:Y23">
    <cfRule type="cellIs" dxfId="3304" priority="177" operator="greaterThan">
      <formula>0</formula>
    </cfRule>
    <cfRule type="cellIs" dxfId="3303" priority="178" operator="lessThan">
      <formula>0</formula>
    </cfRule>
  </conditionalFormatting>
  <conditionalFormatting sqref="X29">
    <cfRule type="cellIs" dxfId="3302" priority="165" operator="lessThan">
      <formula>0</formula>
    </cfRule>
    <cfRule type="cellIs" dxfId="3301" priority="166" operator="lessThan">
      <formula>0</formula>
    </cfRule>
    <cfRule type="cellIs" dxfId="3300" priority="167" operator="lessThan">
      <formula>0</formula>
    </cfRule>
    <cfRule type="cellIs" dxfId="3299" priority="168" operator="lessThan">
      <formula>0</formula>
    </cfRule>
    <cfRule type="cellIs" dxfId="3298" priority="169" operator="lessThan">
      <formula>0</formula>
    </cfRule>
    <cfRule type="cellIs" dxfId="3297" priority="170" operator="greaterThan">
      <formula>0</formula>
    </cfRule>
    <cfRule type="cellIs" dxfId="3296" priority="171" operator="lessThan">
      <formula>0</formula>
    </cfRule>
  </conditionalFormatting>
  <conditionalFormatting sqref="Y7:Y18">
    <cfRule type="cellIs" dxfId="3295" priority="174" operator="greaterThan">
      <formula>0</formula>
    </cfRule>
    <cfRule type="cellIs" dxfId="3294" priority="175" operator="lessThan">
      <formula>0</formula>
    </cfRule>
  </conditionalFormatting>
  <conditionalFormatting sqref="W48:W58">
    <cfRule type="cellIs" dxfId="3293" priority="172" operator="lessThan">
      <formula>0</formula>
    </cfRule>
    <cfRule type="cellIs" dxfId="3292" priority="173" operator="greaterThan">
      <formula>0.1</formula>
    </cfRule>
  </conditionalFormatting>
  <conditionalFormatting sqref="Y29">
    <cfRule type="cellIs" dxfId="3291" priority="163" operator="greaterThan">
      <formula>0</formula>
    </cfRule>
    <cfRule type="cellIs" dxfId="3290" priority="164" operator="lessThan">
      <formula>0</formula>
    </cfRule>
  </conditionalFormatting>
  <conditionalFormatting sqref="K108:K116">
    <cfRule type="cellIs" dxfId="3289" priority="162" operator="lessThan">
      <formula>0</formula>
    </cfRule>
  </conditionalFormatting>
  <conditionalFormatting sqref="L108:V108">
    <cfRule type="cellIs" dxfId="3288" priority="161" operator="lessThan">
      <formula>0</formula>
    </cfRule>
  </conditionalFormatting>
  <conditionalFormatting sqref="K129:K138">
    <cfRule type="cellIs" dxfId="3287" priority="160" operator="lessThan">
      <formula>0</formula>
    </cfRule>
  </conditionalFormatting>
  <conditionalFormatting sqref="L129:V129">
    <cfRule type="cellIs" dxfId="3286" priority="159" operator="lessThan">
      <formula>0</formula>
    </cfRule>
  </conditionalFormatting>
  <conditionalFormatting sqref="E53">
    <cfRule type="cellIs" dxfId="3285" priority="158" operator="lessThan">
      <formula>0</formula>
    </cfRule>
  </conditionalFormatting>
  <conditionalFormatting sqref="E32">
    <cfRule type="cellIs" dxfId="3284" priority="157" operator="lessThan">
      <formula>0</formula>
    </cfRule>
  </conditionalFormatting>
  <conditionalFormatting sqref="E52">
    <cfRule type="cellIs" dxfId="3283" priority="156" operator="lessThan">
      <formula>0</formula>
    </cfRule>
  </conditionalFormatting>
  <conditionalFormatting sqref="E51">
    <cfRule type="cellIs" dxfId="3282" priority="155" operator="lessThan">
      <formula>0</formula>
    </cfRule>
  </conditionalFormatting>
  <conditionalFormatting sqref="S28">
    <cfRule type="aboveAverage" dxfId="3281" priority="148"/>
    <cfRule type="aboveAverage" dxfId="3280" priority="149"/>
  </conditionalFormatting>
  <conditionalFormatting sqref="T28">
    <cfRule type="aboveAverage" dxfId="3279" priority="146"/>
    <cfRule type="aboveAverage" dxfId="3278" priority="147"/>
  </conditionalFormatting>
  <conditionalFormatting sqref="U28">
    <cfRule type="aboveAverage" dxfId="3277" priority="142"/>
    <cfRule type="aboveAverage" dxfId="3276" priority="143"/>
    <cfRule type="aboveAverage" dxfId="3275" priority="144"/>
    <cfRule type="aboveAverage" dxfId="3274" priority="145"/>
  </conditionalFormatting>
  <conditionalFormatting sqref="W26">
    <cfRule type="cellIs" dxfId="3273" priority="141" operator="lessThan">
      <formula>0</formula>
    </cfRule>
  </conditionalFormatting>
  <conditionalFormatting sqref="V26:V28">
    <cfRule type="cellIs" dxfId="3272" priority="140" operator="lessThan">
      <formula>0</formula>
    </cfRule>
  </conditionalFormatting>
  <conditionalFormatting sqref="E55">
    <cfRule type="cellIs" dxfId="3271" priority="139" operator="lessThan">
      <formula>0</formula>
    </cfRule>
  </conditionalFormatting>
  <conditionalFormatting sqref="X27:X28">
    <cfRule type="cellIs" dxfId="3270" priority="130" operator="lessThan">
      <formula>0</formula>
    </cfRule>
    <cfRule type="cellIs" dxfId="3269" priority="131" operator="lessThan">
      <formula>0</formula>
    </cfRule>
    <cfRule type="cellIs" dxfId="3268" priority="132" operator="lessThan">
      <formula>0</formula>
    </cfRule>
    <cfRule type="cellIs" dxfId="3267" priority="133" operator="lessThan">
      <formula>0</formula>
    </cfRule>
    <cfRule type="cellIs" dxfId="3266" priority="134" operator="lessThan">
      <formula>0</formula>
    </cfRule>
    <cfRule type="cellIs" dxfId="3265" priority="135" operator="greaterThan">
      <formula>0</formula>
    </cfRule>
    <cfRule type="cellIs" dxfId="3264" priority="136" operator="lessThan">
      <formula>0</formula>
    </cfRule>
  </conditionalFormatting>
  <conditionalFormatting sqref="Y26:Y28">
    <cfRule type="cellIs" dxfId="3263" priority="128" operator="greaterThan">
      <formula>0</formula>
    </cfRule>
    <cfRule type="cellIs" dxfId="3262" priority="129" operator="lessThan">
      <formula>0</formula>
    </cfRule>
  </conditionalFormatting>
  <conditionalFormatting sqref="K130:K138">
    <cfRule type="cellIs" dxfId="3261" priority="103" operator="lessThan">
      <formula>0</formula>
    </cfRule>
  </conditionalFormatting>
  <conditionalFormatting sqref="E555:E566">
    <cfRule type="cellIs" dxfId="3260" priority="70" operator="lessThan">
      <formula>0</formula>
    </cfRule>
  </conditionalFormatting>
  <conditionalFormatting sqref="V25:W25">
    <cfRule type="cellIs" dxfId="3259" priority="69" operator="lessThan">
      <formula>0</formula>
    </cfRule>
  </conditionalFormatting>
  <conditionalFormatting sqref="W25">
    <cfRule type="cellIs" dxfId="3258" priority="17" operator="greaterThan">
      <formula>935</formula>
    </cfRule>
    <cfRule type="cellIs" dxfId="3257" priority="18" operator="lessThan">
      <formula>935</formula>
    </cfRule>
    <cfRule type="cellIs" dxfId="3256" priority="68" operator="lessThan">
      <formula>0</formula>
    </cfRule>
  </conditionalFormatting>
  <conditionalFormatting sqref="L63:L73">
    <cfRule type="cellIs" dxfId="3255" priority="67" operator="lessThan">
      <formula>0</formula>
    </cfRule>
  </conditionalFormatting>
  <conditionalFormatting sqref="M63:M73">
    <cfRule type="cellIs" dxfId="3254" priority="66" operator="lessThan">
      <formula>0</formula>
    </cfRule>
  </conditionalFormatting>
  <conditionalFormatting sqref="N63:N73">
    <cfRule type="cellIs" dxfId="3253" priority="65" operator="lessThan">
      <formula>0</formula>
    </cfRule>
  </conditionalFormatting>
  <conditionalFormatting sqref="O63:O73">
    <cfRule type="cellIs" dxfId="3252" priority="64" operator="lessThan">
      <formula>0</formula>
    </cfRule>
  </conditionalFormatting>
  <conditionalFormatting sqref="P63:P73">
    <cfRule type="cellIs" dxfId="3251" priority="63" operator="lessThan">
      <formula>0</formula>
    </cfRule>
  </conditionalFormatting>
  <conditionalFormatting sqref="Q63:Q73">
    <cfRule type="cellIs" dxfId="3250" priority="62" operator="lessThan">
      <formula>0</formula>
    </cfRule>
  </conditionalFormatting>
  <conditionalFormatting sqref="R63:R73">
    <cfRule type="cellIs" dxfId="3249" priority="61" operator="lessThan">
      <formula>0</formula>
    </cfRule>
  </conditionalFormatting>
  <conditionalFormatting sqref="S63:S73">
    <cfRule type="cellIs" dxfId="3248" priority="60" operator="lessThan">
      <formula>0</formula>
    </cfRule>
  </conditionalFormatting>
  <conditionalFormatting sqref="T63:T73">
    <cfRule type="cellIs" dxfId="3247" priority="59" operator="lessThan">
      <formula>0</formula>
    </cfRule>
  </conditionalFormatting>
  <conditionalFormatting sqref="U63:U73">
    <cfRule type="cellIs" dxfId="3246" priority="58" operator="lessThan">
      <formula>0</formula>
    </cfRule>
  </conditionalFormatting>
  <conditionalFormatting sqref="V63:V73">
    <cfRule type="cellIs" dxfId="3245" priority="57" operator="lessThan">
      <formula>0</formula>
    </cfRule>
  </conditionalFormatting>
  <conditionalFormatting sqref="L109:L116">
    <cfRule type="cellIs" dxfId="3244" priority="56" operator="lessThan">
      <formula>0</formula>
    </cfRule>
  </conditionalFormatting>
  <conditionalFormatting sqref="M109:M116">
    <cfRule type="cellIs" dxfId="3243" priority="55" operator="lessThan">
      <formula>0</formula>
    </cfRule>
  </conditionalFormatting>
  <conditionalFormatting sqref="N109:N116">
    <cfRule type="cellIs" dxfId="3242" priority="54" operator="lessThan">
      <formula>0</formula>
    </cfRule>
  </conditionalFormatting>
  <conditionalFormatting sqref="O109:O116">
    <cfRule type="cellIs" dxfId="3241" priority="53" operator="lessThan">
      <formula>0</formula>
    </cfRule>
  </conditionalFormatting>
  <conditionalFormatting sqref="P109:P116">
    <cfRule type="cellIs" dxfId="3240" priority="52" operator="lessThan">
      <formula>0</formula>
    </cfRule>
  </conditionalFormatting>
  <conditionalFormatting sqref="Q109:Q116">
    <cfRule type="cellIs" dxfId="3239" priority="51" operator="lessThan">
      <formula>0</formula>
    </cfRule>
  </conditionalFormatting>
  <conditionalFormatting sqref="R109:R116">
    <cfRule type="cellIs" dxfId="3238" priority="50" operator="lessThan">
      <formula>0</formula>
    </cfRule>
  </conditionalFormatting>
  <conditionalFormatting sqref="S109:S116">
    <cfRule type="cellIs" dxfId="3237" priority="49" operator="lessThan">
      <formula>0</formula>
    </cfRule>
  </conditionalFormatting>
  <conditionalFormatting sqref="T109:T116">
    <cfRule type="cellIs" dxfId="3236" priority="48" operator="lessThan">
      <formula>0</formula>
    </cfRule>
  </conditionalFormatting>
  <conditionalFormatting sqref="U109:U116">
    <cfRule type="cellIs" dxfId="3235" priority="47" operator="lessThan">
      <formula>0</formula>
    </cfRule>
  </conditionalFormatting>
  <conditionalFormatting sqref="V109:V116">
    <cfRule type="cellIs" dxfId="3234" priority="46" operator="lessThan">
      <formula>0</formula>
    </cfRule>
  </conditionalFormatting>
  <conditionalFormatting sqref="L130:L138">
    <cfRule type="cellIs" dxfId="3233" priority="45" operator="lessThan">
      <formula>0</formula>
    </cfRule>
  </conditionalFormatting>
  <conditionalFormatting sqref="M130:M138">
    <cfRule type="cellIs" dxfId="3232" priority="44" operator="lessThan">
      <formula>0</formula>
    </cfRule>
  </conditionalFormatting>
  <conditionalFormatting sqref="N130:N138">
    <cfRule type="cellIs" dxfId="3231" priority="43" operator="lessThan">
      <formula>0</formula>
    </cfRule>
  </conditionalFormatting>
  <conditionalFormatting sqref="O130:O138">
    <cfRule type="cellIs" dxfId="3230" priority="42" operator="lessThan">
      <formula>0</formula>
    </cfRule>
  </conditionalFormatting>
  <conditionalFormatting sqref="P130:P138">
    <cfRule type="cellIs" dxfId="3229" priority="41" operator="lessThan">
      <formula>0</formula>
    </cfRule>
  </conditionalFormatting>
  <conditionalFormatting sqref="Q130:Q138">
    <cfRule type="cellIs" dxfId="3228" priority="40" operator="lessThan">
      <formula>0</formula>
    </cfRule>
  </conditionalFormatting>
  <conditionalFormatting sqref="R130:R138">
    <cfRule type="cellIs" dxfId="3227" priority="39" operator="lessThan">
      <formula>0</formula>
    </cfRule>
  </conditionalFormatting>
  <conditionalFormatting sqref="S130:S138">
    <cfRule type="cellIs" dxfId="3226" priority="38" operator="lessThan">
      <formula>0</formula>
    </cfRule>
  </conditionalFormatting>
  <conditionalFormatting sqref="T130:T138">
    <cfRule type="cellIs" dxfId="3225" priority="37" operator="lessThan">
      <formula>0</formula>
    </cfRule>
  </conditionalFormatting>
  <conditionalFormatting sqref="U130:U138">
    <cfRule type="cellIs" dxfId="3224" priority="36" operator="lessThan">
      <formula>0</formula>
    </cfRule>
  </conditionalFormatting>
  <conditionalFormatting sqref="V130:V138">
    <cfRule type="cellIs" dxfId="3223" priority="35" operator="lessThan">
      <formula>0</formula>
    </cfRule>
  </conditionalFormatting>
  <conditionalFormatting sqref="E553">
    <cfRule type="cellIs" dxfId="3222" priority="34" operator="lessThan">
      <formula>0</formula>
    </cfRule>
  </conditionalFormatting>
  <conditionalFormatting sqref="E534">
    <cfRule type="cellIs" dxfId="3221" priority="33" operator="lessThan">
      <formula>0</formula>
    </cfRule>
  </conditionalFormatting>
  <conditionalFormatting sqref="E510">
    <cfRule type="cellIs" dxfId="3220" priority="32" operator="lessThan">
      <formula>0</formula>
    </cfRule>
  </conditionalFormatting>
  <conditionalFormatting sqref="E490:E491">
    <cfRule type="cellIs" dxfId="3219" priority="31" operator="lessThan">
      <formula>0</formula>
    </cfRule>
  </conditionalFormatting>
  <conditionalFormatting sqref="E452:E453">
    <cfRule type="cellIs" dxfId="3218" priority="30" operator="lessThan">
      <formula>0</formula>
    </cfRule>
  </conditionalFormatting>
  <conditionalFormatting sqref="K22:W22 W23">
    <cfRule type="cellIs" dxfId="3217" priority="25" operator="between">
      <formula>2001</formula>
      <formula>2692</formula>
    </cfRule>
    <cfRule type="aboveAverage" dxfId="3216" priority="28"/>
  </conditionalFormatting>
  <conditionalFormatting sqref="W23">
    <cfRule type="aboveAverage" dxfId="3215" priority="26"/>
    <cfRule type="aboveAverage" dxfId="3214" priority="27"/>
  </conditionalFormatting>
  <conditionalFormatting sqref="K22:V22 W23">
    <cfRule type="cellIs" dxfId="3213" priority="23" operator="lessThan">
      <formula>2000</formula>
    </cfRule>
    <cfRule type="cellIs" dxfId="3212" priority="24" operator="greaterThan">
      <formula>2693</formula>
    </cfRule>
  </conditionalFormatting>
  <conditionalFormatting sqref="E428:E430">
    <cfRule type="cellIs" dxfId="3211" priority="16" operator="lessThan">
      <formula>0</formula>
    </cfRule>
  </conditionalFormatting>
  <conditionalFormatting sqref="E389:E391">
    <cfRule type="cellIs" dxfId="3210" priority="13" operator="lessThan">
      <formula>0</formula>
    </cfRule>
  </conditionalFormatting>
  <conditionalFormatting sqref="E354:E355">
    <cfRule type="cellIs" dxfId="3209" priority="12" operator="lessThan">
      <formula>0</formula>
    </cfRule>
  </conditionalFormatting>
  <conditionalFormatting sqref="E322:E323">
    <cfRule type="cellIs" dxfId="3208" priority="11" operator="lessThan">
      <formula>0</formula>
    </cfRule>
  </conditionalFormatting>
  <conditionalFormatting sqref="E287:E288">
    <cfRule type="cellIs" dxfId="3207" priority="10" operator="lessThan">
      <formula>0</formula>
    </cfRule>
  </conditionalFormatting>
  <conditionalFormatting sqref="E264:E266">
    <cfRule type="cellIs" dxfId="3206" priority="9" operator="lessThan">
      <formula>0</formula>
    </cfRule>
  </conditionalFormatting>
  <conditionalFormatting sqref="G6:G17">
    <cfRule type="cellIs" dxfId="3205" priority="6" operator="lessThan">
      <formula>0.04</formula>
    </cfRule>
    <cfRule type="cellIs" dxfId="3204" priority="7" operator="between">
      <formula>0.04</formula>
      <formula>0.09</formula>
    </cfRule>
    <cfRule type="cellIs" dxfId="3203" priority="8" operator="greaterThan">
      <formula>10%</formula>
    </cfRule>
  </conditionalFormatting>
  <conditionalFormatting sqref="E230:E231">
    <cfRule type="cellIs" dxfId="3202" priority="5" operator="lessThan">
      <formula>0</formula>
    </cfRule>
  </conditionalFormatting>
  <conditionalFormatting sqref="H6:H17">
    <cfRule type="cellIs" dxfId="3201" priority="2" operator="lessThan">
      <formula>0.04</formula>
    </cfRule>
    <cfRule type="cellIs" dxfId="3200" priority="3" operator="between">
      <formula>0.04</formula>
      <formula>0.09</formula>
    </cfRule>
    <cfRule type="cellIs" dxfId="3199" priority="4" operator="greaterThan">
      <formula>10%</formula>
    </cfRule>
  </conditionalFormatting>
  <conditionalFormatting sqref="E204:E206">
    <cfRule type="cellIs" dxfId="3198" priority="1" operator="lessThan">
      <formula>0</formula>
    </cfRule>
  </conditionalFormatting>
  <dataValidations count="6">
    <dataValidation type="list" allowBlank="1" showInputMessage="1" showErrorMessage="1" sqref="C30 C32:C39 C41 C43:C44 C46 C48:C49 C51:C53 C55 C57:C58 C60:C66 C70:C71 C74:C76 C78:C79" xr:uid="{00000000-0002-0000-0800-000000000000}">
      <formula1>$I$4:$I$36</formula1>
    </dataValidation>
    <dataValidation type="list" allowBlank="1" showInputMessage="1" showErrorMessage="1" sqref="C3:C26 C31 C47 C54 C80:C87 C567:C576 C578:C636 C639 C641:C696 C703:C734 C737:C762 C764:C772 C774:C801 C803:C806 C809:C813 C815 C817:C818 C820:C842 C844:C878 C881:C892 C894:C923 C925:C977 C980:C1014" xr:uid="{00000000-0002-0000-0800-000001000000}">
      <formula1>$I$5:$I$39</formula1>
    </dataValidation>
    <dataValidation type="list" allowBlank="1" showInputMessage="1" showErrorMessage="1" sqref="C167 C177 C210 C227 C237:C238 C262 C267:C286 C289:C321 C324:C329 C332:C340 C343:C348 C351 C356 C360 C365 C370:C388 C392:C395 C399:C414 C427 C434:C437 C442:C449 C454:C489 C493:C494 C499:C509 C511:C523 C525:C533 C535:C552 C554" xr:uid="{00000000-0002-0000-0800-000002000000}">
      <formula1>$I$5:$I$38</formula1>
    </dataValidation>
    <dataValidation type="list" allowBlank="1" showInputMessage="1" showErrorMessage="1" sqref="C266 C287:C288 C322:C323 C330:C331 C341:C342 C349:C350 C352:C355 C357:C359 C361:C364 C366:C369 C389:C391 C396:C398 C415:C426 C428:C433 C438:C441 C450:C453 C490:C492 C495:C498 C510 C524 C534 C553 C555:C566" xr:uid="{00000000-0002-0000-0800-000003000000}">
      <formula1>$I$5:$I$36</formula1>
    </dataValidation>
    <dataValidation type="list" allowBlank="1" showInputMessage="1" showErrorMessage="1" sqref="C241" xr:uid="{00000000-0002-0000-0800-000004000000}">
      <formula1>$I$5:$I$17</formula1>
    </dataValidation>
    <dataValidation type="list" allowBlank="1" showInputMessage="1" showErrorMessage="1" sqref="C164:C166 C168:C176 C178:C209 C211:C226 C228:C236 C239:C240 C242:C261 C263:C265" xr:uid="{00000000-0002-0000-0800-000005000000}">
      <formula1>$I$5:$I$18</formula1>
    </dataValidation>
  </dataValidations>
  <pageMargins left="0.25" right="0.25" top="0.75" bottom="0.75" header="0.3" footer="0.3"/>
  <pageSetup paperSize="9" scale="10" orientation="landscape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pageSetUpPr fitToPage="1"/>
  </sheetPr>
  <dimension ref="A1:AI480"/>
  <sheetViews>
    <sheetView showZeros="0" topLeftCell="A166" zoomScaleNormal="100" workbookViewId="0">
      <selection activeCell="B188" sqref="B188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7.53125" style="426" customWidth="1"/>
    <col min="5" max="5" width="11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8.86328125" style="426" customWidth="1"/>
    <col min="12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7.86328125" style="426" bestFit="1" customWidth="1"/>
    <col min="27" max="27" width="11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5" width="9.1328125" style="426" customWidth="1"/>
    <col min="36" max="16384" width="9.1328125" style="426"/>
  </cols>
  <sheetData>
    <row r="1" spans="1:34" x14ac:dyDescent="0.35">
      <c r="J1" s="45" t="s">
        <v>1</v>
      </c>
      <c r="K1" s="567"/>
      <c r="L1" s="567">
        <v>-0.02</v>
      </c>
      <c r="M1" s="567">
        <v>-0.03</v>
      </c>
      <c r="N1" s="567">
        <v>0.02</v>
      </c>
      <c r="O1" s="567">
        <v>0.02</v>
      </c>
      <c r="P1" s="567"/>
      <c r="Q1" s="567"/>
      <c r="R1" s="567"/>
      <c r="S1" s="567"/>
      <c r="T1" s="567"/>
      <c r="U1" s="567"/>
      <c r="V1" s="567">
        <v>0.01</v>
      </c>
      <c r="W1" s="837">
        <f>SUM(K1:V1)</f>
        <v>0</v>
      </c>
    </row>
    <row r="2" spans="1:34" ht="13.15" customHeight="1" x14ac:dyDescent="0.4">
      <c r="A2" s="418" t="s">
        <v>187</v>
      </c>
      <c r="B2" s="418" t="s">
        <v>1568</v>
      </c>
      <c r="C2" s="418" t="s">
        <v>189</v>
      </c>
      <c r="D2" s="418" t="s">
        <v>191</v>
      </c>
      <c r="E2" s="419" t="s">
        <v>1569</v>
      </c>
      <c r="F2" s="418" t="s">
        <v>1570</v>
      </c>
      <c r="J2" s="45" t="s">
        <v>3</v>
      </c>
      <c r="K2" s="800">
        <f t="shared" ref="K2:V2" si="0">SUM(K31/$W31)</f>
        <v>7.5786169803500239E-2</v>
      </c>
      <c r="L2" s="800">
        <f t="shared" si="0"/>
        <v>7.9124898667547017E-2</v>
      </c>
      <c r="M2" s="800">
        <f t="shared" si="0"/>
        <v>0.11238056654392939</v>
      </c>
      <c r="N2" s="800">
        <f t="shared" si="0"/>
        <v>6.5045127471781303E-2</v>
      </c>
      <c r="O2" s="800">
        <f t="shared" si="0"/>
        <v>6.5977246913724613E-2</v>
      </c>
      <c r="P2" s="800">
        <f t="shared" si="0"/>
        <v>6.9125231076075294E-2</v>
      </c>
      <c r="Q2" s="800">
        <f t="shared" si="0"/>
        <v>5.3316885777215058E-2</v>
      </c>
      <c r="R2" s="800">
        <f t="shared" si="0"/>
        <v>0.10158620182724414</v>
      </c>
      <c r="S2" s="800">
        <f t="shared" si="0"/>
        <v>0.10214074268944755</v>
      </c>
      <c r="T2" s="800">
        <f t="shared" si="0"/>
        <v>8.9074989354602535E-2</v>
      </c>
      <c r="U2" s="800">
        <f t="shared" si="0"/>
        <v>8.7117865921173404E-2</v>
      </c>
      <c r="V2" s="800">
        <f t="shared" si="0"/>
        <v>9.9324073953759473E-2</v>
      </c>
      <c r="W2" s="836">
        <f>SUM(K2:V2)</f>
        <v>1</v>
      </c>
      <c r="AD2" s="46" t="s">
        <v>4</v>
      </c>
      <c r="AE2" s="45" t="s">
        <v>5</v>
      </c>
      <c r="AF2" s="45" t="s">
        <v>6</v>
      </c>
      <c r="AG2" s="45" t="s">
        <v>7</v>
      </c>
      <c r="AH2" s="45" t="s">
        <v>8</v>
      </c>
    </row>
    <row r="3" spans="1:34" ht="13.9" customHeight="1" x14ac:dyDescent="0.4">
      <c r="A3" s="427"/>
      <c r="B3" s="701"/>
      <c r="C3" s="427"/>
      <c r="D3" s="427"/>
      <c r="E3" s="695"/>
      <c r="F3" s="427"/>
      <c r="I3"/>
      <c r="J3" s="647" t="s">
        <v>12</v>
      </c>
      <c r="K3" s="737">
        <f t="shared" ref="K3:V3" si="1">SUM(K2+K1)*$J18</f>
        <v>5683.9627352625175</v>
      </c>
      <c r="L3" s="737">
        <f t="shared" si="1"/>
        <v>4434.3674000660258</v>
      </c>
      <c r="M3" s="737">
        <f t="shared" si="1"/>
        <v>6178.5424907947045</v>
      </c>
      <c r="N3" s="737">
        <f t="shared" si="1"/>
        <v>6378.384560383598</v>
      </c>
      <c r="O3" s="737">
        <f t="shared" si="1"/>
        <v>6448.2935185293463</v>
      </c>
      <c r="P3" s="737">
        <f t="shared" si="1"/>
        <v>5184.3923307056475</v>
      </c>
      <c r="Q3" s="737">
        <f t="shared" si="1"/>
        <v>3998.7664332911295</v>
      </c>
      <c r="R3" s="737">
        <f t="shared" si="1"/>
        <v>7618.9651370433103</v>
      </c>
      <c r="S3" s="737">
        <f t="shared" si="1"/>
        <v>7660.5557017085657</v>
      </c>
      <c r="T3" s="737">
        <f t="shared" si="1"/>
        <v>6680.6242015951902</v>
      </c>
      <c r="U3" s="737">
        <f t="shared" si="1"/>
        <v>6533.8399440880057</v>
      </c>
      <c r="V3" s="737">
        <f t="shared" si="1"/>
        <v>8199.3055465319594</v>
      </c>
      <c r="W3" s="801">
        <f>SUM(K3:V3)</f>
        <v>75000</v>
      </c>
      <c r="AA3" s="559" t="s">
        <v>13</v>
      </c>
      <c r="AB3" s="816">
        <v>12</v>
      </c>
      <c r="AD3" s="426">
        <v>0.9995056846267919</v>
      </c>
    </row>
    <row r="4" spans="1:34" ht="13.9" customHeight="1" x14ac:dyDescent="0.4">
      <c r="A4" s="427"/>
      <c r="B4" s="701"/>
      <c r="C4" s="427"/>
      <c r="D4" s="427"/>
      <c r="E4" s="695"/>
      <c r="F4" s="427"/>
      <c r="I4"/>
      <c r="J4" s="647"/>
      <c r="K4" s="737"/>
      <c r="L4" s="737"/>
      <c r="M4" s="737"/>
      <c r="N4" s="737"/>
      <c r="O4" s="737"/>
      <c r="P4" s="737"/>
      <c r="Q4" s="737"/>
      <c r="R4" s="737"/>
      <c r="S4" s="737"/>
      <c r="T4" s="737"/>
      <c r="U4" s="737"/>
      <c r="V4" s="737"/>
      <c r="W4" s="801"/>
      <c r="AD4" s="48" t="s">
        <v>1571</v>
      </c>
      <c r="AE4" s="683">
        <f t="shared" ref="AE4:AE12" si="2">AF4+AG4</f>
        <v>33771.410000000003</v>
      </c>
      <c r="AF4" s="443">
        <f>SUM(N17:V17)</f>
        <v>33771.410000000003</v>
      </c>
      <c r="AG4" s="443"/>
      <c r="AH4" s="445">
        <f t="shared" ref="AH4:AH11" si="3">SUM(AE4-AE5)/AE5</f>
        <v>-0.54145902271712942</v>
      </c>
    </row>
    <row r="5" spans="1:34" ht="13.9" customHeight="1" x14ac:dyDescent="0.4">
      <c r="A5" s="463"/>
      <c r="B5" s="464"/>
      <c r="C5" s="464"/>
      <c r="D5" s="49"/>
      <c r="E5" s="695"/>
      <c r="F5" s="49"/>
      <c r="I5" s="420" t="s">
        <v>140</v>
      </c>
      <c r="J5" s="421" t="s">
        <v>18</v>
      </c>
      <c r="K5" s="577" t="s">
        <v>142</v>
      </c>
      <c r="L5" s="577" t="s">
        <v>143</v>
      </c>
      <c r="M5" s="577" t="s">
        <v>144</v>
      </c>
      <c r="N5" s="577" t="s">
        <v>145</v>
      </c>
      <c r="O5" s="577" t="s">
        <v>146</v>
      </c>
      <c r="P5" s="577" t="s">
        <v>147</v>
      </c>
      <c r="Q5" s="577" t="s">
        <v>148</v>
      </c>
      <c r="R5" s="577" t="s">
        <v>149</v>
      </c>
      <c r="S5" s="577" t="s">
        <v>150</v>
      </c>
      <c r="T5" s="577" t="s">
        <v>151</v>
      </c>
      <c r="U5" s="577" t="s">
        <v>152</v>
      </c>
      <c r="V5" s="577" t="s">
        <v>153</v>
      </c>
      <c r="W5" s="423" t="s">
        <v>19</v>
      </c>
      <c r="X5" s="812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1572</v>
      </c>
      <c r="AE5" s="683">
        <f t="shared" si="2"/>
        <v>73649.709999999992</v>
      </c>
      <c r="AF5" s="443">
        <f t="shared" ref="AF5:AF12" si="4">SUM(N21:V21)</f>
        <v>46094.1</v>
      </c>
      <c r="AG5" s="443">
        <f>SUM(K17:M17)</f>
        <v>27555.61</v>
      </c>
      <c r="AH5" s="445">
        <f t="shared" si="3"/>
        <v>0.20558309119269375</v>
      </c>
    </row>
    <row r="6" spans="1:34" ht="13.5" customHeight="1" x14ac:dyDescent="0.35">
      <c r="A6" s="463"/>
      <c r="B6" s="464"/>
      <c r="C6" s="464"/>
      <c r="D6" s="49"/>
      <c r="E6" s="695"/>
      <c r="F6" s="49"/>
      <c r="I6" s="581" t="s">
        <v>28</v>
      </c>
      <c r="J6" s="431">
        <v>600</v>
      </c>
      <c r="K6" s="432">
        <f t="shared" ref="K6:K16" si="5">SUMIFS($E$154:$E$480,$A$154:$A$480,"&gt;31/12/2021",$A$154:$A$480,"&lt;1/2/2022",$C$154:$C$480,$I6)</f>
        <v>250</v>
      </c>
      <c r="L6" s="432">
        <f t="shared" ref="L6:L16" si="6">SUMIFS($E$154:$E$480,$A$154:$A$480,"&gt;31/1/2022",$A$154:$A$480,"&lt;1/3/2022",$C$154:$C$480,$I6)</f>
        <v>300</v>
      </c>
      <c r="M6" s="432">
        <f t="shared" ref="M6:M16" si="7">SUMIFS($E$154:$E$480,$A$154:$A$480,"&gt;28/2/2022",$A$154:$A$480,"&lt;1/4/2022",$C$154:$C$480,$I6)</f>
        <v>0</v>
      </c>
      <c r="N6" s="432">
        <f t="shared" ref="N6:N16" si="8">SUMIFS($E$154:$E$480,$A$154:$A$480,"&gt;31/3/2022",$A$154:$A$480,"&lt;1/5/2022",$C$154:$C$480,$I6)</f>
        <v>675</v>
      </c>
      <c r="O6" s="432">
        <f t="shared" ref="O6:O16" si="9">SUMIFS($E$154:$E$480,$A$154:$A$480,"&gt;30/4/2022",$A$154:$A$480,"&lt;1/6/2022",$C$154:$C$480,$I6)</f>
        <v>400</v>
      </c>
      <c r="P6" s="432">
        <f t="shared" ref="P6:P16" si="10">SUMIFS($E$154:$E$480,$A$154:$A$480,"&gt;31/5/2022",$A$154:$A$480,"&lt;1/7/2022",$C$154:$C$480,$I6)</f>
        <v>280</v>
      </c>
      <c r="Q6" s="432">
        <f t="shared" ref="Q6:Q16" si="11">SUMIFS($E$154:$E$480,$A$154:$A$480,"&gt;30/6/2022",$A$154:$A$480,"&lt;1/8/2022",$C$154:$C$480,$I6)</f>
        <v>50</v>
      </c>
      <c r="R6" s="432">
        <f t="shared" ref="R6:R16" si="12">SUMIFS($E$154:$E$480,$A$154:$A$480,"&gt;31/7/2022",$A$154:$A$480,"&lt;1/9/2022",$C$154:$C$480,$I6)</f>
        <v>462.5</v>
      </c>
      <c r="S6" s="432">
        <f t="shared" ref="S6:S16" si="13">SUMIFS($E$154:$E$480,$A$154:$A$480,"&gt;31/8/2022",$A$154:$A$480,"&lt;1/10/2022",$C$154:$C$480,$I6)</f>
        <v>621.25</v>
      </c>
      <c r="T6" s="432">
        <f t="shared" ref="T6:T16" si="14">SUMIFS($E$154:$E$480,$A$154:$A$480,"&gt;30/9/2022",$A$154:$A$480,"&lt;1/11/2022",$C$154:$C$480,$I6)</f>
        <v>1305</v>
      </c>
      <c r="U6" s="432">
        <f t="shared" ref="U6:U16" si="15">SUMIFS($E$154:$E$480,$A$154:$A$480,"&gt;31/10/2022",$A$154:$A$480,"&lt;1/12/2022",$C$154:$C$480,$I6)</f>
        <v>1015</v>
      </c>
      <c r="V6" s="432">
        <f t="shared" ref="V6:V16" si="16">SUMIFS($E$154:$E$480,$A$154:$A$480,"&gt;30/11/2022",$A$154:$A$480,"&lt;1/1/2023",$C$154:$C$480,$I6)</f>
        <v>280</v>
      </c>
      <c r="W6" s="431">
        <f t="shared" ref="W6:W16" si="17">SUM(K6:V6)</f>
        <v>5638.75</v>
      </c>
      <c r="X6" s="432">
        <f t="shared" ref="X6:X17" si="18">SUM(V6-(J6*12)*(V$2+V$1))</f>
        <v>-507.13333246706816</v>
      </c>
      <c r="Y6" s="432">
        <f t="shared" ref="Y6:Y17" si="19">W6-AA6</f>
        <v>-1561.2499999999991</v>
      </c>
      <c r="Z6" s="433">
        <f t="shared" ref="Z6:Z17" si="20">Y6/AA6</f>
        <v>-0.21684027777777767</v>
      </c>
      <c r="AA6" s="814">
        <f t="shared" ref="AA6:AA17" si="21">SUM(J6*12)*((K$2+K$1)+(L$2+L$1)+(M$2+M$1)+(N$2+N$1)+(O$2+O$1)+(P$2+P$1)+(Q$1+Q$2)+(R$1+R$2)+(S$2+S$1)+(T$2+T$1)+(U$2+U$1)+(V$2+V$1))</f>
        <v>7199.9999999999991</v>
      </c>
      <c r="AB6" s="813">
        <f t="shared" ref="AB6:AB17" si="22">W6/$AB$3</f>
        <v>469.89583333333331</v>
      </c>
      <c r="AD6" s="48" t="s">
        <v>1573</v>
      </c>
      <c r="AE6" s="683">
        <f t="shared" si="2"/>
        <v>61090.53</v>
      </c>
      <c r="AF6" s="443">
        <f t="shared" si="4"/>
        <v>37518.659999999996</v>
      </c>
      <c r="AG6" s="443">
        <f t="shared" ref="AG6:AG12" si="23">SUM(K21:M21)</f>
        <v>23571.870000000003</v>
      </c>
      <c r="AH6" s="445">
        <f t="shared" si="3"/>
        <v>-0.12252847628215617</v>
      </c>
    </row>
    <row r="7" spans="1:34" ht="13.5" customHeight="1" x14ac:dyDescent="0.35">
      <c r="A7" s="693"/>
      <c r="B7" s="693"/>
      <c r="C7" s="693"/>
      <c r="D7" s="49"/>
      <c r="E7" s="695"/>
      <c r="F7" s="49"/>
      <c r="I7" s="581" t="s">
        <v>1274</v>
      </c>
      <c r="J7" s="431">
        <f>30000/12</f>
        <v>2500</v>
      </c>
      <c r="K7" s="432">
        <f t="shared" si="5"/>
        <v>1537</v>
      </c>
      <c r="L7" s="432">
        <f t="shared" si="6"/>
        <v>1921</v>
      </c>
      <c r="M7" s="432">
        <f t="shared" si="7"/>
        <v>2275.0500000000002</v>
      </c>
      <c r="N7" s="432">
        <f t="shared" si="8"/>
        <v>4514.95</v>
      </c>
      <c r="O7" s="432">
        <f t="shared" si="9"/>
        <v>3679.26</v>
      </c>
      <c r="P7" s="432">
        <f t="shared" si="10"/>
        <v>1260</v>
      </c>
      <c r="Q7" s="432">
        <f t="shared" si="11"/>
        <v>909</v>
      </c>
      <c r="R7" s="432">
        <f t="shared" si="12"/>
        <v>1811.85</v>
      </c>
      <c r="S7" s="432">
        <f t="shared" si="13"/>
        <v>2292</v>
      </c>
      <c r="T7" s="432">
        <f t="shared" si="14"/>
        <v>522</v>
      </c>
      <c r="U7" s="432">
        <f t="shared" si="15"/>
        <v>1935.95</v>
      </c>
      <c r="V7" s="432">
        <f t="shared" si="16"/>
        <v>2458.25</v>
      </c>
      <c r="W7" s="431">
        <f t="shared" si="17"/>
        <v>25116.31</v>
      </c>
      <c r="X7" s="432">
        <f t="shared" si="18"/>
        <v>-821.47221861278422</v>
      </c>
      <c r="Y7" s="432">
        <f t="shared" si="19"/>
        <v>-4883.6899999999951</v>
      </c>
      <c r="Z7" s="433">
        <f t="shared" si="20"/>
        <v>-0.16278966666666653</v>
      </c>
      <c r="AA7" s="814">
        <f t="shared" si="21"/>
        <v>29999.999999999996</v>
      </c>
      <c r="AB7" s="813">
        <f t="shared" si="22"/>
        <v>2093.0258333333336</v>
      </c>
      <c r="AD7" s="48" t="s">
        <v>1574</v>
      </c>
      <c r="AE7" s="683">
        <f t="shared" si="2"/>
        <v>69621.096923076926</v>
      </c>
      <c r="AF7" s="443">
        <f t="shared" si="4"/>
        <v>52137.860000000008</v>
      </c>
      <c r="AG7" s="443">
        <f t="shared" si="23"/>
        <v>17483.236923076925</v>
      </c>
      <c r="AH7" s="445">
        <f t="shared" si="3"/>
        <v>0.25201643354615522</v>
      </c>
    </row>
    <row r="8" spans="1:34" ht="13.5" customHeight="1" x14ac:dyDescent="0.35">
      <c r="A8" s="693"/>
      <c r="B8" s="693"/>
      <c r="C8" s="693"/>
      <c r="D8" s="49"/>
      <c r="E8" s="695"/>
      <c r="F8" s="49"/>
      <c r="I8" s="581" t="s">
        <v>1276</v>
      </c>
      <c r="J8" s="431">
        <v>750</v>
      </c>
      <c r="K8" s="432">
        <f t="shared" si="5"/>
        <v>250</v>
      </c>
      <c r="L8" s="432">
        <f t="shared" si="6"/>
        <v>250</v>
      </c>
      <c r="M8" s="432">
        <f t="shared" si="7"/>
        <v>437.5</v>
      </c>
      <c r="N8" s="432">
        <f t="shared" si="8"/>
        <v>541.5</v>
      </c>
      <c r="O8" s="432">
        <f t="shared" si="9"/>
        <v>250</v>
      </c>
      <c r="P8" s="432">
        <f t="shared" si="10"/>
        <v>250</v>
      </c>
      <c r="Q8" s="432">
        <f t="shared" si="11"/>
        <v>250</v>
      </c>
      <c r="R8" s="432">
        <f t="shared" si="12"/>
        <v>150</v>
      </c>
      <c r="S8" s="432">
        <f t="shared" si="13"/>
        <v>150</v>
      </c>
      <c r="T8" s="432">
        <f t="shared" si="14"/>
        <v>150</v>
      </c>
      <c r="U8" s="432">
        <f t="shared" si="15"/>
        <v>150</v>
      </c>
      <c r="V8" s="432">
        <f t="shared" si="16"/>
        <v>0</v>
      </c>
      <c r="W8" s="431">
        <f t="shared" si="17"/>
        <v>2829</v>
      </c>
      <c r="X8" s="432">
        <f t="shared" si="18"/>
        <v>-983.9166655838352</v>
      </c>
      <c r="Y8" s="432">
        <f t="shared" si="19"/>
        <v>-6170.9999999999982</v>
      </c>
      <c r="Z8" s="433">
        <f t="shared" si="20"/>
        <v>-0.68566666666666665</v>
      </c>
      <c r="AA8" s="814">
        <f t="shared" si="21"/>
        <v>8999.9999999999982</v>
      </c>
      <c r="AB8" s="813">
        <f t="shared" si="22"/>
        <v>235.75</v>
      </c>
      <c r="AD8" s="48" t="s">
        <v>1575</v>
      </c>
      <c r="AE8" s="683">
        <f t="shared" si="2"/>
        <v>55607.175000000003</v>
      </c>
      <c r="AF8" s="443">
        <f t="shared" si="4"/>
        <v>42562.105000000003</v>
      </c>
      <c r="AG8" s="443">
        <f t="shared" si="23"/>
        <v>13045.07</v>
      </c>
      <c r="AH8" s="445">
        <f t="shared" si="3"/>
        <v>-0.35771029934576909</v>
      </c>
    </row>
    <row r="9" spans="1:34" ht="13.5" customHeight="1" x14ac:dyDescent="0.35">
      <c r="A9" s="693"/>
      <c r="B9" s="693"/>
      <c r="C9" s="464"/>
      <c r="D9" s="49"/>
      <c r="E9" s="695"/>
      <c r="F9" s="49"/>
      <c r="I9" s="581" t="s">
        <v>1277</v>
      </c>
      <c r="J9" s="431">
        <v>-750</v>
      </c>
      <c r="K9" s="432">
        <f t="shared" si="5"/>
        <v>-437</v>
      </c>
      <c r="L9" s="432">
        <f t="shared" si="6"/>
        <v>-125</v>
      </c>
      <c r="M9" s="432">
        <f t="shared" si="7"/>
        <v>-675</v>
      </c>
      <c r="N9" s="432">
        <f t="shared" si="8"/>
        <v>-50</v>
      </c>
      <c r="O9" s="432">
        <f t="shared" si="9"/>
        <v>0</v>
      </c>
      <c r="P9" s="432">
        <f t="shared" si="10"/>
        <v>-200</v>
      </c>
      <c r="Q9" s="432">
        <f t="shared" si="11"/>
        <v>0</v>
      </c>
      <c r="R9" s="432">
        <f t="shared" si="12"/>
        <v>0</v>
      </c>
      <c r="S9" s="432">
        <f t="shared" si="13"/>
        <v>-135</v>
      </c>
      <c r="T9" s="432">
        <f t="shared" si="14"/>
        <v>0</v>
      </c>
      <c r="U9" s="432">
        <f t="shared" si="15"/>
        <v>0</v>
      </c>
      <c r="V9" s="432">
        <f t="shared" si="16"/>
        <v>0</v>
      </c>
      <c r="W9" s="704">
        <f t="shared" si="17"/>
        <v>-1622</v>
      </c>
      <c r="X9" s="432">
        <f t="shared" si="18"/>
        <v>983.9166655838352</v>
      </c>
      <c r="Y9" s="432">
        <f t="shared" si="19"/>
        <v>7377.9999999999982</v>
      </c>
      <c r="Z9" s="433">
        <f t="shared" si="20"/>
        <v>-0.81977777777777772</v>
      </c>
      <c r="AA9" s="814">
        <f t="shared" si="21"/>
        <v>-8999.9999999999982</v>
      </c>
      <c r="AB9" s="813">
        <f t="shared" si="22"/>
        <v>-135.16666666666666</v>
      </c>
      <c r="AD9" s="48" t="s">
        <v>1576</v>
      </c>
      <c r="AE9" s="683">
        <f t="shared" si="2"/>
        <v>86576.47</v>
      </c>
      <c r="AF9" s="443">
        <f t="shared" si="4"/>
        <v>60536.84</v>
      </c>
      <c r="AG9" s="443">
        <f t="shared" si="23"/>
        <v>26039.63</v>
      </c>
      <c r="AH9" s="445">
        <f t="shared" si="3"/>
        <v>0.41480239758156645</v>
      </c>
    </row>
    <row r="10" spans="1:34" ht="13.5" customHeight="1" x14ac:dyDescent="0.35">
      <c r="A10" s="693"/>
      <c r="B10" s="693"/>
      <c r="C10" s="693"/>
      <c r="D10" s="693"/>
      <c r="E10" s="695"/>
      <c r="F10" s="693"/>
      <c r="I10" s="581" t="s">
        <v>1278</v>
      </c>
      <c r="J10" s="431">
        <v>100</v>
      </c>
      <c r="K10" s="432">
        <f t="shared" si="5"/>
        <v>100</v>
      </c>
      <c r="L10" s="432">
        <f t="shared" si="6"/>
        <v>120</v>
      </c>
      <c r="M10" s="432">
        <f t="shared" si="7"/>
        <v>60</v>
      </c>
      <c r="N10" s="432">
        <f t="shared" si="8"/>
        <v>60</v>
      </c>
      <c r="O10" s="432">
        <f t="shared" si="9"/>
        <v>60</v>
      </c>
      <c r="P10" s="432">
        <f t="shared" si="10"/>
        <v>60</v>
      </c>
      <c r="Q10" s="432">
        <f t="shared" si="11"/>
        <v>80</v>
      </c>
      <c r="R10" s="432">
        <f t="shared" si="12"/>
        <v>60</v>
      </c>
      <c r="S10" s="432">
        <f t="shared" si="13"/>
        <v>60</v>
      </c>
      <c r="T10" s="432">
        <f t="shared" si="14"/>
        <v>260</v>
      </c>
      <c r="U10" s="432">
        <f t="shared" si="15"/>
        <v>60</v>
      </c>
      <c r="V10" s="432">
        <f t="shared" si="16"/>
        <v>60</v>
      </c>
      <c r="W10" s="431">
        <f t="shared" si="17"/>
        <v>1040</v>
      </c>
      <c r="X10" s="432">
        <f t="shared" si="18"/>
        <v>-71.18888874451136</v>
      </c>
      <c r="Y10" s="432">
        <f t="shared" si="19"/>
        <v>-159.99999999999977</v>
      </c>
      <c r="Z10" s="433">
        <f t="shared" si="20"/>
        <v>-0.13333333333333316</v>
      </c>
      <c r="AA10" s="814">
        <f t="shared" si="21"/>
        <v>1199.9999999999998</v>
      </c>
      <c r="AB10" s="813">
        <f t="shared" si="22"/>
        <v>86.666666666666671</v>
      </c>
      <c r="AD10" s="48" t="s">
        <v>1577</v>
      </c>
      <c r="AE10" s="683">
        <f t="shared" si="2"/>
        <v>61193.33</v>
      </c>
      <c r="AF10" s="443">
        <f t="shared" si="4"/>
        <v>45062</v>
      </c>
      <c r="AG10" s="443">
        <f t="shared" si="23"/>
        <v>16131.33</v>
      </c>
      <c r="AH10" s="445">
        <f t="shared" si="3"/>
        <v>7.2175246171636856E-2</v>
      </c>
    </row>
    <row r="11" spans="1:34" ht="13.5" customHeight="1" x14ac:dyDescent="0.35">
      <c r="A11" s="463"/>
      <c r="B11" s="464"/>
      <c r="C11" s="464"/>
      <c r="D11" s="463"/>
      <c r="E11" s="465"/>
      <c r="F11" s="45"/>
      <c r="I11" s="582" t="s">
        <v>1279</v>
      </c>
      <c r="J11" s="431">
        <f>30000/12</f>
        <v>2500</v>
      </c>
      <c r="K11" s="432">
        <f t="shared" si="5"/>
        <v>16422</v>
      </c>
      <c r="L11" s="432">
        <f t="shared" si="6"/>
        <v>250</v>
      </c>
      <c r="M11" s="432">
        <f t="shared" si="7"/>
        <v>1785</v>
      </c>
      <c r="N11" s="432">
        <f t="shared" si="8"/>
        <v>796.8</v>
      </c>
      <c r="O11" s="432">
        <f t="shared" si="9"/>
        <v>714.35</v>
      </c>
      <c r="P11" s="432">
        <f t="shared" si="10"/>
        <v>200</v>
      </c>
      <c r="Q11" s="432">
        <f t="shared" si="11"/>
        <v>51.8</v>
      </c>
      <c r="R11" s="432">
        <f t="shared" si="12"/>
        <v>220</v>
      </c>
      <c r="S11" s="432">
        <f t="shared" si="13"/>
        <v>50</v>
      </c>
      <c r="T11" s="432">
        <f t="shared" si="14"/>
        <v>235</v>
      </c>
      <c r="U11" s="432">
        <f t="shared" si="15"/>
        <v>480</v>
      </c>
      <c r="V11" s="432">
        <f t="shared" si="16"/>
        <v>0</v>
      </c>
      <c r="W11" s="431">
        <f t="shared" si="17"/>
        <v>21204.949999999997</v>
      </c>
      <c r="X11" s="432">
        <f t="shared" si="18"/>
        <v>-3279.7222186127842</v>
      </c>
      <c r="Y11" s="432">
        <f t="shared" si="19"/>
        <v>-8795.0499999999993</v>
      </c>
      <c r="Z11" s="433">
        <f t="shared" si="20"/>
        <v>-0.29316833333333336</v>
      </c>
      <c r="AA11" s="814">
        <f t="shared" si="21"/>
        <v>29999.999999999996</v>
      </c>
      <c r="AB11" s="813">
        <f t="shared" si="22"/>
        <v>1767.0791666666664</v>
      </c>
      <c r="AD11" s="48" t="s">
        <v>1578</v>
      </c>
      <c r="AE11" s="683">
        <f t="shared" si="2"/>
        <v>57074</v>
      </c>
      <c r="AF11" s="443">
        <f t="shared" si="4"/>
        <v>44496</v>
      </c>
      <c r="AG11" s="443">
        <f t="shared" si="23"/>
        <v>12578</v>
      </c>
      <c r="AH11" s="445">
        <f t="shared" si="3"/>
        <v>5.0776934973120261E-2</v>
      </c>
    </row>
    <row r="12" spans="1:34" ht="13.5" customHeight="1" x14ac:dyDescent="0.35">
      <c r="A12" s="463"/>
      <c r="B12" s="464"/>
      <c r="C12" s="464"/>
      <c r="D12" s="463"/>
      <c r="E12" s="465"/>
      <c r="F12" s="45"/>
      <c r="I12" s="582" t="s">
        <v>1280</v>
      </c>
      <c r="J12" s="431">
        <v>300</v>
      </c>
      <c r="K12" s="432">
        <f t="shared" si="5"/>
        <v>0</v>
      </c>
      <c r="L12" s="432">
        <f t="shared" si="6"/>
        <v>200</v>
      </c>
      <c r="M12" s="432">
        <f t="shared" si="7"/>
        <v>0</v>
      </c>
      <c r="N12" s="432">
        <f t="shared" si="8"/>
        <v>600</v>
      </c>
      <c r="O12" s="432">
        <f t="shared" si="9"/>
        <v>150</v>
      </c>
      <c r="P12" s="432">
        <f t="shared" si="10"/>
        <v>350</v>
      </c>
      <c r="Q12" s="432">
        <f t="shared" si="11"/>
        <v>500</v>
      </c>
      <c r="R12" s="432">
        <f t="shared" si="12"/>
        <v>125</v>
      </c>
      <c r="S12" s="432">
        <f t="shared" si="13"/>
        <v>150</v>
      </c>
      <c r="T12" s="432">
        <f t="shared" si="14"/>
        <v>0</v>
      </c>
      <c r="U12" s="432">
        <f t="shared" si="15"/>
        <v>200</v>
      </c>
      <c r="V12" s="432">
        <f t="shared" si="16"/>
        <v>400</v>
      </c>
      <c r="W12" s="431">
        <f t="shared" si="17"/>
        <v>2675</v>
      </c>
      <c r="X12" s="432">
        <f t="shared" si="18"/>
        <v>6.4333337664659211</v>
      </c>
      <c r="Y12" s="432">
        <f t="shared" si="19"/>
        <v>-924.99999999999955</v>
      </c>
      <c r="Z12" s="433">
        <f t="shared" si="20"/>
        <v>-0.25694444444444436</v>
      </c>
      <c r="AA12" s="814">
        <f t="shared" si="21"/>
        <v>3599.9999999999995</v>
      </c>
      <c r="AB12" s="813">
        <f t="shared" si="22"/>
        <v>222.91666666666666</v>
      </c>
      <c r="AD12" s="48" t="s">
        <v>1579</v>
      </c>
      <c r="AE12" s="683">
        <f t="shared" si="2"/>
        <v>54316</v>
      </c>
      <c r="AF12" s="443">
        <f t="shared" si="4"/>
        <v>39743</v>
      </c>
      <c r="AG12" s="443">
        <f t="shared" si="23"/>
        <v>14573</v>
      </c>
      <c r="AH12" s="445"/>
    </row>
    <row r="13" spans="1:34" ht="13.5" customHeight="1" x14ac:dyDescent="0.35">
      <c r="A13" s="463"/>
      <c r="B13" s="464"/>
      <c r="C13" s="464"/>
      <c r="D13" s="463"/>
      <c r="E13" s="465"/>
      <c r="F13" s="45"/>
      <c r="I13" s="582" t="s">
        <v>1281</v>
      </c>
      <c r="J13" s="431">
        <v>-200</v>
      </c>
      <c r="K13" s="432">
        <f t="shared" si="5"/>
        <v>0</v>
      </c>
      <c r="L13" s="432">
        <f t="shared" si="6"/>
        <v>-30</v>
      </c>
      <c r="M13" s="432">
        <f t="shared" si="7"/>
        <v>-200</v>
      </c>
      <c r="N13" s="432">
        <f t="shared" si="8"/>
        <v>0</v>
      </c>
      <c r="O13" s="432">
        <f t="shared" si="9"/>
        <v>-190</v>
      </c>
      <c r="P13" s="432">
        <f t="shared" si="10"/>
        <v>0</v>
      </c>
      <c r="Q13" s="432">
        <f t="shared" si="11"/>
        <v>0</v>
      </c>
      <c r="R13" s="432">
        <f t="shared" si="12"/>
        <v>-75</v>
      </c>
      <c r="S13" s="432">
        <f t="shared" si="13"/>
        <v>-50</v>
      </c>
      <c r="T13" s="432">
        <f t="shared" si="14"/>
        <v>-120</v>
      </c>
      <c r="U13" s="432">
        <f t="shared" si="15"/>
        <v>-300</v>
      </c>
      <c r="V13" s="432">
        <f t="shared" si="16"/>
        <v>0</v>
      </c>
      <c r="W13" s="431">
        <f t="shared" si="17"/>
        <v>-965</v>
      </c>
      <c r="X13" s="432">
        <f t="shared" si="18"/>
        <v>262.37777748902272</v>
      </c>
      <c r="Y13" s="432">
        <f t="shared" si="19"/>
        <v>1434.9999999999995</v>
      </c>
      <c r="Z13" s="433">
        <f t="shared" si="20"/>
        <v>-0.59791666666666654</v>
      </c>
      <c r="AA13" s="814">
        <f t="shared" si="21"/>
        <v>-2399.9999999999995</v>
      </c>
      <c r="AB13" s="813">
        <f t="shared" si="22"/>
        <v>-80.416666666666671</v>
      </c>
    </row>
    <row r="14" spans="1:34" ht="13.5" customHeight="1" x14ac:dyDescent="0.35">
      <c r="A14" s="463"/>
      <c r="B14" s="464"/>
      <c r="C14" s="464"/>
      <c r="D14" s="463"/>
      <c r="E14" s="465"/>
      <c r="F14" s="45"/>
      <c r="I14" s="582" t="s">
        <v>1282</v>
      </c>
      <c r="J14" s="431">
        <v>225</v>
      </c>
      <c r="K14" s="432">
        <f t="shared" si="5"/>
        <v>564.77</v>
      </c>
      <c r="L14" s="432">
        <f t="shared" si="6"/>
        <v>82.2</v>
      </c>
      <c r="M14" s="432">
        <f t="shared" si="7"/>
        <v>862.08999999999992</v>
      </c>
      <c r="N14" s="432">
        <f t="shared" si="8"/>
        <v>227.51999999999998</v>
      </c>
      <c r="O14" s="432">
        <f t="shared" si="9"/>
        <v>151.04</v>
      </c>
      <c r="P14" s="432">
        <f t="shared" si="10"/>
        <v>0</v>
      </c>
      <c r="Q14" s="432">
        <f t="shared" si="11"/>
        <v>417.14</v>
      </c>
      <c r="R14" s="432">
        <f t="shared" si="12"/>
        <v>0</v>
      </c>
      <c r="S14" s="432">
        <f t="shared" si="13"/>
        <v>109.31</v>
      </c>
      <c r="T14" s="432">
        <f t="shared" si="14"/>
        <v>0</v>
      </c>
      <c r="U14" s="432">
        <f t="shared" si="15"/>
        <v>0</v>
      </c>
      <c r="V14" s="432">
        <f t="shared" si="16"/>
        <v>237.94</v>
      </c>
      <c r="W14" s="431">
        <f t="shared" si="17"/>
        <v>2652.0099999999998</v>
      </c>
      <c r="X14" s="432">
        <f t="shared" si="18"/>
        <v>-57.234999675150561</v>
      </c>
      <c r="Y14" s="432">
        <f t="shared" si="19"/>
        <v>-47.989999999999782</v>
      </c>
      <c r="Z14" s="433">
        <f t="shared" si="20"/>
        <v>-1.7774074074073998E-2</v>
      </c>
      <c r="AA14" s="814">
        <f t="shared" si="21"/>
        <v>2699.9999999999995</v>
      </c>
      <c r="AB14" s="813">
        <f t="shared" si="22"/>
        <v>221.0008333333333</v>
      </c>
    </row>
    <row r="15" spans="1:34" ht="13.5" customHeight="1" x14ac:dyDescent="0.35">
      <c r="A15" s="463"/>
      <c r="B15" s="464"/>
      <c r="C15" s="464"/>
      <c r="D15" s="463"/>
      <c r="E15" s="465"/>
      <c r="F15" s="45"/>
      <c r="I15" s="582" t="s">
        <v>1283</v>
      </c>
      <c r="J15" s="431">
        <v>200</v>
      </c>
      <c r="K15" s="432">
        <f t="shared" si="5"/>
        <v>46</v>
      </c>
      <c r="L15" s="432">
        <f t="shared" si="6"/>
        <v>0</v>
      </c>
      <c r="M15" s="432">
        <f t="shared" si="7"/>
        <v>1200</v>
      </c>
      <c r="N15" s="432">
        <f t="shared" si="8"/>
        <v>56</v>
      </c>
      <c r="O15" s="432">
        <f t="shared" si="9"/>
        <v>0</v>
      </c>
      <c r="P15" s="432">
        <f t="shared" si="10"/>
        <v>0</v>
      </c>
      <c r="Q15" s="432">
        <f t="shared" si="11"/>
        <v>175</v>
      </c>
      <c r="R15" s="432">
        <f t="shared" si="12"/>
        <v>0</v>
      </c>
      <c r="S15" s="432">
        <f t="shared" si="13"/>
        <v>600</v>
      </c>
      <c r="T15" s="432">
        <f t="shared" si="14"/>
        <v>20</v>
      </c>
      <c r="U15" s="432">
        <f t="shared" si="15"/>
        <v>0</v>
      </c>
      <c r="V15" s="432">
        <f t="shared" si="16"/>
        <v>150</v>
      </c>
      <c r="W15" s="431">
        <f t="shared" si="17"/>
        <v>2247</v>
      </c>
      <c r="X15" s="432">
        <f t="shared" si="18"/>
        <v>-112.37777748902272</v>
      </c>
      <c r="Y15" s="432">
        <f t="shared" si="19"/>
        <v>-152.99999999999955</v>
      </c>
      <c r="Z15" s="433">
        <f t="shared" si="20"/>
        <v>-6.3749999999999821E-2</v>
      </c>
      <c r="AA15" s="814">
        <f t="shared" si="21"/>
        <v>2399.9999999999995</v>
      </c>
      <c r="AB15" s="813">
        <f t="shared" si="22"/>
        <v>187.25</v>
      </c>
    </row>
    <row r="16" spans="1:34" ht="13.5" customHeight="1" x14ac:dyDescent="0.35">
      <c r="A16" s="463"/>
      <c r="B16" s="464"/>
      <c r="C16" s="464"/>
      <c r="E16" s="465">
        <v>0</v>
      </c>
      <c r="F16" s="49"/>
      <c r="I16" s="582" t="s">
        <v>1284</v>
      </c>
      <c r="J16" s="431">
        <v>25</v>
      </c>
      <c r="K16" s="432">
        <f t="shared" si="5"/>
        <v>26</v>
      </c>
      <c r="L16" s="432">
        <f t="shared" si="6"/>
        <v>60</v>
      </c>
      <c r="M16" s="432">
        <f t="shared" si="7"/>
        <v>24</v>
      </c>
      <c r="N16" s="432">
        <f t="shared" si="8"/>
        <v>40</v>
      </c>
      <c r="O16" s="432">
        <f t="shared" si="9"/>
        <v>55</v>
      </c>
      <c r="P16" s="432">
        <f t="shared" si="10"/>
        <v>23</v>
      </c>
      <c r="Q16" s="432">
        <f t="shared" si="11"/>
        <v>68</v>
      </c>
      <c r="R16" s="432">
        <f t="shared" si="12"/>
        <v>42</v>
      </c>
      <c r="S16" s="432">
        <f t="shared" si="13"/>
        <v>81</v>
      </c>
      <c r="T16" s="432">
        <f t="shared" si="14"/>
        <v>17</v>
      </c>
      <c r="U16" s="432">
        <f t="shared" si="15"/>
        <v>37</v>
      </c>
      <c r="V16" s="432">
        <f t="shared" si="16"/>
        <v>38</v>
      </c>
      <c r="W16" s="431">
        <f t="shared" si="17"/>
        <v>511</v>
      </c>
      <c r="X16" s="432">
        <f t="shared" si="18"/>
        <v>5.2027778138721601</v>
      </c>
      <c r="Y16" s="432">
        <f t="shared" si="19"/>
        <v>211.00000000000006</v>
      </c>
      <c r="Z16" s="433">
        <f t="shared" si="20"/>
        <v>0.7033333333333337</v>
      </c>
      <c r="AA16" s="814">
        <f t="shared" si="21"/>
        <v>299.99999999999994</v>
      </c>
      <c r="AB16" s="813">
        <f t="shared" si="22"/>
        <v>42.583333333333336</v>
      </c>
    </row>
    <row r="17" spans="2:35" ht="15.75" customHeight="1" thickBot="1" x14ac:dyDescent="0.45">
      <c r="B17" s="427"/>
      <c r="C17" s="427"/>
      <c r="E17" s="751"/>
      <c r="F17" s="763"/>
      <c r="I17" s="437" t="s">
        <v>63</v>
      </c>
      <c r="J17" s="778">
        <f t="shared" ref="J17:W17" si="24">SUM(J6:J16)</f>
        <v>6250</v>
      </c>
      <c r="K17" s="439">
        <f t="shared" si="24"/>
        <v>18758.77</v>
      </c>
      <c r="L17" s="439">
        <f t="shared" si="24"/>
        <v>3028.2</v>
      </c>
      <c r="M17" s="439">
        <f t="shared" si="24"/>
        <v>5768.64</v>
      </c>
      <c r="N17" s="439">
        <f t="shared" si="24"/>
        <v>7461.77</v>
      </c>
      <c r="O17" s="439">
        <f t="shared" si="24"/>
        <v>5269.6500000000005</v>
      </c>
      <c r="P17" s="439">
        <f t="shared" si="24"/>
        <v>2223</v>
      </c>
      <c r="Q17" s="439">
        <f t="shared" si="24"/>
        <v>2500.94</v>
      </c>
      <c r="R17" s="439">
        <f t="shared" si="24"/>
        <v>2796.35</v>
      </c>
      <c r="S17" s="439">
        <f t="shared" si="24"/>
        <v>3928.56</v>
      </c>
      <c r="T17" s="439">
        <f t="shared" si="24"/>
        <v>2389</v>
      </c>
      <c r="U17" s="439">
        <f t="shared" si="24"/>
        <v>3577.95</v>
      </c>
      <c r="V17" s="439">
        <f t="shared" si="24"/>
        <v>3624.19</v>
      </c>
      <c r="W17" s="438">
        <f t="shared" si="24"/>
        <v>61327.02</v>
      </c>
      <c r="X17" s="432">
        <f t="shared" si="18"/>
        <v>-4575.1155465319589</v>
      </c>
      <c r="Y17" s="820">
        <f t="shared" si="19"/>
        <v>-13672.979999999989</v>
      </c>
      <c r="Z17" s="833">
        <f t="shared" si="20"/>
        <v>-0.1823063999999999</v>
      </c>
      <c r="AA17" s="814">
        <f t="shared" si="21"/>
        <v>74999.999999999985</v>
      </c>
      <c r="AB17" s="834">
        <f t="shared" si="22"/>
        <v>5110.585</v>
      </c>
      <c r="AD17" s="469" t="s">
        <v>70</v>
      </c>
      <c r="AE17" s="469" t="s">
        <v>71</v>
      </c>
      <c r="AF17" s="469" t="s">
        <v>72</v>
      </c>
      <c r="AG17" s="469" t="s">
        <v>73</v>
      </c>
      <c r="AH17" s="469" t="s">
        <v>74</v>
      </c>
      <c r="AI17" s="469" t="s">
        <v>75</v>
      </c>
    </row>
    <row r="18" spans="2:35" ht="13.9" customHeight="1" x14ac:dyDescent="0.4">
      <c r="B18" s="427"/>
      <c r="C18" s="427"/>
      <c r="D18" s="463"/>
      <c r="E18" s="751"/>
      <c r="F18" s="763"/>
      <c r="I18" s="46" t="s">
        <v>18</v>
      </c>
      <c r="J18" s="441">
        <f>J17*12</f>
        <v>75000</v>
      </c>
      <c r="K18" s="671">
        <f t="shared" ref="K18:V18" si="25">K17/K3</f>
        <v>3.3002978509382528</v>
      </c>
      <c r="L18" s="671">
        <f t="shared" si="25"/>
        <v>0.68289334797899504</v>
      </c>
      <c r="M18" s="671">
        <f t="shared" si="25"/>
        <v>0.93365708961208727</v>
      </c>
      <c r="N18" s="671">
        <f t="shared" si="25"/>
        <v>1.1698526373504277</v>
      </c>
      <c r="O18" s="671">
        <f t="shared" si="25"/>
        <v>0.81721621152286539</v>
      </c>
      <c r="P18" s="671">
        <f t="shared" si="25"/>
        <v>0.42878699338277654</v>
      </c>
      <c r="Q18" s="671">
        <f t="shared" si="25"/>
        <v>0.62542787675189015</v>
      </c>
      <c r="R18" s="671">
        <f t="shared" si="25"/>
        <v>0.36702491082472372</v>
      </c>
      <c r="S18" s="671">
        <f t="shared" si="25"/>
        <v>0.51282963703583495</v>
      </c>
      <c r="T18" s="671">
        <f t="shared" si="25"/>
        <v>0.35760131507315707</v>
      </c>
      <c r="U18" s="671">
        <f t="shared" si="25"/>
        <v>0.5476029456824123</v>
      </c>
      <c r="V18" s="671">
        <f t="shared" si="25"/>
        <v>0.44201182398098521</v>
      </c>
      <c r="W18" s="671">
        <f>W17/AA17</f>
        <v>0.81769360000000013</v>
      </c>
      <c r="X18" s="583"/>
      <c r="Y18" s="832"/>
      <c r="AB18" s="445"/>
    </row>
    <row r="19" spans="2:35" ht="13.15" customHeight="1" x14ac:dyDescent="0.4">
      <c r="I19" s="446" t="s">
        <v>82</v>
      </c>
      <c r="J19" s="850" t="s">
        <v>1580</v>
      </c>
      <c r="K19" s="873">
        <f t="shared" ref="K19:W19" si="26">IFERROR((K17-K21)/K21,0)</f>
        <v>10.48730557256583</v>
      </c>
      <c r="L19" s="873">
        <f t="shared" si="26"/>
        <v>-0.18819148622456236</v>
      </c>
      <c r="M19" s="873">
        <f t="shared" si="26"/>
        <v>-0.68319285088210679</v>
      </c>
      <c r="N19" s="873">
        <f t="shared" si="26"/>
        <v>0.97244779275707127</v>
      </c>
      <c r="O19" s="873">
        <f t="shared" si="26"/>
        <v>0.40509761677483358</v>
      </c>
      <c r="P19" s="873">
        <f t="shared" si="26"/>
        <v>-0.54246079117441237</v>
      </c>
      <c r="Q19" s="873">
        <f t="shared" si="26"/>
        <v>-0.33931076386595688</v>
      </c>
      <c r="R19" s="873">
        <f t="shared" si="26"/>
        <v>-0.62169361559357983</v>
      </c>
      <c r="S19" s="873">
        <f t="shared" si="26"/>
        <v>-0.26640685834221867</v>
      </c>
      <c r="T19" s="873">
        <f t="shared" si="26"/>
        <v>-0.54066525668140741</v>
      </c>
      <c r="U19" s="873">
        <f t="shared" si="26"/>
        <v>-0.17559135672185855</v>
      </c>
      <c r="V19" s="873">
        <f t="shared" si="26"/>
        <v>-0.52493065714480469</v>
      </c>
      <c r="W19" s="873">
        <f t="shared" si="26"/>
        <v>-0.11969904388039102</v>
      </c>
      <c r="X19" s="583"/>
      <c r="Y19" s="585"/>
      <c r="Z19" s="45" t="s">
        <v>84</v>
      </c>
      <c r="AB19" s="817">
        <f>SUM(+Q17+R17+S17+T17+U17+V17)/6</f>
        <v>3136.1649999999995</v>
      </c>
    </row>
    <row r="20" spans="2:35" ht="13.15" customHeight="1" x14ac:dyDescent="0.4">
      <c r="I20" s="446"/>
      <c r="J20" s="441"/>
      <c r="N20" s="432"/>
      <c r="P20" s="432"/>
      <c r="Q20" s="432"/>
      <c r="R20" s="432"/>
      <c r="S20" s="432"/>
      <c r="T20" s="432"/>
      <c r="U20" s="432">
        <v>3345</v>
      </c>
      <c r="V20" s="432">
        <f>V17-U20</f>
        <v>279.19000000000005</v>
      </c>
      <c r="W20" s="432"/>
      <c r="X20" s="583"/>
      <c r="Y20" s="585"/>
      <c r="Z20" s="45"/>
      <c r="AB20" s="817"/>
    </row>
    <row r="21" spans="2:35" ht="13.15" customHeight="1" x14ac:dyDescent="0.4">
      <c r="I21" s="541" t="s">
        <v>106</v>
      </c>
      <c r="J21" s="584" t="s">
        <v>33</v>
      </c>
      <c r="K21" s="558">
        <v>1633</v>
      </c>
      <c r="L21" s="558">
        <v>3730.19</v>
      </c>
      <c r="M21" s="558">
        <v>18208.68</v>
      </c>
      <c r="N21" s="558">
        <v>3783</v>
      </c>
      <c r="O21" s="558">
        <v>3750.38</v>
      </c>
      <c r="P21" s="558">
        <v>4858.6000000000004</v>
      </c>
      <c r="Q21" s="558">
        <v>3785.35</v>
      </c>
      <c r="R21" s="558">
        <v>7391.76</v>
      </c>
      <c r="S21" s="558">
        <v>5355.23</v>
      </c>
      <c r="T21" s="558">
        <v>5201</v>
      </c>
      <c r="U21" s="558">
        <v>4340.0200000000004</v>
      </c>
      <c r="V21" s="558">
        <v>7628.76</v>
      </c>
      <c r="W21" s="431">
        <f t="shared" ref="W21:W29" si="27">SUM(K21:V21)</f>
        <v>69665.97</v>
      </c>
      <c r="X21" s="583">
        <f t="shared" ref="X21:X28" si="28">W21-W22</f>
        <v>14664.073076923072</v>
      </c>
      <c r="Y21" s="585">
        <f t="shared" ref="Y21:Y28" si="29">X21/W22</f>
        <v>0.26661031523024664</v>
      </c>
      <c r="Z21" s="45"/>
      <c r="AB21" s="817"/>
    </row>
    <row r="22" spans="2:35" ht="13.15" customHeight="1" x14ac:dyDescent="0.4">
      <c r="I22" s="541" t="s">
        <v>108</v>
      </c>
      <c r="J22" s="584" t="s">
        <v>39</v>
      </c>
      <c r="K22" s="558">
        <v>7647.85</v>
      </c>
      <c r="L22" s="558">
        <v>5051.6400000000003</v>
      </c>
      <c r="M22" s="558">
        <v>4783.7469230769229</v>
      </c>
      <c r="N22" s="558">
        <v>1598.35</v>
      </c>
      <c r="O22" s="558">
        <v>1786.66</v>
      </c>
      <c r="P22" s="558">
        <v>6854.62</v>
      </c>
      <c r="Q22" s="558">
        <v>2667</v>
      </c>
      <c r="R22" s="558">
        <v>11694.07</v>
      </c>
      <c r="S22" s="558">
        <v>4126.62</v>
      </c>
      <c r="T22" s="558">
        <v>2423.69</v>
      </c>
      <c r="U22" s="558">
        <v>3332.58</v>
      </c>
      <c r="V22" s="558">
        <v>3035.07</v>
      </c>
      <c r="W22" s="431">
        <f t="shared" si="27"/>
        <v>55001.896923076929</v>
      </c>
      <c r="X22" s="583">
        <f t="shared" si="28"/>
        <v>-10181.033076923071</v>
      </c>
      <c r="Y22" s="585">
        <f t="shared" si="29"/>
        <v>-0.15619170658519141</v>
      </c>
      <c r="Z22" s="45"/>
      <c r="AB22" s="817"/>
    </row>
    <row r="23" spans="2:35" ht="13.9" customHeight="1" x14ac:dyDescent="0.4">
      <c r="B23" s="427"/>
      <c r="C23" s="427"/>
      <c r="E23" s="751"/>
      <c r="F23" s="763"/>
      <c r="G23" s="427"/>
      <c r="I23" s="541" t="s">
        <v>109</v>
      </c>
      <c r="J23" s="584" t="s">
        <v>43</v>
      </c>
      <c r="K23" s="558">
        <v>5891.07</v>
      </c>
      <c r="L23" s="558">
        <v>2739.5</v>
      </c>
      <c r="M23" s="558">
        <v>4414.5</v>
      </c>
      <c r="N23" s="558">
        <v>5147.5</v>
      </c>
      <c r="O23" s="558">
        <v>6878</v>
      </c>
      <c r="P23" s="558">
        <v>4875.34</v>
      </c>
      <c r="Q23" s="558">
        <v>5769.97</v>
      </c>
      <c r="R23" s="558">
        <v>7463.89</v>
      </c>
      <c r="S23" s="558">
        <v>6034.39</v>
      </c>
      <c r="T23" s="558">
        <v>4573.58</v>
      </c>
      <c r="U23" s="558">
        <v>5973.75</v>
      </c>
      <c r="V23" s="558">
        <v>5421.4400000000014</v>
      </c>
      <c r="W23" s="431">
        <f t="shared" si="27"/>
        <v>65182.93</v>
      </c>
      <c r="X23" s="583">
        <f t="shared" si="28"/>
        <v>-3418.8049999999857</v>
      </c>
      <c r="Y23" s="585">
        <f t="shared" si="29"/>
        <v>-4.983554716218163E-2</v>
      </c>
      <c r="Z23" s="45" t="s">
        <v>110</v>
      </c>
      <c r="AB23" s="817">
        <f>SUM(K17+L17+M17+N17+O17+P17)/6</f>
        <v>7085.005000000001</v>
      </c>
    </row>
    <row r="24" spans="2:35" ht="13.9" customHeight="1" x14ac:dyDescent="0.4">
      <c r="B24" s="427"/>
      <c r="C24" s="427"/>
      <c r="E24" s="751"/>
      <c r="F24" s="763"/>
      <c r="I24" s="541" t="s">
        <v>115</v>
      </c>
      <c r="J24" s="45" t="s">
        <v>46</v>
      </c>
      <c r="K24" s="558">
        <v>8277.4700000000012</v>
      </c>
      <c r="L24" s="558">
        <v>10607.11</v>
      </c>
      <c r="M24" s="558">
        <v>7155.05</v>
      </c>
      <c r="N24" s="558">
        <v>4371.0150000000003</v>
      </c>
      <c r="O24" s="558">
        <v>4002.63</v>
      </c>
      <c r="P24" s="558">
        <v>3243.6</v>
      </c>
      <c r="Q24" s="558">
        <v>2859.03</v>
      </c>
      <c r="R24" s="558">
        <v>4792.59</v>
      </c>
      <c r="S24" s="558">
        <v>6443.88</v>
      </c>
      <c r="T24" s="558">
        <v>3908.03</v>
      </c>
      <c r="U24" s="558">
        <v>8299.08</v>
      </c>
      <c r="V24" s="558">
        <v>4642.25</v>
      </c>
      <c r="W24" s="431">
        <f t="shared" si="27"/>
        <v>68601.734999999986</v>
      </c>
      <c r="X24" s="583">
        <f t="shared" si="28"/>
        <v>-8066.4350000000122</v>
      </c>
      <c r="Y24" s="585">
        <f t="shared" si="29"/>
        <v>-0.10521230648912075</v>
      </c>
      <c r="AB24" s="445">
        <f>SUM(AB19-AB23)/AB19</f>
        <v>-1.25913017969399</v>
      </c>
      <c r="AD24" s="470"/>
      <c r="AE24" s="471"/>
      <c r="AF24" s="471"/>
      <c r="AG24" s="472"/>
      <c r="AH24" s="472"/>
      <c r="AI24" s="474"/>
    </row>
    <row r="25" spans="2:35" ht="13.9" customHeight="1" x14ac:dyDescent="0.4">
      <c r="B25" s="427"/>
      <c r="C25" s="427"/>
      <c r="D25" s="463"/>
      <c r="E25" s="751"/>
      <c r="F25" s="763"/>
      <c r="I25" s="440" t="s">
        <v>116</v>
      </c>
      <c r="J25" s="45" t="s">
        <v>49</v>
      </c>
      <c r="K25" s="558">
        <v>3203.5</v>
      </c>
      <c r="L25" s="558">
        <v>6685</v>
      </c>
      <c r="M25" s="558">
        <v>6242.83</v>
      </c>
      <c r="N25" s="558">
        <v>6063.17</v>
      </c>
      <c r="O25" s="558">
        <v>5851.71</v>
      </c>
      <c r="P25" s="558">
        <v>5479.93</v>
      </c>
      <c r="Q25" s="558">
        <v>3603.81</v>
      </c>
      <c r="R25" s="558">
        <v>4658.8500000000004</v>
      </c>
      <c r="S25" s="558">
        <v>10821.67</v>
      </c>
      <c r="T25" s="558">
        <v>9224.58</v>
      </c>
      <c r="U25" s="558">
        <v>10504.09</v>
      </c>
      <c r="V25" s="558">
        <v>4329.0300000000007</v>
      </c>
      <c r="W25" s="431">
        <f t="shared" si="27"/>
        <v>76668.17</v>
      </c>
      <c r="X25" s="583">
        <f t="shared" si="28"/>
        <v>19028.169999999998</v>
      </c>
      <c r="Y25" s="585">
        <f t="shared" si="29"/>
        <v>0.3301209229701596</v>
      </c>
      <c r="AA25" s="559" t="s">
        <v>1038</v>
      </c>
      <c r="AB25" s="831">
        <f>SUM(W17)+(AB17*1)</f>
        <v>66437.604999999996</v>
      </c>
      <c r="AD25" s="470"/>
      <c r="AE25" s="471"/>
      <c r="AF25" s="471"/>
      <c r="AG25" s="472"/>
      <c r="AH25" s="472"/>
      <c r="AI25" s="474"/>
    </row>
    <row r="26" spans="2:35" ht="13.9" customHeight="1" x14ac:dyDescent="0.4">
      <c r="B26" s="427"/>
      <c r="C26" s="427"/>
      <c r="E26" s="751"/>
      <c r="F26" s="763"/>
      <c r="I26" s="440" t="s">
        <v>117</v>
      </c>
      <c r="J26" s="584" t="s">
        <v>52</v>
      </c>
      <c r="K26" s="558">
        <v>4537</v>
      </c>
      <c r="L26" s="558">
        <f>4583-264</f>
        <v>4319</v>
      </c>
      <c r="M26" s="558">
        <f>3935-213</f>
        <v>3722</v>
      </c>
      <c r="N26" s="558">
        <f>4947-396</f>
        <v>4551</v>
      </c>
      <c r="O26" s="558">
        <f>3911-293</f>
        <v>3618</v>
      </c>
      <c r="P26" s="558">
        <f>2992-213</f>
        <v>2779</v>
      </c>
      <c r="Q26" s="558">
        <f>2927-218</f>
        <v>2709</v>
      </c>
      <c r="R26" s="558">
        <f>7466-213</f>
        <v>7253</v>
      </c>
      <c r="S26" s="558">
        <f>4218-425</f>
        <v>3793</v>
      </c>
      <c r="T26" s="558">
        <f>10697-213</f>
        <v>10484</v>
      </c>
      <c r="U26" s="558">
        <f>5081-213</f>
        <v>4868</v>
      </c>
      <c r="V26" s="558">
        <f>5220-213</f>
        <v>5007</v>
      </c>
      <c r="W26" s="431">
        <f t="shared" si="27"/>
        <v>57640</v>
      </c>
      <c r="X26" s="583">
        <f t="shared" si="28"/>
        <v>-1429</v>
      </c>
      <c r="Y26" s="585">
        <f t="shared" si="29"/>
        <v>-2.4192046589581677E-2</v>
      </c>
      <c r="Z26" s="445"/>
      <c r="AA26" s="771"/>
      <c r="AB26" s="799"/>
      <c r="AD26" s="470"/>
      <c r="AE26" s="471"/>
      <c r="AF26" s="471"/>
      <c r="AG26" s="472"/>
      <c r="AH26" s="472"/>
      <c r="AI26" s="474"/>
    </row>
    <row r="27" spans="2:35" ht="13.9" customHeight="1" x14ac:dyDescent="0.4">
      <c r="B27" s="427" t="s">
        <v>64</v>
      </c>
      <c r="C27" s="427" t="s">
        <v>65</v>
      </c>
      <c r="D27" s="548" t="s">
        <v>66</v>
      </c>
      <c r="E27" s="751"/>
      <c r="F27" s="763" t="s">
        <v>67</v>
      </c>
      <c r="I27" s="440" t="s">
        <v>118</v>
      </c>
      <c r="J27" s="45" t="s">
        <v>55</v>
      </c>
      <c r="K27" s="558">
        <v>3710</v>
      </c>
      <c r="L27" s="558">
        <v>3750</v>
      </c>
      <c r="M27" s="558">
        <v>7113</v>
      </c>
      <c r="N27" s="558">
        <f>3928-213</f>
        <v>3715</v>
      </c>
      <c r="O27" s="558">
        <f>2501-213</f>
        <v>2288</v>
      </c>
      <c r="P27" s="558">
        <f>3468-213</f>
        <v>3255</v>
      </c>
      <c r="Q27" s="558">
        <f>1986-224</f>
        <v>1762</v>
      </c>
      <c r="R27" s="558">
        <f>4145-212</f>
        <v>3933</v>
      </c>
      <c r="S27" s="558">
        <f>8518-212</f>
        <v>8306</v>
      </c>
      <c r="T27" s="558">
        <f>5829-424</f>
        <v>5405</v>
      </c>
      <c r="U27" s="558">
        <f>3816-212</f>
        <v>3604</v>
      </c>
      <c r="V27" s="558">
        <f>12440-212</f>
        <v>12228</v>
      </c>
      <c r="W27" s="431">
        <f t="shared" si="27"/>
        <v>59069</v>
      </c>
      <c r="X27" s="583">
        <f t="shared" si="28"/>
        <v>8447</v>
      </c>
      <c r="Y27" s="585">
        <f t="shared" si="29"/>
        <v>0.16686420923709058</v>
      </c>
      <c r="Z27" s="445"/>
      <c r="AA27" s="445"/>
      <c r="AB27" s="45" t="s">
        <v>119</v>
      </c>
      <c r="AD27" s="470"/>
      <c r="AE27" s="471"/>
      <c r="AF27" s="471"/>
      <c r="AG27" s="472"/>
      <c r="AH27" s="472"/>
      <c r="AI27" s="474"/>
    </row>
    <row r="28" spans="2:35" ht="13.9" customHeight="1" x14ac:dyDescent="0.4">
      <c r="B28" s="427"/>
      <c r="C28" s="427"/>
      <c r="D28" s="470"/>
      <c r="E28" s="751"/>
      <c r="F28" s="462"/>
      <c r="I28" s="440" t="s">
        <v>120</v>
      </c>
      <c r="J28" s="45" t="s">
        <v>58</v>
      </c>
      <c r="K28" s="558">
        <f>4439-1260</f>
        <v>3179</v>
      </c>
      <c r="L28" s="558">
        <f>3071-197</f>
        <v>2874</v>
      </c>
      <c r="M28" s="558">
        <f>4958-132</f>
        <v>4826</v>
      </c>
      <c r="N28" s="558">
        <f>3585-132</f>
        <v>3453</v>
      </c>
      <c r="O28" s="558">
        <f>5008-33</f>
        <v>4975</v>
      </c>
      <c r="P28" s="558">
        <v>3386</v>
      </c>
      <c r="Q28" s="558">
        <v>3633</v>
      </c>
      <c r="R28" s="558">
        <v>3855</v>
      </c>
      <c r="S28" s="558">
        <v>6440</v>
      </c>
      <c r="T28" s="558">
        <v>3536</v>
      </c>
      <c r="U28" s="558">
        <v>2851</v>
      </c>
      <c r="V28" s="558">
        <v>7614</v>
      </c>
      <c r="W28" s="431">
        <f t="shared" si="27"/>
        <v>50622</v>
      </c>
      <c r="X28" s="583">
        <f t="shared" si="28"/>
        <v>41228</v>
      </c>
      <c r="Y28" s="585">
        <f t="shared" si="29"/>
        <v>4.3887587822014051</v>
      </c>
      <c r="AD28" s="470"/>
      <c r="AE28" s="471"/>
      <c r="AF28" s="471"/>
      <c r="AG28" s="472"/>
      <c r="AH28" s="472"/>
      <c r="AI28" s="474"/>
    </row>
    <row r="29" spans="2:35" ht="13.9" customHeight="1" x14ac:dyDescent="0.4">
      <c r="B29" s="427"/>
      <c r="C29" s="427"/>
      <c r="D29" s="548"/>
      <c r="E29" s="751"/>
      <c r="F29" s="763"/>
      <c r="I29" s="541" t="s">
        <v>121</v>
      </c>
      <c r="J29" s="45" t="s">
        <v>61</v>
      </c>
      <c r="K29" s="558"/>
      <c r="L29" s="558"/>
      <c r="M29" s="558"/>
      <c r="N29" s="558"/>
      <c r="O29" s="558"/>
      <c r="P29" s="558"/>
      <c r="Q29" s="558"/>
      <c r="R29" s="558"/>
      <c r="S29" s="558"/>
      <c r="T29" s="558"/>
      <c r="U29" s="558">
        <f>3346-338</f>
        <v>3008</v>
      </c>
      <c r="V29" s="558">
        <f>6776-390</f>
        <v>6386</v>
      </c>
      <c r="W29" s="431">
        <f t="shared" si="27"/>
        <v>9394</v>
      </c>
      <c r="AD29" s="470"/>
      <c r="AE29" s="471"/>
      <c r="AF29" s="471"/>
      <c r="AG29" s="472"/>
      <c r="AH29" s="472"/>
      <c r="AI29" s="474"/>
    </row>
    <row r="30" spans="2:35" ht="13.9" customHeight="1" x14ac:dyDescent="0.4">
      <c r="B30" s="427" t="s">
        <v>1581</v>
      </c>
      <c r="C30" s="427" t="s">
        <v>65</v>
      </c>
      <c r="E30" s="751">
        <v>25</v>
      </c>
      <c r="F30" s="763" t="s">
        <v>235</v>
      </c>
      <c r="X30" s="45" t="s">
        <v>122</v>
      </c>
      <c r="Y30" s="688">
        <f>W17-K21-L21-M21-N21-O21-P21-Q21-R21-S21-T21-U21-V21</f>
        <v>-8338.950000000008</v>
      </c>
      <c r="Z30" s="835">
        <f>Y30/W17</f>
        <v>-0.13597513787560539</v>
      </c>
      <c r="AD30" s="470"/>
      <c r="AE30" s="471"/>
      <c r="AF30" s="471"/>
      <c r="AG30" s="472"/>
      <c r="AH30" s="472"/>
      <c r="AI30" s="474"/>
    </row>
    <row r="31" spans="2:35" ht="15" customHeight="1" x14ac:dyDescent="0.4">
      <c r="I31" s="447" t="s">
        <v>123</v>
      </c>
      <c r="J31" s="448">
        <f ca="1">SUMIF($C2:E99,I31,$E2:$E69)</f>
        <v>0</v>
      </c>
      <c r="K31" s="558">
        <f t="shared" ref="K31:V31" si="30">AVERAGE(K21:K28)</f>
        <v>4759.8612499999999</v>
      </c>
      <c r="L31" s="558">
        <f t="shared" si="30"/>
        <v>4969.5550000000003</v>
      </c>
      <c r="M31" s="558">
        <f t="shared" si="30"/>
        <v>7058.2258653846156</v>
      </c>
      <c r="N31" s="558">
        <f t="shared" si="30"/>
        <v>4085.2543750000004</v>
      </c>
      <c r="O31" s="558">
        <f t="shared" si="30"/>
        <v>4143.7975000000006</v>
      </c>
      <c r="P31" s="558">
        <f t="shared" si="30"/>
        <v>4341.5112499999996</v>
      </c>
      <c r="Q31" s="558">
        <f t="shared" si="30"/>
        <v>3348.645</v>
      </c>
      <c r="R31" s="558">
        <f t="shared" si="30"/>
        <v>6380.27</v>
      </c>
      <c r="S31" s="558">
        <f t="shared" si="30"/>
        <v>6415.0987500000001</v>
      </c>
      <c r="T31" s="558">
        <f t="shared" si="30"/>
        <v>5594.4850000000006</v>
      </c>
      <c r="U31" s="558">
        <f t="shared" si="30"/>
        <v>5471.5650000000005</v>
      </c>
      <c r="V31" s="558">
        <f t="shared" si="30"/>
        <v>6238.1937500000004</v>
      </c>
      <c r="W31" s="449">
        <f>SUM(K31:V31)</f>
        <v>62806.462740384617</v>
      </c>
      <c r="X31" s="449" t="s">
        <v>1039</v>
      </c>
      <c r="AD31" s="470"/>
      <c r="AE31" s="471"/>
      <c r="AF31" s="471"/>
      <c r="AG31" s="472"/>
      <c r="AH31" s="472"/>
      <c r="AI31" s="474"/>
    </row>
    <row r="32" spans="2:35" ht="15" customHeight="1" x14ac:dyDescent="0.4">
      <c r="B32" s="427" t="s">
        <v>1547</v>
      </c>
      <c r="C32" s="427" t="s">
        <v>65</v>
      </c>
      <c r="D32" s="548" t="s">
        <v>1582</v>
      </c>
      <c r="E32" s="751">
        <v>200</v>
      </c>
      <c r="F32" s="763" t="s">
        <v>1583</v>
      </c>
      <c r="I32" s="450" t="s">
        <v>65</v>
      </c>
      <c r="J32" s="451">
        <f ca="1">SUMIF($C2:E69,I32,$E2:$E69)</f>
        <v>1557.5</v>
      </c>
      <c r="L32" s="449"/>
      <c r="M32" s="449"/>
      <c r="N32" s="449"/>
      <c r="O32" s="449"/>
      <c r="P32" s="449"/>
      <c r="Q32" s="449"/>
      <c r="R32" s="449"/>
      <c r="S32" s="449"/>
      <c r="T32" s="449"/>
      <c r="U32" s="449"/>
      <c r="V32" s="449"/>
      <c r="W32" s="449"/>
      <c r="X32" s="449"/>
      <c r="AD32" s="470"/>
      <c r="AE32" s="471"/>
      <c r="AF32" s="471"/>
      <c r="AG32" s="472"/>
      <c r="AH32" s="472"/>
      <c r="AI32" s="474"/>
    </row>
    <row r="33" spans="2:26" ht="15.4" customHeight="1" thickBot="1" x14ac:dyDescent="0.45">
      <c r="B33" s="427"/>
      <c r="C33" s="427"/>
      <c r="D33" s="470"/>
      <c r="E33" s="751"/>
      <c r="F33" s="763"/>
      <c r="I33" s="452" t="s">
        <v>1289</v>
      </c>
      <c r="J33" s="453">
        <f ca="1">SUM(J31:J32)</f>
        <v>1557.5</v>
      </c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795" t="s">
        <v>132</v>
      </c>
      <c r="V33" s="796"/>
      <c r="W33" s="688">
        <f>SUM(W21:W29)+W17</f>
        <v>573172.7219230769</v>
      </c>
      <c r="X33" s="454"/>
    </row>
    <row r="34" spans="2:26" ht="13.9" customHeight="1" thickBot="1" x14ac:dyDescent="0.4">
      <c r="B34" s="427"/>
      <c r="C34" s="427"/>
      <c r="D34" s="470"/>
      <c r="E34" s="751"/>
      <c r="F34" s="763"/>
      <c r="J34" s="454"/>
      <c r="K34" s="454"/>
      <c r="L34" s="454"/>
      <c r="M34" s="454"/>
      <c r="N34" s="454"/>
      <c r="O34" s="454"/>
      <c r="P34" s="454"/>
      <c r="Q34" s="454"/>
      <c r="R34" s="454"/>
      <c r="S34" s="454"/>
      <c r="T34" s="454"/>
      <c r="U34" s="795" t="s">
        <v>133</v>
      </c>
      <c r="V34" s="796"/>
      <c r="W34" s="558">
        <f>SUM(W21:W28)/8</f>
        <v>62806.462740384617</v>
      </c>
      <c r="X34" s="454"/>
    </row>
    <row r="35" spans="2:26" ht="13.9" customHeight="1" x14ac:dyDescent="0.4">
      <c r="B35" s="903" t="s">
        <v>1530</v>
      </c>
      <c r="C35" s="903" t="s">
        <v>65</v>
      </c>
      <c r="D35" s="904" t="s">
        <v>1584</v>
      </c>
      <c r="E35" s="905">
        <v>200</v>
      </c>
      <c r="F35" s="906" t="s">
        <v>1585</v>
      </c>
      <c r="I35" s="455" t="s">
        <v>134</v>
      </c>
      <c r="J35" s="456">
        <f>W17</f>
        <v>61327.02</v>
      </c>
      <c r="K35" s="454">
        <f>SUM(E154:E690)-J35</f>
        <v>0</v>
      </c>
      <c r="L35" s="454"/>
      <c r="M35" s="454"/>
      <c r="N35" s="454"/>
      <c r="O35" s="454"/>
      <c r="P35" s="454"/>
      <c r="Q35" s="454"/>
      <c r="R35" s="454"/>
      <c r="S35" s="454"/>
      <c r="T35" s="454"/>
      <c r="U35" s="454"/>
      <c r="V35" s="454"/>
      <c r="W35" s="454"/>
      <c r="X35" s="454"/>
    </row>
    <row r="36" spans="2:26" ht="14.25" customHeight="1" thickBot="1" x14ac:dyDescent="0.45">
      <c r="B36" s="903"/>
      <c r="C36" s="903"/>
      <c r="D36" s="904"/>
      <c r="E36" s="905"/>
      <c r="F36" s="906"/>
      <c r="I36" s="457" t="s">
        <v>135</v>
      </c>
      <c r="J36" s="458">
        <f>J35-AA17</f>
        <v>-13672.979999999989</v>
      </c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  <c r="V36" s="454"/>
      <c r="W36" s="454"/>
      <c r="X36" s="454"/>
    </row>
    <row r="37" spans="2:26" ht="13.5" customHeight="1" x14ac:dyDescent="0.35">
      <c r="B37" s="427" t="s">
        <v>1453</v>
      </c>
      <c r="C37" s="427" t="s">
        <v>65</v>
      </c>
      <c r="D37" s="548" t="s">
        <v>1586</v>
      </c>
      <c r="E37" s="751">
        <v>625</v>
      </c>
      <c r="F37" s="763" t="s">
        <v>1587</v>
      </c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</row>
    <row r="38" spans="2:26" x14ac:dyDescent="0.35">
      <c r="J38" s="454"/>
      <c r="K38" s="454"/>
      <c r="L38" s="454"/>
      <c r="M38" s="454"/>
      <c r="N38" s="454"/>
      <c r="O38" s="454"/>
      <c r="P38" s="454"/>
      <c r="Q38" s="454"/>
      <c r="R38" s="454"/>
      <c r="S38" s="454"/>
      <c r="T38" s="454"/>
      <c r="U38" s="454"/>
      <c r="V38" s="454"/>
      <c r="W38" s="454"/>
      <c r="X38" s="454"/>
    </row>
    <row r="39" spans="2:26" ht="13.9" customHeight="1" x14ac:dyDescent="0.4">
      <c r="B39" s="427" t="s">
        <v>87</v>
      </c>
      <c r="C39" s="427" t="s">
        <v>65</v>
      </c>
      <c r="D39" s="470"/>
      <c r="E39" s="751"/>
      <c r="F39" s="763"/>
      <c r="G39" s="287"/>
      <c r="I39" s="420" t="s">
        <v>140</v>
      </c>
      <c r="J39" s="557" t="s">
        <v>1588</v>
      </c>
      <c r="K39" s="577" t="s">
        <v>142</v>
      </c>
      <c r="L39" s="577" t="s">
        <v>143</v>
      </c>
      <c r="M39" s="577" t="s">
        <v>144</v>
      </c>
      <c r="N39" s="577" t="s">
        <v>145</v>
      </c>
      <c r="O39" s="577" t="s">
        <v>146</v>
      </c>
      <c r="P39" s="577" t="s">
        <v>147</v>
      </c>
      <c r="Q39" s="577" t="s">
        <v>148</v>
      </c>
      <c r="R39" s="577" t="s">
        <v>149</v>
      </c>
      <c r="S39" s="577" t="s">
        <v>150</v>
      </c>
      <c r="T39" s="577" t="s">
        <v>151</v>
      </c>
      <c r="U39" s="577" t="s">
        <v>152</v>
      </c>
      <c r="V39" s="577" t="s">
        <v>153</v>
      </c>
      <c r="W39" s="423" t="s">
        <v>19</v>
      </c>
      <c r="Y39" s="579" t="s">
        <v>21</v>
      </c>
    </row>
    <row r="40" spans="2:26" ht="13.5" customHeight="1" x14ac:dyDescent="0.35">
      <c r="B40" s="464"/>
      <c r="C40" s="464"/>
      <c r="D40" s="470"/>
      <c r="E40" s="751"/>
      <c r="F40" s="763"/>
      <c r="G40" s="287"/>
      <c r="I40" s="581" t="s">
        <v>28</v>
      </c>
      <c r="J40" s="431"/>
      <c r="K40" s="432">
        <f>K6-'Sales 2021'!K6</f>
        <v>-21</v>
      </c>
      <c r="L40" s="432">
        <f>L6-'Sales 2021'!L6</f>
        <v>-1270</v>
      </c>
      <c r="M40" s="432">
        <f>M6-'Sales 2021'!M6</f>
        <v>-1045</v>
      </c>
      <c r="N40" s="432">
        <f>N6-'Sales 2021'!N6</f>
        <v>345</v>
      </c>
      <c r="O40" s="432">
        <f>O6-'Sales 2021'!O6</f>
        <v>-877.5</v>
      </c>
      <c r="P40" s="432">
        <f>P6-'Sales 2021'!P6</f>
        <v>280</v>
      </c>
      <c r="Q40" s="432">
        <f>Q6-'Sales 2021'!Q6</f>
        <v>-200</v>
      </c>
      <c r="R40" s="432">
        <f>R6-'Sales 2021'!R6</f>
        <v>-102.5</v>
      </c>
      <c r="S40" s="432">
        <f>S6-'Sales 2021'!S6</f>
        <v>-48.75</v>
      </c>
      <c r="T40" s="432">
        <f>T6-'Sales 2021'!T6</f>
        <v>995</v>
      </c>
      <c r="U40" s="432">
        <f>U6-'Sales 2021'!U6</f>
        <v>1015</v>
      </c>
      <c r="V40" s="432">
        <f>V6-'Sales 2021'!V6</f>
        <v>30</v>
      </c>
      <c r="W40" s="788">
        <f t="shared" ref="W40:W50" si="31">SUM(K40:V40)</f>
        <v>-899.75</v>
      </c>
      <c r="X40" s="445">
        <f>W40/'Sales 2020'!W5</f>
        <v>-0.10731430956853624</v>
      </c>
      <c r="Y40" s="790">
        <f t="shared" ref="Y40:Y51" si="32">SUM(K40:P40)</f>
        <v>-2588.5</v>
      </c>
      <c r="Z40" s="445"/>
    </row>
    <row r="41" spans="2:26" ht="13.5" customHeight="1" x14ac:dyDescent="0.35">
      <c r="B41" s="427" t="s">
        <v>89</v>
      </c>
      <c r="C41" s="427" t="s">
        <v>65</v>
      </c>
      <c r="D41" s="470"/>
      <c r="E41" s="751"/>
      <c r="F41" s="763"/>
      <c r="G41" s="287"/>
      <c r="I41" s="581" t="s">
        <v>1274</v>
      </c>
      <c r="J41" s="431"/>
      <c r="K41" s="432">
        <f>K7-'Sales 2021'!K7</f>
        <v>1180</v>
      </c>
      <c r="L41" s="432">
        <f>L7-'Sales 2021'!L7</f>
        <v>1523</v>
      </c>
      <c r="M41" s="432">
        <f>M7-'Sales 2021'!M7</f>
        <v>-3553.45</v>
      </c>
      <c r="N41" s="432">
        <f>N7-'Sales 2021'!N7</f>
        <v>2652.95</v>
      </c>
      <c r="O41" s="432">
        <f>O7-'Sales 2021'!O7</f>
        <v>2799.36</v>
      </c>
      <c r="P41" s="432">
        <f>P7-'Sales 2021'!P7</f>
        <v>-303</v>
      </c>
      <c r="Q41" s="432">
        <f>Q7-'Sales 2021'!Q7</f>
        <v>-2291</v>
      </c>
      <c r="R41" s="432">
        <f>R7-'Sales 2021'!R7</f>
        <v>-3323.15</v>
      </c>
      <c r="S41" s="432">
        <f>S7-'Sales 2021'!S7</f>
        <v>-1412</v>
      </c>
      <c r="T41" s="432">
        <f>T7-'Sales 2021'!T7</f>
        <v>-3945</v>
      </c>
      <c r="U41" s="432">
        <f>U7-'Sales 2021'!U7</f>
        <v>166.95000000000005</v>
      </c>
      <c r="V41" s="432">
        <f>V7-'Sales 2021'!V7</f>
        <v>-4.75</v>
      </c>
      <c r="W41" s="788">
        <f t="shared" si="31"/>
        <v>-6510.0899999999992</v>
      </c>
      <c r="X41" s="445">
        <f>W41/'Sales 2020'!W6</f>
        <v>-0.37985512024203028</v>
      </c>
      <c r="Y41" s="790">
        <f t="shared" si="32"/>
        <v>4298.8600000000006</v>
      </c>
      <c r="Z41" s="445"/>
    </row>
    <row r="42" spans="2:26" ht="13.5" customHeight="1" x14ac:dyDescent="0.35">
      <c r="D42" s="470"/>
      <c r="E42" s="751"/>
      <c r="F42" s="763"/>
      <c r="I42" s="581" t="s">
        <v>1276</v>
      </c>
      <c r="J42" s="431"/>
      <c r="K42" s="432">
        <f>K8-'Sales 2021'!K8</f>
        <v>180</v>
      </c>
      <c r="L42" s="432">
        <f>L8-'Sales 2021'!L8</f>
        <v>250</v>
      </c>
      <c r="M42" s="432">
        <f>M8-'Sales 2021'!M8</f>
        <v>62.5</v>
      </c>
      <c r="N42" s="432">
        <f>N8-'Sales 2021'!N8</f>
        <v>541.5</v>
      </c>
      <c r="O42" s="432">
        <f>O8-'Sales 2021'!O8</f>
        <v>175</v>
      </c>
      <c r="P42" s="432">
        <f>P8-'Sales 2021'!P8</f>
        <v>-200</v>
      </c>
      <c r="Q42" s="432">
        <f>Q8-'Sales 2021'!Q8</f>
        <v>175</v>
      </c>
      <c r="R42" s="432">
        <f>R8-'Sales 2021'!R8</f>
        <v>-25</v>
      </c>
      <c r="S42" s="432">
        <f>S8-'Sales 2021'!S8</f>
        <v>-400</v>
      </c>
      <c r="T42" s="432">
        <f>T8-'Sales 2021'!T8</f>
        <v>-25</v>
      </c>
      <c r="U42" s="432">
        <f>U8-'Sales 2021'!U8</f>
        <v>-143</v>
      </c>
      <c r="V42" s="432">
        <f>V8-'Sales 2021'!V8</f>
        <v>-625</v>
      </c>
      <c r="W42" s="788">
        <f t="shared" si="31"/>
        <v>-34</v>
      </c>
      <c r="X42" s="445">
        <f>W42/'Sales 2020'!W7</f>
        <v>-4.74538894743086E-3</v>
      </c>
      <c r="Y42" s="790">
        <f t="shared" si="32"/>
        <v>1009</v>
      </c>
      <c r="Z42" s="445"/>
    </row>
    <row r="43" spans="2:26" ht="13.5" customHeight="1" x14ac:dyDescent="0.35">
      <c r="B43" s="427" t="s">
        <v>92</v>
      </c>
      <c r="C43" s="427" t="s">
        <v>65</v>
      </c>
      <c r="D43" s="470"/>
      <c r="E43" s="751"/>
      <c r="F43" s="763" t="s">
        <v>93</v>
      </c>
      <c r="I43" s="581" t="s">
        <v>1277</v>
      </c>
      <c r="J43" s="431"/>
      <c r="K43" s="432">
        <f>K9-'Sales 2021'!K9</f>
        <v>-437</v>
      </c>
      <c r="L43" s="432">
        <f>L9-'Sales 2021'!L9</f>
        <v>-125</v>
      </c>
      <c r="M43" s="432">
        <f>M9-'Sales 2021'!M9</f>
        <v>1549.5</v>
      </c>
      <c r="N43" s="432">
        <f>N9-'Sales 2021'!N9</f>
        <v>-26</v>
      </c>
      <c r="O43" s="432">
        <f>O9-'Sales 2021'!O9</f>
        <v>665</v>
      </c>
      <c r="P43" s="432">
        <f>P9-'Sales 2021'!P9</f>
        <v>-200</v>
      </c>
      <c r="Q43" s="432">
        <f>Q9-'Sales 2021'!Q9</f>
        <v>435</v>
      </c>
      <c r="R43" s="432">
        <f>R9-'Sales 2021'!R9</f>
        <v>870</v>
      </c>
      <c r="S43" s="432">
        <f>S9-'Sales 2021'!S9</f>
        <v>789</v>
      </c>
      <c r="T43" s="432">
        <f>T9-'Sales 2021'!T9</f>
        <v>135</v>
      </c>
      <c r="U43" s="432">
        <f>U9-'Sales 2021'!U9</f>
        <v>225</v>
      </c>
      <c r="V43" s="432">
        <f>V9-'Sales 2021'!V9</f>
        <v>0</v>
      </c>
      <c r="W43" s="788">
        <f t="shared" si="31"/>
        <v>3880.5</v>
      </c>
      <c r="X43" s="445">
        <f>W43/'Sales 2020'!W8</f>
        <v>-1.142045705372515</v>
      </c>
      <c r="Y43" s="790">
        <f t="shared" si="32"/>
        <v>1426.5</v>
      </c>
      <c r="Z43" s="445"/>
    </row>
    <row r="44" spans="2:26" ht="13.5" customHeight="1" x14ac:dyDescent="0.35">
      <c r="B44" s="464"/>
      <c r="C44" s="427"/>
      <c r="D44" s="470"/>
      <c r="E44" s="751"/>
      <c r="F44" s="763"/>
      <c r="I44" s="581" t="s">
        <v>1278</v>
      </c>
      <c r="J44" s="431"/>
      <c r="K44" s="432">
        <f>K10-'Sales 2021'!K10</f>
        <v>20</v>
      </c>
      <c r="L44" s="432">
        <f>L10-'Sales 2021'!L10</f>
        <v>40</v>
      </c>
      <c r="M44" s="432">
        <f>M10-'Sales 2021'!M10</f>
        <v>-80</v>
      </c>
      <c r="N44" s="432">
        <f>N10-'Sales 2021'!N10</f>
        <v>-20</v>
      </c>
      <c r="O44" s="432">
        <f>O10-'Sales 2021'!O10</f>
        <v>-40</v>
      </c>
      <c r="P44" s="432">
        <f>P10-'Sales 2021'!P10</f>
        <v>-60</v>
      </c>
      <c r="Q44" s="432">
        <f>Q10-'Sales 2021'!Q10</f>
        <v>-60</v>
      </c>
      <c r="R44" s="432">
        <f>R10-'Sales 2021'!R10</f>
        <v>-600</v>
      </c>
      <c r="S44" s="432">
        <f>S10-'Sales 2021'!S10</f>
        <v>0</v>
      </c>
      <c r="T44" s="432">
        <f>T10-'Sales 2021'!T10</f>
        <v>20</v>
      </c>
      <c r="U44" s="432">
        <f>U10-'Sales 2021'!U10</f>
        <v>-40</v>
      </c>
      <c r="V44" s="432">
        <f>V10-'Sales 2021'!V10</f>
        <v>-60</v>
      </c>
      <c r="W44" s="788">
        <f t="shared" si="31"/>
        <v>-880</v>
      </c>
      <c r="X44" s="445">
        <f>W44/'Sales 2020'!W9</f>
        <v>-0.55696202531645567</v>
      </c>
      <c r="Y44" s="790">
        <f t="shared" si="32"/>
        <v>-140</v>
      </c>
      <c r="Z44" s="445"/>
    </row>
    <row r="45" spans="2:26" ht="13.5" customHeight="1" x14ac:dyDescent="0.35">
      <c r="B45" s="427" t="s">
        <v>97</v>
      </c>
      <c r="C45" s="427" t="s">
        <v>65</v>
      </c>
      <c r="D45" s="470"/>
      <c r="E45" s="751">
        <v>175</v>
      </c>
      <c r="F45" s="763" t="s">
        <v>998</v>
      </c>
      <c r="I45" s="582" t="s">
        <v>1279</v>
      </c>
      <c r="J45" s="431"/>
      <c r="K45" s="432">
        <f>K11-'Sales 2021'!K11</f>
        <v>15667</v>
      </c>
      <c r="L45" s="432">
        <f>L11-'Sales 2021'!L11</f>
        <v>-757.5</v>
      </c>
      <c r="M45" s="432">
        <f>M11-'Sales 2021'!M11</f>
        <v>-11081</v>
      </c>
      <c r="N45" s="432">
        <f>N11-'Sales 2021'!N11</f>
        <v>-713.2</v>
      </c>
      <c r="O45" s="432">
        <f>O11-'Sales 2021'!O11</f>
        <v>-630.15</v>
      </c>
      <c r="P45" s="432">
        <f>P11-'Sales 2021'!P11</f>
        <v>-1711.25</v>
      </c>
      <c r="Q45" s="432">
        <f>Q11-'Sales 2021'!Q11</f>
        <v>-613.20000000000005</v>
      </c>
      <c r="R45" s="432">
        <f>R11-'Sales 2021'!R11</f>
        <v>-1780</v>
      </c>
      <c r="S45" s="432">
        <f>S11-'Sales 2021'!S11</f>
        <v>-540</v>
      </c>
      <c r="T45" s="432">
        <f>T11-'Sales 2021'!T11</f>
        <v>-175</v>
      </c>
      <c r="U45" s="432">
        <f>U11-'Sales 2021'!U11</f>
        <v>-83</v>
      </c>
      <c r="V45" s="432">
        <f>V11-'Sales 2021'!V11</f>
        <v>-2520</v>
      </c>
      <c r="W45" s="788">
        <f t="shared" si="31"/>
        <v>-4937.3</v>
      </c>
      <c r="X45" s="445">
        <f>W45/'Sales 2020'!W10</f>
        <v>-0.25843649401973356</v>
      </c>
      <c r="Y45" s="790">
        <f t="shared" si="32"/>
        <v>773.90000000000009</v>
      </c>
      <c r="Z45" s="445"/>
    </row>
    <row r="46" spans="2:26" ht="13.5" customHeight="1" x14ac:dyDescent="0.35">
      <c r="B46" s="427"/>
      <c r="C46" s="427"/>
      <c r="D46" s="470"/>
      <c r="E46" s="751"/>
      <c r="F46" s="763"/>
      <c r="I46" s="582" t="s">
        <v>1280</v>
      </c>
      <c r="J46" s="431"/>
      <c r="K46" s="432">
        <f>K12-'Sales 2021'!K12</f>
        <v>-100</v>
      </c>
      <c r="L46" s="432">
        <f>L12-'Sales 2021'!L12</f>
        <v>150</v>
      </c>
      <c r="M46" s="432">
        <f>M12-'Sales 2021'!M12</f>
        <v>-50</v>
      </c>
      <c r="N46" s="432">
        <f>N12-'Sales 2021'!N12</f>
        <v>575</v>
      </c>
      <c r="O46" s="432">
        <f>O12-'Sales 2021'!O12</f>
        <v>150</v>
      </c>
      <c r="P46" s="432">
        <f>P12-'Sales 2021'!P12</f>
        <v>300</v>
      </c>
      <c r="Q46" s="432">
        <f>Q12-'Sales 2021'!Q12</f>
        <v>500</v>
      </c>
      <c r="R46" s="432">
        <f>R12-'Sales 2021'!R12</f>
        <v>125</v>
      </c>
      <c r="S46" s="432">
        <f>S12-'Sales 2021'!S12</f>
        <v>75</v>
      </c>
      <c r="T46" s="432">
        <f>T12-'Sales 2021'!T12</f>
        <v>-50</v>
      </c>
      <c r="U46" s="432">
        <f>U12-'Sales 2021'!U12</f>
        <v>170</v>
      </c>
      <c r="V46" s="432">
        <f>V12-'Sales 2021'!V12</f>
        <v>-555</v>
      </c>
      <c r="W46" s="788">
        <f t="shared" si="31"/>
        <v>1290</v>
      </c>
      <c r="X46" s="445">
        <f>W46/'Sales 2020'!W11</f>
        <v>0.31734317343173429</v>
      </c>
      <c r="Y46" s="790">
        <f t="shared" si="32"/>
        <v>1025</v>
      </c>
      <c r="Z46" s="445"/>
    </row>
    <row r="47" spans="2:26" ht="13.5" customHeight="1" x14ac:dyDescent="0.35">
      <c r="B47" s="427" t="s">
        <v>101</v>
      </c>
      <c r="C47" s="427" t="s">
        <v>65</v>
      </c>
      <c r="D47" s="470"/>
      <c r="E47" s="751"/>
      <c r="F47" s="763" t="s">
        <v>102</v>
      </c>
      <c r="I47" s="582" t="s">
        <v>1281</v>
      </c>
      <c r="J47" s="431"/>
      <c r="K47" s="432">
        <f>K13-'Sales 2021'!K13</f>
        <v>0</v>
      </c>
      <c r="L47" s="432">
        <f>L13-'Sales 2021'!L13</f>
        <v>120</v>
      </c>
      <c r="M47" s="432">
        <f>M13-'Sales 2021'!M13</f>
        <v>-200</v>
      </c>
      <c r="N47" s="432">
        <f>N13-'Sales 2021'!N13</f>
        <v>0</v>
      </c>
      <c r="O47" s="432">
        <f>O13-'Sales 2021'!O13</f>
        <v>-190</v>
      </c>
      <c r="P47" s="432">
        <f>P13-'Sales 2021'!P13</f>
        <v>480</v>
      </c>
      <c r="Q47" s="432">
        <f>Q13-'Sales 2021'!Q13</f>
        <v>300</v>
      </c>
      <c r="R47" s="432">
        <f>R13-'Sales 2021'!R13</f>
        <v>285</v>
      </c>
      <c r="S47" s="432">
        <f>S13-'Sales 2021'!S13</f>
        <v>45</v>
      </c>
      <c r="T47" s="432">
        <f>T13-'Sales 2021'!T13</f>
        <v>380</v>
      </c>
      <c r="U47" s="432">
        <f>U13-'Sales 2021'!U13</f>
        <v>-300</v>
      </c>
      <c r="V47" s="432">
        <f>V13-'Sales 2021'!V13</f>
        <v>400</v>
      </c>
      <c r="W47" s="788">
        <f t="shared" si="31"/>
        <v>1320</v>
      </c>
      <c r="X47" s="445">
        <f>W47/'Sales 2020'!W12</f>
        <v>-0.96</v>
      </c>
      <c r="Y47" s="790">
        <f t="shared" si="32"/>
        <v>210</v>
      </c>
      <c r="Z47" s="445"/>
    </row>
    <row r="48" spans="2:26" ht="13.5" customHeight="1" x14ac:dyDescent="0.35">
      <c r="B48" s="427"/>
      <c r="C48" s="427"/>
      <c r="D48" s="470"/>
      <c r="E48" s="751"/>
      <c r="F48" s="763"/>
      <c r="I48" s="582" t="s">
        <v>1282</v>
      </c>
      <c r="J48" s="431"/>
      <c r="K48" s="432">
        <f>K14-'Sales 2021'!K14</f>
        <v>564.77</v>
      </c>
      <c r="L48" s="432">
        <f>L14-'Sales 2021'!L14</f>
        <v>-692.49</v>
      </c>
      <c r="M48" s="432">
        <f>M14-'Sales 2021'!M14</f>
        <v>733.40999999999985</v>
      </c>
      <c r="N48" s="432">
        <f>N14-'Sales 2021'!N14</f>
        <v>227.51999999999998</v>
      </c>
      <c r="O48" s="432">
        <f>O14-'Sales 2021'!O14</f>
        <v>-238.84000000000006</v>
      </c>
      <c r="P48" s="432">
        <f>P14-'Sales 2021'!P14</f>
        <v>-1213.8499999999999</v>
      </c>
      <c r="Q48" s="432">
        <f>Q14-'Sales 2021'!Q14</f>
        <v>285.78999999999996</v>
      </c>
      <c r="R48" s="432">
        <f>R14-'Sales 2021'!R14</f>
        <v>-86.76</v>
      </c>
      <c r="S48" s="432">
        <f>S14-'Sales 2021'!S14</f>
        <v>-115.91999999999999</v>
      </c>
      <c r="T48" s="432">
        <f>T14-'Sales 2021'!T14</f>
        <v>0</v>
      </c>
      <c r="U48" s="432">
        <f>U14-'Sales 2021'!U14</f>
        <v>-494.04</v>
      </c>
      <c r="V48" s="432">
        <f>V14-'Sales 2021'!V14</f>
        <v>-835.81999999999994</v>
      </c>
      <c r="W48" s="788">
        <f t="shared" si="31"/>
        <v>-1866.23</v>
      </c>
      <c r="X48" s="445">
        <f>W48/'Sales 2020'!W13</f>
        <v>-0.82122443425496716</v>
      </c>
      <c r="Y48" s="790">
        <f t="shared" si="32"/>
        <v>-619.48000000000013</v>
      </c>
      <c r="Z48" s="445"/>
    </row>
    <row r="49" spans="2:25" ht="13.5" customHeight="1" x14ac:dyDescent="0.35">
      <c r="B49" s="427" t="s">
        <v>78</v>
      </c>
      <c r="C49" s="427" t="s">
        <v>65</v>
      </c>
      <c r="D49" s="470"/>
      <c r="E49" s="751"/>
      <c r="I49" s="582" t="s">
        <v>1283</v>
      </c>
      <c r="J49" s="431"/>
      <c r="K49" s="432">
        <f>K15-'Sales 2021'!K15</f>
        <v>46</v>
      </c>
      <c r="L49" s="432">
        <f>L15-'Sales 2021'!L15</f>
        <v>0</v>
      </c>
      <c r="M49" s="432">
        <f>M15-'Sales 2021'!M15</f>
        <v>1200</v>
      </c>
      <c r="N49" s="432">
        <f>N15-'Sales 2021'!N15</f>
        <v>56</v>
      </c>
      <c r="O49" s="432">
        <f>O15-'Sales 2021'!O15</f>
        <v>-315</v>
      </c>
      <c r="P49" s="432">
        <f>P15-'Sales 2021'!P15</f>
        <v>0</v>
      </c>
      <c r="Q49" s="432">
        <f>Q15-'Sales 2021'!Q15</f>
        <v>175</v>
      </c>
      <c r="R49" s="432">
        <f>R15-'Sales 2021'!R15</f>
        <v>0</v>
      </c>
      <c r="S49" s="432">
        <f>S15-'Sales 2021'!S15</f>
        <v>100</v>
      </c>
      <c r="T49" s="432">
        <f>T15-'Sales 2021'!T15</f>
        <v>-130</v>
      </c>
      <c r="U49" s="432">
        <f>U15-'Sales 2021'!U15</f>
        <v>-1293.9800000000005</v>
      </c>
      <c r="V49" s="432">
        <f>V15-'Sales 2021'!V15</f>
        <v>150</v>
      </c>
      <c r="W49" s="788">
        <f t="shared" si="31"/>
        <v>-11.980000000000473</v>
      </c>
      <c r="X49" s="445">
        <f>W49/'Sales 2020'!W14</f>
        <v>-11.980000000000473</v>
      </c>
      <c r="Y49" s="790">
        <f t="shared" si="32"/>
        <v>987</v>
      </c>
    </row>
    <row r="50" spans="2:25" ht="13.9" customHeight="1" thickBot="1" x14ac:dyDescent="0.4">
      <c r="B50" s="427"/>
      <c r="C50" s="427"/>
      <c r="D50" s="470"/>
      <c r="E50" s="751"/>
      <c r="F50" s="763"/>
      <c r="I50" s="582" t="s">
        <v>1284</v>
      </c>
      <c r="J50" s="431"/>
      <c r="K50" s="432">
        <f>K16-'Sales 2021'!K16</f>
        <v>26</v>
      </c>
      <c r="L50" s="432">
        <f>L16-'Sales 2021'!L16</f>
        <v>60</v>
      </c>
      <c r="M50" s="432">
        <f>M16-'Sales 2021'!M16</f>
        <v>24</v>
      </c>
      <c r="N50" s="432">
        <f>N16-'Sales 2021'!N16</f>
        <v>40</v>
      </c>
      <c r="O50" s="432">
        <f>O16-'Sales 2021'!O16</f>
        <v>21.4</v>
      </c>
      <c r="P50" s="432">
        <f>P16-'Sales 2021'!P16</f>
        <v>-7.5</v>
      </c>
      <c r="Q50" s="432">
        <f>Q16-'Sales 2021'!Q16</f>
        <v>9</v>
      </c>
      <c r="R50" s="432">
        <f>R16-'Sales 2021'!R16</f>
        <v>42</v>
      </c>
      <c r="S50" s="432">
        <f>S16-'Sales 2021'!S16</f>
        <v>81</v>
      </c>
      <c r="T50" s="432">
        <f>T16-'Sales 2021'!T16</f>
        <v>-17</v>
      </c>
      <c r="U50" s="432">
        <f>U16-'Sales 2021'!U16</f>
        <v>15</v>
      </c>
      <c r="V50" s="432">
        <f>V16-'Sales 2021'!V16</f>
        <v>16</v>
      </c>
      <c r="W50" s="788">
        <f t="shared" si="31"/>
        <v>309.89999999999998</v>
      </c>
      <c r="X50" s="445">
        <f>W50/'Sales 2020'!W15</f>
        <v>4.745788667687596</v>
      </c>
      <c r="Y50" s="790">
        <f t="shared" si="32"/>
        <v>163.9</v>
      </c>
    </row>
    <row r="51" spans="2:25" ht="14.65" customHeight="1" thickTop="1" thickBot="1" x14ac:dyDescent="0.45">
      <c r="B51" s="427" t="s">
        <v>1543</v>
      </c>
      <c r="C51" s="427" t="s">
        <v>65</v>
      </c>
      <c r="D51" s="548" t="s">
        <v>1589</v>
      </c>
      <c r="E51" s="751">
        <f>120-50</f>
        <v>70</v>
      </c>
      <c r="F51" s="427" t="s">
        <v>1590</v>
      </c>
      <c r="I51" s="437" t="s">
        <v>63</v>
      </c>
      <c r="J51" s="438"/>
      <c r="K51" s="587">
        <f t="shared" ref="K51:W51" si="33">SUM(K40:K50)</f>
        <v>17125.77</v>
      </c>
      <c r="L51" s="587">
        <f t="shared" si="33"/>
        <v>-701.99</v>
      </c>
      <c r="M51" s="587">
        <f t="shared" si="33"/>
        <v>-12440.04</v>
      </c>
      <c r="N51" s="587">
        <f t="shared" si="33"/>
        <v>3678.77</v>
      </c>
      <c r="O51" s="587">
        <f t="shared" si="33"/>
        <v>1519.27</v>
      </c>
      <c r="P51" s="587">
        <f t="shared" si="33"/>
        <v>-2635.6</v>
      </c>
      <c r="Q51" s="587">
        <f t="shared" si="33"/>
        <v>-1284.4099999999999</v>
      </c>
      <c r="R51" s="587">
        <f t="shared" si="33"/>
        <v>-4595.41</v>
      </c>
      <c r="S51" s="587">
        <f t="shared" si="33"/>
        <v>-1426.67</v>
      </c>
      <c r="T51" s="587">
        <f t="shared" si="33"/>
        <v>-2812</v>
      </c>
      <c r="U51" s="587">
        <f t="shared" si="33"/>
        <v>-762.07000000000039</v>
      </c>
      <c r="V51" s="587">
        <f t="shared" si="33"/>
        <v>-4004.5699999999997</v>
      </c>
      <c r="W51" s="789">
        <f t="shared" si="33"/>
        <v>-8338.9499999999989</v>
      </c>
      <c r="X51" s="445">
        <f>W51/'Sales 2020'!W16</f>
        <v>-0.15160928726467357</v>
      </c>
      <c r="Y51" s="790">
        <f t="shared" si="32"/>
        <v>6546.1799999999985</v>
      </c>
    </row>
    <row r="52" spans="2:25" ht="13.9" customHeight="1" thickTop="1" x14ac:dyDescent="0.35">
      <c r="B52" s="427"/>
      <c r="C52" s="427"/>
      <c r="D52" s="470"/>
      <c r="E52" s="751"/>
      <c r="F52" s="427"/>
      <c r="G52" s="427"/>
    </row>
    <row r="53" spans="2:25" ht="15" customHeight="1" x14ac:dyDescent="0.4">
      <c r="B53" s="427" t="s">
        <v>1591</v>
      </c>
      <c r="C53" s="427" t="s">
        <v>65</v>
      </c>
      <c r="D53" s="548" t="s">
        <v>291</v>
      </c>
      <c r="E53" s="751">
        <v>212.5</v>
      </c>
      <c r="F53" s="45" t="s">
        <v>1592</v>
      </c>
      <c r="I53" s="420" t="s">
        <v>140</v>
      </c>
      <c r="J53" s="557" t="s">
        <v>154</v>
      </c>
      <c r="K53" s="577" t="s">
        <v>142</v>
      </c>
      <c r="L53" s="577" t="s">
        <v>143</v>
      </c>
      <c r="M53" s="577" t="s">
        <v>144</v>
      </c>
      <c r="N53" s="577" t="s">
        <v>145</v>
      </c>
      <c r="O53" s="577" t="s">
        <v>146</v>
      </c>
      <c r="P53" s="577" t="s">
        <v>147</v>
      </c>
      <c r="Q53" s="577" t="s">
        <v>148</v>
      </c>
      <c r="R53" s="577" t="s">
        <v>149</v>
      </c>
      <c r="S53" s="577" t="s">
        <v>150</v>
      </c>
      <c r="T53" s="577" t="s">
        <v>151</v>
      </c>
      <c r="U53" s="577" t="s">
        <v>152</v>
      </c>
      <c r="V53" s="577" t="s">
        <v>153</v>
      </c>
      <c r="W53" s="577" t="s">
        <v>19</v>
      </c>
    </row>
    <row r="54" spans="2:25" ht="13.5" customHeight="1" x14ac:dyDescent="0.35">
      <c r="D54" s="470"/>
      <c r="E54" s="751"/>
      <c r="I54" s="581" t="s">
        <v>28</v>
      </c>
      <c r="J54" s="431"/>
      <c r="K54" s="432">
        <f t="shared" ref="K54:K64" si="34">COUNTIFS($A$154:$A$480,"&gt;31/12/2021",$A$154:$A$480,"&lt;1/2/2022",$C$154:$C$480,I54)</f>
        <v>1</v>
      </c>
      <c r="L54" s="432">
        <f t="shared" ref="L54:L64" si="35">COUNTIFS($A$154:$A$480,"&gt;31/1/2022",$A$154:$A$480,"&lt;1/3/2022",$C$154:$C$480,$I54)</f>
        <v>2</v>
      </c>
      <c r="M54" s="432">
        <f t="shared" ref="M54:M64" si="36">COUNTIFS($A$154:$A$480,"&gt;28/2/2022",$A$154:$A$480,"&lt;1/4/2022",$C$154:$C$480,$I54)</f>
        <v>0</v>
      </c>
      <c r="N54" s="432">
        <f t="shared" ref="N54:N64" si="37">COUNTIFS($A$154:$A$480,"&gt;31/3/2022",$A$154:$A$480,"&lt;1/5/2022",$C$154:$C$480,$I54)</f>
        <v>3</v>
      </c>
      <c r="O54" s="432">
        <f t="shared" ref="O54:O64" si="38">COUNTIFS($A$154:$A$480,"&gt;30/4/2022",$A$154:$A$480,"&lt;1/6/2022",$C$154:$C$480,$I54)</f>
        <v>2</v>
      </c>
      <c r="P54" s="432">
        <f t="shared" ref="P54:P64" si="39">COUNTIFS($A$154:$A$480,"&gt;31/5/2022",$A$154:$A$480,"&lt;1/7/2022",$C$154:$C$480,$I54)</f>
        <v>2</v>
      </c>
      <c r="Q54" s="432">
        <f t="shared" ref="Q54:Q64" si="40">COUNTIFS($A$154:$A$480,"&gt;30/6/2022",$A$154:$A$480,"&lt;1/8/2022",$C$154:$C$480,$I54)</f>
        <v>1</v>
      </c>
      <c r="R54" s="432">
        <f t="shared" ref="R54:R64" si="41">COUNTIFS($A$154:$A$480,"&gt;31/7/2022",$A$154:$A$480,"&lt;1/9/2022",$C$154:$C$480,$I54)</f>
        <v>3</v>
      </c>
      <c r="S54" s="432">
        <f t="shared" ref="S54:S64" si="42">COUNTIFS($A$154:$A$480,"&gt;31/8/2022",$A$154:$A$480,"&lt;1/10/2022",$C$154:$C$480,$I54)</f>
        <v>4</v>
      </c>
      <c r="T54" s="432">
        <f t="shared" ref="T54:T64" si="43">COUNTIFS($A$154:$A$480,"&gt;30/9/2022",$A$154:$A$480,"&lt;1/11/2022",$C$154:$C$480,$I54)</f>
        <v>6</v>
      </c>
      <c r="U54" s="432">
        <f t="shared" ref="U54:U64" si="44">COUNTIFS($A$154:$A$480,"&gt;31/10/2022",$A$154:$A$480,"&lt;1/12/2022",$C$154:$C$480,$I54)</f>
        <v>4</v>
      </c>
      <c r="V54" s="432">
        <f t="shared" ref="V54:V64" si="45">COUNTIFS($A$154:$A$480,"&gt;30/11/2022",$A$154:$A$480,"&lt;1/1/2023",$C$154:$C$480,$I54)</f>
        <v>2</v>
      </c>
      <c r="W54" s="431">
        <f t="shared" ref="W54:W64" si="46">SUM(K54:V54)</f>
        <v>30</v>
      </c>
    </row>
    <row r="55" spans="2:25" ht="13.5" customHeight="1" x14ac:dyDescent="0.35">
      <c r="B55" s="781" t="s">
        <v>1435</v>
      </c>
      <c r="C55" s="427" t="s">
        <v>65</v>
      </c>
      <c r="D55" s="295" t="s">
        <v>1311</v>
      </c>
      <c r="E55" s="751">
        <v>50</v>
      </c>
      <c r="F55" s="781" t="s">
        <v>1593</v>
      </c>
      <c r="G55" s="427"/>
      <c r="I55" s="581" t="s">
        <v>1274</v>
      </c>
      <c r="J55" s="431"/>
      <c r="K55" s="432">
        <f t="shared" si="34"/>
        <v>12</v>
      </c>
      <c r="L55" s="432">
        <f t="shared" si="35"/>
        <v>14</v>
      </c>
      <c r="M55" s="432">
        <f t="shared" si="36"/>
        <v>8</v>
      </c>
      <c r="N55" s="432">
        <f t="shared" si="37"/>
        <v>18</v>
      </c>
      <c r="O55" s="432">
        <f t="shared" si="38"/>
        <v>14</v>
      </c>
      <c r="P55" s="432">
        <f t="shared" si="39"/>
        <v>6</v>
      </c>
      <c r="Q55" s="432">
        <f t="shared" si="40"/>
        <v>3</v>
      </c>
      <c r="R55" s="432">
        <f t="shared" si="41"/>
        <v>13</v>
      </c>
      <c r="S55" s="432">
        <f t="shared" si="42"/>
        <v>10</v>
      </c>
      <c r="T55" s="432">
        <f t="shared" si="43"/>
        <v>5</v>
      </c>
      <c r="U55" s="432">
        <f t="shared" si="44"/>
        <v>8</v>
      </c>
      <c r="V55" s="432">
        <f t="shared" si="45"/>
        <v>12</v>
      </c>
      <c r="W55" s="431">
        <f t="shared" si="46"/>
        <v>123</v>
      </c>
    </row>
    <row r="56" spans="2:25" ht="13.5" customHeight="1" x14ac:dyDescent="0.35">
      <c r="B56" s="781"/>
      <c r="C56" s="427"/>
      <c r="D56" s="295"/>
      <c r="E56" s="751"/>
      <c r="F56" s="781"/>
      <c r="I56" s="581" t="s">
        <v>1276</v>
      </c>
      <c r="J56" s="431"/>
      <c r="K56" s="432">
        <f t="shared" si="34"/>
        <v>1</v>
      </c>
      <c r="L56" s="432">
        <f t="shared" si="35"/>
        <v>1</v>
      </c>
      <c r="M56" s="432">
        <f t="shared" si="36"/>
        <v>1</v>
      </c>
      <c r="N56" s="432">
        <f t="shared" si="37"/>
        <v>2</v>
      </c>
      <c r="O56" s="432">
        <f t="shared" si="38"/>
        <v>1</v>
      </c>
      <c r="P56" s="432">
        <f t="shared" si="39"/>
        <v>1</v>
      </c>
      <c r="Q56" s="432">
        <f t="shared" si="40"/>
        <v>1</v>
      </c>
      <c r="R56" s="432">
        <f t="shared" si="41"/>
        <v>1</v>
      </c>
      <c r="S56" s="432">
        <f t="shared" si="42"/>
        <v>1</v>
      </c>
      <c r="T56" s="432">
        <f t="shared" si="43"/>
        <v>1</v>
      </c>
      <c r="U56" s="432">
        <f t="shared" si="44"/>
        <v>1</v>
      </c>
      <c r="V56" s="432">
        <f t="shared" si="45"/>
        <v>1</v>
      </c>
      <c r="W56" s="431">
        <f t="shared" si="46"/>
        <v>13</v>
      </c>
    </row>
    <row r="57" spans="2:25" ht="13.5" customHeight="1" x14ac:dyDescent="0.35">
      <c r="B57" s="464" t="s">
        <v>1413</v>
      </c>
      <c r="C57" s="464"/>
      <c r="D57" s="45" t="s">
        <v>1594</v>
      </c>
      <c r="E57" s="751">
        <v>140</v>
      </c>
      <c r="F57" s="464" t="s">
        <v>1595</v>
      </c>
      <c r="I57" s="581" t="s">
        <v>1277</v>
      </c>
      <c r="J57" s="431"/>
      <c r="K57" s="432">
        <f t="shared" si="34"/>
        <v>2</v>
      </c>
      <c r="L57" s="432">
        <f t="shared" si="35"/>
        <v>1</v>
      </c>
      <c r="M57" s="432">
        <f t="shared" si="36"/>
        <v>1</v>
      </c>
      <c r="N57" s="432">
        <f t="shared" si="37"/>
        <v>1</v>
      </c>
      <c r="O57" s="432">
        <f t="shared" si="38"/>
        <v>0</v>
      </c>
      <c r="P57" s="432">
        <f t="shared" si="39"/>
        <v>3</v>
      </c>
      <c r="Q57" s="432">
        <f t="shared" si="40"/>
        <v>0</v>
      </c>
      <c r="R57" s="432">
        <f t="shared" si="41"/>
        <v>0</v>
      </c>
      <c r="S57" s="432">
        <f t="shared" si="42"/>
        <v>1</v>
      </c>
      <c r="T57" s="432">
        <f t="shared" si="43"/>
        <v>0</v>
      </c>
      <c r="U57" s="432">
        <f t="shared" si="44"/>
        <v>0</v>
      </c>
      <c r="V57" s="432">
        <f t="shared" si="45"/>
        <v>0</v>
      </c>
      <c r="W57" s="431">
        <f t="shared" si="46"/>
        <v>9</v>
      </c>
    </row>
    <row r="58" spans="2:25" ht="13.5" customHeight="1" x14ac:dyDescent="0.35">
      <c r="E58" s="751"/>
      <c r="I58" s="581" t="s">
        <v>1278</v>
      </c>
      <c r="J58" s="431"/>
      <c r="K58" s="432">
        <f t="shared" si="34"/>
        <v>1</v>
      </c>
      <c r="L58" s="432">
        <f t="shared" si="35"/>
        <v>2</v>
      </c>
      <c r="M58" s="432">
        <f t="shared" si="36"/>
        <v>1</v>
      </c>
      <c r="N58" s="432">
        <f t="shared" si="37"/>
        <v>1</v>
      </c>
      <c r="O58" s="432">
        <f t="shared" si="38"/>
        <v>1</v>
      </c>
      <c r="P58" s="432">
        <f t="shared" si="39"/>
        <v>1</v>
      </c>
      <c r="Q58" s="432">
        <f t="shared" si="40"/>
        <v>2</v>
      </c>
      <c r="R58" s="432">
        <f t="shared" si="41"/>
        <v>1</v>
      </c>
      <c r="S58" s="432">
        <f t="shared" si="42"/>
        <v>1</v>
      </c>
      <c r="T58" s="432">
        <f t="shared" si="43"/>
        <v>3</v>
      </c>
      <c r="U58" s="432">
        <f t="shared" si="44"/>
        <v>1</v>
      </c>
      <c r="V58" s="432">
        <f t="shared" si="45"/>
        <v>1</v>
      </c>
      <c r="W58" s="431">
        <f t="shared" si="46"/>
        <v>16</v>
      </c>
    </row>
    <row r="59" spans="2:25" x14ac:dyDescent="0.35">
      <c r="I59" s="582" t="s">
        <v>1279</v>
      </c>
      <c r="J59" s="431"/>
      <c r="K59" s="432">
        <f t="shared" si="34"/>
        <v>6</v>
      </c>
      <c r="L59" s="432">
        <f t="shared" si="35"/>
        <v>7</v>
      </c>
      <c r="M59" s="432">
        <f t="shared" si="36"/>
        <v>9</v>
      </c>
      <c r="N59" s="432">
        <f t="shared" si="37"/>
        <v>7</v>
      </c>
      <c r="O59" s="432">
        <f t="shared" si="38"/>
        <v>6</v>
      </c>
      <c r="P59" s="432">
        <f t="shared" si="39"/>
        <v>5</v>
      </c>
      <c r="Q59" s="432">
        <f t="shared" si="40"/>
        <v>2</v>
      </c>
      <c r="R59" s="432">
        <f t="shared" si="41"/>
        <v>2</v>
      </c>
      <c r="S59" s="432">
        <f t="shared" si="42"/>
        <v>1</v>
      </c>
      <c r="T59" s="432">
        <f t="shared" si="43"/>
        <v>3</v>
      </c>
      <c r="U59" s="432">
        <f t="shared" si="44"/>
        <v>2</v>
      </c>
      <c r="V59" s="432">
        <f t="shared" si="45"/>
        <v>0</v>
      </c>
      <c r="W59" s="431">
        <f t="shared" si="46"/>
        <v>50</v>
      </c>
    </row>
    <row r="60" spans="2:25" x14ac:dyDescent="0.35">
      <c r="I60" s="582" t="s">
        <v>1280</v>
      </c>
      <c r="J60" s="431"/>
      <c r="K60" s="432">
        <f t="shared" si="34"/>
        <v>0</v>
      </c>
      <c r="L60" s="432">
        <f t="shared" si="35"/>
        <v>1</v>
      </c>
      <c r="M60" s="432">
        <f t="shared" si="36"/>
        <v>0</v>
      </c>
      <c r="N60" s="432">
        <f t="shared" si="37"/>
        <v>2</v>
      </c>
      <c r="O60" s="432">
        <f t="shared" si="38"/>
        <v>1</v>
      </c>
      <c r="P60" s="432">
        <f t="shared" si="39"/>
        <v>2</v>
      </c>
      <c r="Q60" s="432">
        <f t="shared" si="40"/>
        <v>1</v>
      </c>
      <c r="R60" s="432">
        <f t="shared" si="41"/>
        <v>1</v>
      </c>
      <c r="S60" s="432">
        <f t="shared" si="42"/>
        <v>1</v>
      </c>
      <c r="T60" s="432">
        <f t="shared" si="43"/>
        <v>0</v>
      </c>
      <c r="U60" s="432">
        <f t="shared" si="44"/>
        <v>2</v>
      </c>
      <c r="V60" s="432">
        <f t="shared" si="45"/>
        <v>3</v>
      </c>
      <c r="W60" s="431">
        <f t="shared" si="46"/>
        <v>14</v>
      </c>
    </row>
    <row r="61" spans="2:25" x14ac:dyDescent="0.35">
      <c r="I61" s="582" t="s">
        <v>1281</v>
      </c>
      <c r="J61" s="431"/>
      <c r="K61" s="432">
        <f t="shared" si="34"/>
        <v>0</v>
      </c>
      <c r="L61" s="432">
        <f t="shared" si="35"/>
        <v>1</v>
      </c>
      <c r="M61" s="432">
        <f t="shared" si="36"/>
        <v>1</v>
      </c>
      <c r="N61" s="432">
        <f t="shared" si="37"/>
        <v>0</v>
      </c>
      <c r="O61" s="432">
        <f t="shared" si="38"/>
        <v>1</v>
      </c>
      <c r="P61" s="432">
        <f t="shared" si="39"/>
        <v>0</v>
      </c>
      <c r="Q61" s="432">
        <f t="shared" si="40"/>
        <v>0</v>
      </c>
      <c r="R61" s="432">
        <f t="shared" si="41"/>
        <v>1</v>
      </c>
      <c r="S61" s="432">
        <f t="shared" si="42"/>
        <v>1</v>
      </c>
      <c r="T61" s="432">
        <f t="shared" si="43"/>
        <v>1</v>
      </c>
      <c r="U61" s="432">
        <f t="shared" si="44"/>
        <v>2</v>
      </c>
      <c r="V61" s="432">
        <f t="shared" si="45"/>
        <v>0</v>
      </c>
      <c r="W61" s="431">
        <f t="shared" si="46"/>
        <v>8</v>
      </c>
    </row>
    <row r="62" spans="2:25" x14ac:dyDescent="0.35">
      <c r="I62" s="582" t="s">
        <v>1282</v>
      </c>
      <c r="J62" s="431"/>
      <c r="K62" s="432">
        <f t="shared" si="34"/>
        <v>1</v>
      </c>
      <c r="L62" s="432">
        <f t="shared" si="35"/>
        <v>1</v>
      </c>
      <c r="M62" s="432">
        <f t="shared" si="36"/>
        <v>2</v>
      </c>
      <c r="N62" s="432">
        <f t="shared" si="37"/>
        <v>2</v>
      </c>
      <c r="O62" s="432">
        <f t="shared" si="38"/>
        <v>2</v>
      </c>
      <c r="P62" s="432">
        <f t="shared" si="39"/>
        <v>0</v>
      </c>
      <c r="Q62" s="432">
        <f t="shared" si="40"/>
        <v>2</v>
      </c>
      <c r="R62" s="432">
        <f t="shared" si="41"/>
        <v>0</v>
      </c>
      <c r="S62" s="432">
        <f t="shared" si="42"/>
        <v>2</v>
      </c>
      <c r="T62" s="432">
        <f t="shared" si="43"/>
        <v>0</v>
      </c>
      <c r="U62" s="432">
        <f t="shared" si="44"/>
        <v>0</v>
      </c>
      <c r="V62" s="432">
        <f t="shared" si="45"/>
        <v>3</v>
      </c>
      <c r="W62" s="431">
        <f t="shared" si="46"/>
        <v>15</v>
      </c>
    </row>
    <row r="63" spans="2:25" x14ac:dyDescent="0.35">
      <c r="I63" s="582" t="s">
        <v>1283</v>
      </c>
      <c r="J63" s="431"/>
      <c r="K63" s="432">
        <f t="shared" si="34"/>
        <v>1</v>
      </c>
      <c r="L63" s="432">
        <f t="shared" si="35"/>
        <v>0</v>
      </c>
      <c r="M63" s="432">
        <f t="shared" si="36"/>
        <v>1</v>
      </c>
      <c r="N63" s="432">
        <f t="shared" si="37"/>
        <v>1</v>
      </c>
      <c r="O63" s="432">
        <f t="shared" si="38"/>
        <v>0</v>
      </c>
      <c r="P63" s="432">
        <f t="shared" si="39"/>
        <v>0</v>
      </c>
      <c r="Q63" s="432">
        <f t="shared" si="40"/>
        <v>1</v>
      </c>
      <c r="R63" s="432">
        <f t="shared" si="41"/>
        <v>0</v>
      </c>
      <c r="S63" s="432">
        <f t="shared" si="42"/>
        <v>1</v>
      </c>
      <c r="T63" s="432">
        <f t="shared" si="43"/>
        <v>1</v>
      </c>
      <c r="U63" s="432">
        <f t="shared" si="44"/>
        <v>0</v>
      </c>
      <c r="V63" s="432">
        <f t="shared" si="45"/>
        <v>1</v>
      </c>
      <c r="W63" s="431">
        <f t="shared" si="46"/>
        <v>7</v>
      </c>
    </row>
    <row r="64" spans="2:25" x14ac:dyDescent="0.35">
      <c r="I64" s="582" t="s">
        <v>1284</v>
      </c>
      <c r="J64" s="431"/>
      <c r="K64" s="432">
        <f t="shared" si="34"/>
        <v>3</v>
      </c>
      <c r="L64" s="432">
        <f t="shared" si="35"/>
        <v>3</v>
      </c>
      <c r="M64" s="432">
        <f t="shared" si="36"/>
        <v>2</v>
      </c>
      <c r="N64" s="432">
        <f t="shared" si="37"/>
        <v>3</v>
      </c>
      <c r="O64" s="432">
        <f t="shared" si="38"/>
        <v>3</v>
      </c>
      <c r="P64" s="432">
        <f t="shared" si="39"/>
        <v>2</v>
      </c>
      <c r="Q64" s="432">
        <f t="shared" si="40"/>
        <v>3</v>
      </c>
      <c r="R64" s="432">
        <f t="shared" si="41"/>
        <v>2</v>
      </c>
      <c r="S64" s="432">
        <f t="shared" si="42"/>
        <v>4</v>
      </c>
      <c r="T64" s="432">
        <f t="shared" si="43"/>
        <v>1</v>
      </c>
      <c r="U64" s="432">
        <f t="shared" si="44"/>
        <v>1</v>
      </c>
      <c r="V64" s="432">
        <f t="shared" si="45"/>
        <v>2</v>
      </c>
      <c r="W64" s="431">
        <f t="shared" si="46"/>
        <v>29</v>
      </c>
    </row>
    <row r="65" spans="9:23" ht="13.5" customHeight="1" thickBot="1" x14ac:dyDescent="0.45">
      <c r="I65" s="824" t="s">
        <v>63</v>
      </c>
      <c r="J65" s="825"/>
      <c r="K65" s="826">
        <f t="shared" ref="K65:W65" si="47">SUM(K54:K64)</f>
        <v>28</v>
      </c>
      <c r="L65" s="826">
        <f t="shared" si="47"/>
        <v>33</v>
      </c>
      <c r="M65" s="826">
        <f t="shared" si="47"/>
        <v>26</v>
      </c>
      <c r="N65" s="826">
        <f t="shared" si="47"/>
        <v>40</v>
      </c>
      <c r="O65" s="826">
        <f t="shared" si="47"/>
        <v>31</v>
      </c>
      <c r="P65" s="826">
        <f t="shared" si="47"/>
        <v>22</v>
      </c>
      <c r="Q65" s="826">
        <f t="shared" si="47"/>
        <v>16</v>
      </c>
      <c r="R65" s="826">
        <f t="shared" si="47"/>
        <v>24</v>
      </c>
      <c r="S65" s="826">
        <f t="shared" si="47"/>
        <v>27</v>
      </c>
      <c r="T65" s="826">
        <f t="shared" si="47"/>
        <v>21</v>
      </c>
      <c r="U65" s="826">
        <f t="shared" si="47"/>
        <v>21</v>
      </c>
      <c r="V65" s="826">
        <f t="shared" si="47"/>
        <v>25</v>
      </c>
      <c r="W65" s="825">
        <f t="shared" si="47"/>
        <v>314</v>
      </c>
    </row>
    <row r="66" spans="9:23" ht="13.15" customHeight="1" thickTop="1" x14ac:dyDescent="0.35"/>
    <row r="67" spans="9:23" ht="13.15" customHeight="1" x14ac:dyDescent="0.4">
      <c r="I67" s="420" t="s">
        <v>140</v>
      </c>
      <c r="J67" s="557" t="s">
        <v>155</v>
      </c>
      <c r="K67" s="577" t="s">
        <v>142</v>
      </c>
      <c r="L67" s="577" t="s">
        <v>143</v>
      </c>
      <c r="M67" s="577" t="s">
        <v>144</v>
      </c>
      <c r="N67" s="577" t="s">
        <v>145</v>
      </c>
      <c r="O67" s="577" t="s">
        <v>146</v>
      </c>
      <c r="P67" s="577" t="s">
        <v>147</v>
      </c>
      <c r="Q67" s="577" t="s">
        <v>148</v>
      </c>
      <c r="R67" s="577" t="s">
        <v>149</v>
      </c>
      <c r="S67" s="577" t="s">
        <v>150</v>
      </c>
      <c r="T67" s="577" t="s">
        <v>151</v>
      </c>
      <c r="U67" s="577" t="s">
        <v>152</v>
      </c>
      <c r="V67" s="577" t="s">
        <v>153</v>
      </c>
      <c r="W67" s="577" t="s">
        <v>19</v>
      </c>
    </row>
    <row r="68" spans="9:23" x14ac:dyDescent="0.35">
      <c r="I68" s="581" t="s">
        <v>28</v>
      </c>
      <c r="J68" s="431"/>
      <c r="K68" s="432">
        <f t="shared" ref="K68:W68" si="48">IFERROR(K6/K54,0)</f>
        <v>250</v>
      </c>
      <c r="L68" s="432">
        <f t="shared" si="48"/>
        <v>150</v>
      </c>
      <c r="M68" s="432">
        <f t="shared" si="48"/>
        <v>0</v>
      </c>
      <c r="N68" s="432">
        <f t="shared" si="48"/>
        <v>225</v>
      </c>
      <c r="O68" s="432">
        <f t="shared" si="48"/>
        <v>200</v>
      </c>
      <c r="P68" s="432">
        <f t="shared" si="48"/>
        <v>140</v>
      </c>
      <c r="Q68" s="432">
        <f t="shared" si="48"/>
        <v>50</v>
      </c>
      <c r="R68" s="432">
        <f t="shared" si="48"/>
        <v>154.16666666666666</v>
      </c>
      <c r="S68" s="432">
        <f t="shared" si="48"/>
        <v>155.3125</v>
      </c>
      <c r="T68" s="432">
        <f t="shared" si="48"/>
        <v>217.5</v>
      </c>
      <c r="U68" s="432">
        <f t="shared" si="48"/>
        <v>253.75</v>
      </c>
      <c r="V68" s="432">
        <f t="shared" si="48"/>
        <v>140</v>
      </c>
      <c r="W68" s="431">
        <f t="shared" si="48"/>
        <v>187.95833333333334</v>
      </c>
    </row>
    <row r="69" spans="9:23" x14ac:dyDescent="0.35">
      <c r="I69" s="581" t="s">
        <v>1274</v>
      </c>
      <c r="J69" s="431"/>
      <c r="K69" s="432">
        <f t="shared" ref="K69:W69" si="49">IFERROR(K7/K55,0)</f>
        <v>128.08333333333334</v>
      </c>
      <c r="L69" s="432">
        <f t="shared" si="49"/>
        <v>137.21428571428572</v>
      </c>
      <c r="M69" s="432">
        <f t="shared" si="49"/>
        <v>284.38125000000002</v>
      </c>
      <c r="N69" s="432">
        <f t="shared" si="49"/>
        <v>250.83055555555555</v>
      </c>
      <c r="O69" s="432">
        <f t="shared" si="49"/>
        <v>262.80428571428575</v>
      </c>
      <c r="P69" s="432">
        <f t="shared" si="49"/>
        <v>210</v>
      </c>
      <c r="Q69" s="432">
        <f t="shared" si="49"/>
        <v>303</v>
      </c>
      <c r="R69" s="432">
        <f t="shared" si="49"/>
        <v>139.37307692307692</v>
      </c>
      <c r="S69" s="432">
        <f t="shared" si="49"/>
        <v>229.2</v>
      </c>
      <c r="T69" s="432">
        <f t="shared" si="49"/>
        <v>104.4</v>
      </c>
      <c r="U69" s="432">
        <f t="shared" si="49"/>
        <v>241.99375000000001</v>
      </c>
      <c r="V69" s="432">
        <f t="shared" si="49"/>
        <v>204.85416666666666</v>
      </c>
      <c r="W69" s="431">
        <f t="shared" si="49"/>
        <v>204.19764227642278</v>
      </c>
    </row>
    <row r="70" spans="9:23" x14ac:dyDescent="0.35">
      <c r="I70" s="581" t="s">
        <v>1276</v>
      </c>
      <c r="J70" s="431"/>
      <c r="K70" s="432">
        <f t="shared" ref="K70:W70" si="50">IFERROR(K8/K56,0)</f>
        <v>250</v>
      </c>
      <c r="L70" s="432">
        <f t="shared" si="50"/>
        <v>250</v>
      </c>
      <c r="M70" s="432">
        <f t="shared" si="50"/>
        <v>437.5</v>
      </c>
      <c r="N70" s="432">
        <f t="shared" si="50"/>
        <v>270.75</v>
      </c>
      <c r="O70" s="432">
        <f t="shared" si="50"/>
        <v>250</v>
      </c>
      <c r="P70" s="432">
        <f t="shared" si="50"/>
        <v>250</v>
      </c>
      <c r="Q70" s="432">
        <f t="shared" si="50"/>
        <v>250</v>
      </c>
      <c r="R70" s="432">
        <f t="shared" si="50"/>
        <v>150</v>
      </c>
      <c r="S70" s="432">
        <f t="shared" si="50"/>
        <v>150</v>
      </c>
      <c r="T70" s="432">
        <f t="shared" si="50"/>
        <v>150</v>
      </c>
      <c r="U70" s="432">
        <f t="shared" si="50"/>
        <v>150</v>
      </c>
      <c r="V70" s="432">
        <f t="shared" si="50"/>
        <v>0</v>
      </c>
      <c r="W70" s="431">
        <f t="shared" si="50"/>
        <v>217.61538461538461</v>
      </c>
    </row>
    <row r="71" spans="9:23" x14ac:dyDescent="0.35">
      <c r="I71" s="581" t="s">
        <v>1277</v>
      </c>
      <c r="J71" s="431"/>
      <c r="K71" s="432">
        <f t="shared" ref="K71:W71" si="51">IFERROR(K9/K57,0)</f>
        <v>-218.5</v>
      </c>
      <c r="L71" s="432">
        <f t="shared" si="51"/>
        <v>-125</v>
      </c>
      <c r="M71" s="432">
        <f t="shared" si="51"/>
        <v>-675</v>
      </c>
      <c r="N71" s="432">
        <f t="shared" si="51"/>
        <v>-50</v>
      </c>
      <c r="O71" s="432">
        <f t="shared" si="51"/>
        <v>0</v>
      </c>
      <c r="P71" s="432">
        <f t="shared" si="51"/>
        <v>-66.666666666666671</v>
      </c>
      <c r="Q71" s="432">
        <f t="shared" si="51"/>
        <v>0</v>
      </c>
      <c r="R71" s="432">
        <f t="shared" si="51"/>
        <v>0</v>
      </c>
      <c r="S71" s="432">
        <f t="shared" si="51"/>
        <v>-135</v>
      </c>
      <c r="T71" s="432">
        <f t="shared" si="51"/>
        <v>0</v>
      </c>
      <c r="U71" s="432">
        <f t="shared" si="51"/>
        <v>0</v>
      </c>
      <c r="V71" s="432">
        <f t="shared" si="51"/>
        <v>0</v>
      </c>
      <c r="W71" s="431">
        <f t="shared" si="51"/>
        <v>-180.22222222222223</v>
      </c>
    </row>
    <row r="72" spans="9:23" x14ac:dyDescent="0.35">
      <c r="I72" s="581" t="s">
        <v>1278</v>
      </c>
      <c r="J72" s="431"/>
      <c r="K72" s="432">
        <f t="shared" ref="K72:W72" si="52">IFERROR(K10/K58,0)</f>
        <v>100</v>
      </c>
      <c r="L72" s="432">
        <f t="shared" si="52"/>
        <v>60</v>
      </c>
      <c r="M72" s="432">
        <f t="shared" si="52"/>
        <v>60</v>
      </c>
      <c r="N72" s="432">
        <f t="shared" si="52"/>
        <v>60</v>
      </c>
      <c r="O72" s="432">
        <f t="shared" si="52"/>
        <v>60</v>
      </c>
      <c r="P72" s="432">
        <f t="shared" si="52"/>
        <v>60</v>
      </c>
      <c r="Q72" s="432">
        <f t="shared" si="52"/>
        <v>40</v>
      </c>
      <c r="R72" s="432">
        <f t="shared" si="52"/>
        <v>60</v>
      </c>
      <c r="S72" s="432">
        <f t="shared" si="52"/>
        <v>60</v>
      </c>
      <c r="T72" s="432">
        <f t="shared" si="52"/>
        <v>86.666666666666671</v>
      </c>
      <c r="U72" s="432">
        <f t="shared" si="52"/>
        <v>60</v>
      </c>
      <c r="V72" s="432">
        <f t="shared" si="52"/>
        <v>60</v>
      </c>
      <c r="W72" s="431">
        <f t="shared" si="52"/>
        <v>65</v>
      </c>
    </row>
    <row r="73" spans="9:23" x14ac:dyDescent="0.35">
      <c r="I73" s="582" t="s">
        <v>1279</v>
      </c>
      <c r="J73" s="431"/>
      <c r="K73" s="432">
        <f t="shared" ref="K73:W73" si="53">IFERROR(K11/K59,0)</f>
        <v>2737</v>
      </c>
      <c r="L73" s="432">
        <f t="shared" si="53"/>
        <v>35.714285714285715</v>
      </c>
      <c r="M73" s="432">
        <f t="shared" si="53"/>
        <v>198.33333333333334</v>
      </c>
      <c r="N73" s="432">
        <f t="shared" si="53"/>
        <v>113.82857142857142</v>
      </c>
      <c r="O73" s="432">
        <f t="shared" si="53"/>
        <v>119.05833333333334</v>
      </c>
      <c r="P73" s="432">
        <f t="shared" si="53"/>
        <v>40</v>
      </c>
      <c r="Q73" s="432">
        <f t="shared" si="53"/>
        <v>25.9</v>
      </c>
      <c r="R73" s="432">
        <f t="shared" si="53"/>
        <v>110</v>
      </c>
      <c r="S73" s="432">
        <f t="shared" si="53"/>
        <v>50</v>
      </c>
      <c r="T73" s="432">
        <f t="shared" si="53"/>
        <v>78.333333333333329</v>
      </c>
      <c r="U73" s="432">
        <f t="shared" si="53"/>
        <v>240</v>
      </c>
      <c r="V73" s="432">
        <f t="shared" si="53"/>
        <v>0</v>
      </c>
      <c r="W73" s="431">
        <f t="shared" si="53"/>
        <v>424.09899999999993</v>
      </c>
    </row>
    <row r="74" spans="9:23" x14ac:dyDescent="0.35">
      <c r="I74" s="582" t="s">
        <v>1280</v>
      </c>
      <c r="J74" s="431"/>
      <c r="K74" s="432">
        <f t="shared" ref="K74:W74" si="54">IFERROR(K12/K60,0)</f>
        <v>0</v>
      </c>
      <c r="L74" s="432">
        <f t="shared" si="54"/>
        <v>200</v>
      </c>
      <c r="M74" s="432">
        <f t="shared" si="54"/>
        <v>0</v>
      </c>
      <c r="N74" s="432">
        <f t="shared" si="54"/>
        <v>300</v>
      </c>
      <c r="O74" s="432">
        <f t="shared" si="54"/>
        <v>150</v>
      </c>
      <c r="P74" s="432">
        <f t="shared" si="54"/>
        <v>175</v>
      </c>
      <c r="Q74" s="432">
        <f t="shared" si="54"/>
        <v>500</v>
      </c>
      <c r="R74" s="432">
        <f t="shared" si="54"/>
        <v>125</v>
      </c>
      <c r="S74" s="432">
        <f t="shared" si="54"/>
        <v>150</v>
      </c>
      <c r="T74" s="432">
        <f t="shared" si="54"/>
        <v>0</v>
      </c>
      <c r="U74" s="432">
        <f t="shared" si="54"/>
        <v>100</v>
      </c>
      <c r="V74" s="432">
        <f t="shared" si="54"/>
        <v>133.33333333333334</v>
      </c>
      <c r="W74" s="431">
        <f t="shared" si="54"/>
        <v>191.07142857142858</v>
      </c>
    </row>
    <row r="75" spans="9:23" x14ac:dyDescent="0.35">
      <c r="I75" s="582" t="s">
        <v>1281</v>
      </c>
      <c r="J75" s="431"/>
      <c r="K75" s="432">
        <f t="shared" ref="K75:W75" si="55">IFERROR(K13/K61,0)</f>
        <v>0</v>
      </c>
      <c r="L75" s="432">
        <f t="shared" si="55"/>
        <v>-30</v>
      </c>
      <c r="M75" s="432">
        <f t="shared" si="55"/>
        <v>-200</v>
      </c>
      <c r="N75" s="432">
        <f t="shared" si="55"/>
        <v>0</v>
      </c>
      <c r="O75" s="432">
        <f t="shared" si="55"/>
        <v>-190</v>
      </c>
      <c r="P75" s="432">
        <f t="shared" si="55"/>
        <v>0</v>
      </c>
      <c r="Q75" s="432">
        <f t="shared" si="55"/>
        <v>0</v>
      </c>
      <c r="R75" s="432">
        <f t="shared" si="55"/>
        <v>-75</v>
      </c>
      <c r="S75" s="432">
        <f t="shared" si="55"/>
        <v>-50</v>
      </c>
      <c r="T75" s="432">
        <f t="shared" si="55"/>
        <v>-120</v>
      </c>
      <c r="U75" s="432">
        <f t="shared" si="55"/>
        <v>-150</v>
      </c>
      <c r="V75" s="432">
        <f t="shared" si="55"/>
        <v>0</v>
      </c>
      <c r="W75" s="431">
        <f t="shared" si="55"/>
        <v>-120.625</v>
      </c>
    </row>
    <row r="76" spans="9:23" x14ac:dyDescent="0.35">
      <c r="I76" s="582" t="s">
        <v>1282</v>
      </c>
      <c r="J76" s="431"/>
      <c r="K76" s="432">
        <f t="shared" ref="K76:W76" si="56">IFERROR(K14/K62,0)</f>
        <v>564.77</v>
      </c>
      <c r="L76" s="432">
        <f t="shared" si="56"/>
        <v>82.2</v>
      </c>
      <c r="M76" s="432">
        <f t="shared" si="56"/>
        <v>431.04499999999996</v>
      </c>
      <c r="N76" s="432">
        <f t="shared" si="56"/>
        <v>113.75999999999999</v>
      </c>
      <c r="O76" s="432">
        <f t="shared" si="56"/>
        <v>75.52</v>
      </c>
      <c r="P76" s="432">
        <f t="shared" si="56"/>
        <v>0</v>
      </c>
      <c r="Q76" s="432">
        <f t="shared" si="56"/>
        <v>208.57</v>
      </c>
      <c r="R76" s="432">
        <f t="shared" si="56"/>
        <v>0</v>
      </c>
      <c r="S76" s="432">
        <f t="shared" si="56"/>
        <v>54.655000000000001</v>
      </c>
      <c r="T76" s="432">
        <f t="shared" si="56"/>
        <v>0</v>
      </c>
      <c r="U76" s="432">
        <f t="shared" si="56"/>
        <v>0</v>
      </c>
      <c r="V76" s="432">
        <f t="shared" si="56"/>
        <v>79.313333333333333</v>
      </c>
      <c r="W76" s="431">
        <f t="shared" si="56"/>
        <v>176.80066666666664</v>
      </c>
    </row>
    <row r="77" spans="9:23" x14ac:dyDescent="0.35">
      <c r="I77" s="582" t="s">
        <v>1283</v>
      </c>
      <c r="J77" s="431"/>
      <c r="K77" s="432">
        <f t="shared" ref="K77:W77" si="57">IFERROR(K15/K63,0)</f>
        <v>46</v>
      </c>
      <c r="L77" s="432">
        <f t="shared" si="57"/>
        <v>0</v>
      </c>
      <c r="M77" s="432">
        <f t="shared" si="57"/>
        <v>1200</v>
      </c>
      <c r="N77" s="432">
        <f t="shared" si="57"/>
        <v>56</v>
      </c>
      <c r="O77" s="432">
        <f t="shared" si="57"/>
        <v>0</v>
      </c>
      <c r="P77" s="432">
        <f t="shared" si="57"/>
        <v>0</v>
      </c>
      <c r="Q77" s="432">
        <f t="shared" si="57"/>
        <v>175</v>
      </c>
      <c r="R77" s="432">
        <f t="shared" si="57"/>
        <v>0</v>
      </c>
      <c r="S77" s="432">
        <f t="shared" si="57"/>
        <v>600</v>
      </c>
      <c r="T77" s="432">
        <f t="shared" si="57"/>
        <v>20</v>
      </c>
      <c r="U77" s="432">
        <f t="shared" si="57"/>
        <v>0</v>
      </c>
      <c r="V77" s="432">
        <f t="shared" si="57"/>
        <v>150</v>
      </c>
      <c r="W77" s="431">
        <f t="shared" si="57"/>
        <v>321</v>
      </c>
    </row>
    <row r="78" spans="9:23" x14ac:dyDescent="0.35">
      <c r="I78" s="582" t="s">
        <v>1284</v>
      </c>
      <c r="J78" s="431"/>
      <c r="K78" s="432">
        <f t="shared" ref="K78:W78" si="58">IFERROR(K16/K64,0)</f>
        <v>8.6666666666666661</v>
      </c>
      <c r="L78" s="432">
        <f t="shared" si="58"/>
        <v>20</v>
      </c>
      <c r="M78" s="432">
        <f t="shared" si="58"/>
        <v>12</v>
      </c>
      <c r="N78" s="432">
        <f t="shared" si="58"/>
        <v>13.333333333333334</v>
      </c>
      <c r="O78" s="432">
        <f t="shared" si="58"/>
        <v>18.333333333333332</v>
      </c>
      <c r="P78" s="432">
        <f t="shared" si="58"/>
        <v>11.5</v>
      </c>
      <c r="Q78" s="432">
        <f t="shared" si="58"/>
        <v>22.666666666666668</v>
      </c>
      <c r="R78" s="432">
        <f t="shared" si="58"/>
        <v>21</v>
      </c>
      <c r="S78" s="432">
        <f t="shared" si="58"/>
        <v>20.25</v>
      </c>
      <c r="T78" s="432">
        <f t="shared" si="58"/>
        <v>17</v>
      </c>
      <c r="U78" s="432">
        <f t="shared" si="58"/>
        <v>37</v>
      </c>
      <c r="V78" s="432">
        <f t="shared" si="58"/>
        <v>19</v>
      </c>
      <c r="W78" s="431">
        <f t="shared" si="58"/>
        <v>17.620689655172413</v>
      </c>
    </row>
    <row r="79" spans="9:23" ht="13.5" customHeight="1" thickBot="1" x14ac:dyDescent="0.45">
      <c r="I79" s="824" t="s">
        <v>63</v>
      </c>
      <c r="J79" s="825"/>
      <c r="K79" s="798">
        <f t="shared" ref="K79:W79" si="59">IFERROR(K17/K65,0)</f>
        <v>669.95607142857148</v>
      </c>
      <c r="L79" s="798">
        <f t="shared" si="59"/>
        <v>91.763636363636351</v>
      </c>
      <c r="M79" s="798">
        <f t="shared" si="59"/>
        <v>221.87076923076924</v>
      </c>
      <c r="N79" s="798">
        <f t="shared" si="59"/>
        <v>186.54425000000001</v>
      </c>
      <c r="O79" s="798">
        <f t="shared" si="59"/>
        <v>169.98870967741937</v>
      </c>
      <c r="P79" s="798">
        <f t="shared" si="59"/>
        <v>101.04545454545455</v>
      </c>
      <c r="Q79" s="798">
        <f t="shared" si="59"/>
        <v>156.30875</v>
      </c>
      <c r="R79" s="798">
        <f t="shared" si="59"/>
        <v>116.51458333333333</v>
      </c>
      <c r="S79" s="798">
        <f t="shared" si="59"/>
        <v>145.50222222222223</v>
      </c>
      <c r="T79" s="798">
        <f t="shared" si="59"/>
        <v>113.76190476190476</v>
      </c>
      <c r="U79" s="798">
        <f t="shared" si="59"/>
        <v>170.37857142857143</v>
      </c>
      <c r="V79" s="798">
        <f t="shared" si="59"/>
        <v>144.9676</v>
      </c>
      <c r="W79" s="825">
        <f t="shared" si="59"/>
        <v>195.30898089171973</v>
      </c>
    </row>
    <row r="82" spans="9:26" ht="13.15" customHeight="1" x14ac:dyDescent="0.4">
      <c r="I82" s="420" t="s">
        <v>140</v>
      </c>
      <c r="J82" s="557" t="s">
        <v>1596</v>
      </c>
      <c r="K82" s="577" t="s">
        <v>142</v>
      </c>
      <c r="L82" s="577" t="s">
        <v>143</v>
      </c>
      <c r="M82" s="577" t="s">
        <v>144</v>
      </c>
      <c r="N82" s="577" t="s">
        <v>145</v>
      </c>
      <c r="O82" s="577" t="s">
        <v>146</v>
      </c>
      <c r="P82" s="577" t="s">
        <v>147</v>
      </c>
      <c r="Q82" s="577" t="s">
        <v>148</v>
      </c>
      <c r="R82" s="577" t="s">
        <v>149</v>
      </c>
      <c r="S82" s="577" t="s">
        <v>150</v>
      </c>
      <c r="T82" s="577" t="s">
        <v>151</v>
      </c>
      <c r="U82" s="577" t="s">
        <v>152</v>
      </c>
      <c r="V82" s="577" t="s">
        <v>153</v>
      </c>
      <c r="W82" s="577" t="s">
        <v>19</v>
      </c>
      <c r="X82" s="559" t="s">
        <v>76</v>
      </c>
      <c r="Y82" s="560" t="s">
        <v>23</v>
      </c>
      <c r="Z82" s="560" t="s">
        <v>21</v>
      </c>
    </row>
    <row r="83" spans="9:26" x14ac:dyDescent="0.35">
      <c r="I83" s="581" t="s">
        <v>28</v>
      </c>
      <c r="J83" s="432">
        <f t="shared" ref="J83:V83" si="60">J6*70%</f>
        <v>420</v>
      </c>
      <c r="K83" s="432">
        <f t="shared" si="60"/>
        <v>175</v>
      </c>
      <c r="L83" s="432">
        <f t="shared" si="60"/>
        <v>210</v>
      </c>
      <c r="M83" s="432">
        <f t="shared" si="60"/>
        <v>0</v>
      </c>
      <c r="N83" s="432">
        <f t="shared" si="60"/>
        <v>472.49999999999994</v>
      </c>
      <c r="O83" s="432">
        <f t="shared" si="60"/>
        <v>280</v>
      </c>
      <c r="P83" s="432">
        <f t="shared" si="60"/>
        <v>196</v>
      </c>
      <c r="Q83" s="432">
        <f t="shared" si="60"/>
        <v>35</v>
      </c>
      <c r="R83" s="432">
        <f t="shared" si="60"/>
        <v>323.75</v>
      </c>
      <c r="S83" s="432">
        <f t="shared" si="60"/>
        <v>434.875</v>
      </c>
      <c r="T83" s="432">
        <f t="shared" si="60"/>
        <v>913.49999999999989</v>
      </c>
      <c r="U83" s="432">
        <f t="shared" si="60"/>
        <v>710.5</v>
      </c>
      <c r="V83" s="432">
        <f t="shared" si="60"/>
        <v>196</v>
      </c>
      <c r="W83" s="431">
        <f t="shared" ref="W83:W89" si="61">SUM(K83:V83)</f>
        <v>3947.125</v>
      </c>
      <c r="X83" s="445">
        <f>IFERROR(W83/W6,0)</f>
        <v>0.7</v>
      </c>
      <c r="Y83" s="558">
        <f>J83*12</f>
        <v>5040</v>
      </c>
      <c r="Z83" s="434">
        <f>W83-Y83</f>
        <v>-1092.875</v>
      </c>
    </row>
    <row r="84" spans="9:26" x14ac:dyDescent="0.35">
      <c r="I84" s="581" t="s">
        <v>1274</v>
      </c>
      <c r="J84" s="432">
        <f t="shared" ref="J84:V84" si="62">J7*60%</f>
        <v>1500</v>
      </c>
      <c r="K84" s="432">
        <f t="shared" si="62"/>
        <v>922.19999999999993</v>
      </c>
      <c r="L84" s="432">
        <f t="shared" si="62"/>
        <v>1152.5999999999999</v>
      </c>
      <c r="M84" s="432">
        <f t="shared" si="62"/>
        <v>1365.03</v>
      </c>
      <c r="N84" s="432">
        <f t="shared" si="62"/>
        <v>2708.97</v>
      </c>
      <c r="O84" s="432">
        <f t="shared" si="62"/>
        <v>2207.556</v>
      </c>
      <c r="P84" s="432">
        <f t="shared" si="62"/>
        <v>756</v>
      </c>
      <c r="Q84" s="432">
        <f t="shared" si="62"/>
        <v>545.4</v>
      </c>
      <c r="R84" s="432">
        <f t="shared" si="62"/>
        <v>1087.1099999999999</v>
      </c>
      <c r="S84" s="432">
        <f t="shared" si="62"/>
        <v>1375.2</v>
      </c>
      <c r="T84" s="432">
        <f t="shared" si="62"/>
        <v>313.2</v>
      </c>
      <c r="U84" s="432">
        <f t="shared" si="62"/>
        <v>1161.57</v>
      </c>
      <c r="V84" s="432">
        <f t="shared" si="62"/>
        <v>1474.95</v>
      </c>
      <c r="W84" s="431">
        <f t="shared" si="61"/>
        <v>15069.786000000002</v>
      </c>
      <c r="X84" s="445">
        <f>IFERROR(W84/W7,0)</f>
        <v>0.60000000000000009</v>
      </c>
      <c r="Y84" s="558">
        <f>J84*12</f>
        <v>18000</v>
      </c>
      <c r="Z84" s="434">
        <f>W84-Y84</f>
        <v>-2930.2139999999981</v>
      </c>
    </row>
    <row r="85" spans="9:26" x14ac:dyDescent="0.35">
      <c r="I85" s="581" t="s">
        <v>1276</v>
      </c>
      <c r="J85" s="432">
        <f t="shared" ref="J85:V85" si="63">J8*60%</f>
        <v>450</v>
      </c>
      <c r="K85" s="432">
        <f t="shared" si="63"/>
        <v>150</v>
      </c>
      <c r="L85" s="432">
        <f t="shared" si="63"/>
        <v>150</v>
      </c>
      <c r="M85" s="432">
        <f t="shared" si="63"/>
        <v>262.5</v>
      </c>
      <c r="N85" s="432">
        <f t="shared" si="63"/>
        <v>324.89999999999998</v>
      </c>
      <c r="O85" s="432">
        <f t="shared" si="63"/>
        <v>150</v>
      </c>
      <c r="P85" s="432">
        <f t="shared" si="63"/>
        <v>150</v>
      </c>
      <c r="Q85" s="432">
        <f t="shared" si="63"/>
        <v>150</v>
      </c>
      <c r="R85" s="432">
        <f t="shared" si="63"/>
        <v>90</v>
      </c>
      <c r="S85" s="432">
        <f t="shared" si="63"/>
        <v>90</v>
      </c>
      <c r="T85" s="432">
        <f t="shared" si="63"/>
        <v>90</v>
      </c>
      <c r="U85" s="432">
        <f t="shared" si="63"/>
        <v>90</v>
      </c>
      <c r="V85" s="432">
        <f t="shared" si="63"/>
        <v>0</v>
      </c>
      <c r="W85" s="431">
        <f t="shared" si="61"/>
        <v>1697.4</v>
      </c>
      <c r="X85" s="445">
        <f>IFERROR(W85/W9,0)</f>
        <v>-1.0464858199753391</v>
      </c>
      <c r="Y85" s="558">
        <f>J85*12</f>
        <v>5400</v>
      </c>
      <c r="Z85" s="434">
        <f>W85-Y85</f>
        <v>-3702.6</v>
      </c>
    </row>
    <row r="86" spans="9:26" x14ac:dyDescent="0.35">
      <c r="I86" s="581" t="s">
        <v>1277</v>
      </c>
      <c r="J86" s="432">
        <f t="shared" ref="J86:V86" si="64">J9*60%</f>
        <v>-450</v>
      </c>
      <c r="K86" s="432">
        <f t="shared" si="64"/>
        <v>-262.2</v>
      </c>
      <c r="L86" s="432">
        <f t="shared" si="64"/>
        <v>-75</v>
      </c>
      <c r="M86" s="432">
        <f t="shared" si="64"/>
        <v>-405</v>
      </c>
      <c r="N86" s="432">
        <f t="shared" si="64"/>
        <v>-30</v>
      </c>
      <c r="O86" s="432">
        <f t="shared" si="64"/>
        <v>0</v>
      </c>
      <c r="P86" s="432">
        <f t="shared" si="64"/>
        <v>-120</v>
      </c>
      <c r="Q86" s="432">
        <f t="shared" si="64"/>
        <v>0</v>
      </c>
      <c r="R86" s="432">
        <f t="shared" si="64"/>
        <v>0</v>
      </c>
      <c r="S86" s="432">
        <f t="shared" si="64"/>
        <v>-81</v>
      </c>
      <c r="T86" s="432">
        <f t="shared" si="64"/>
        <v>0</v>
      </c>
      <c r="U86" s="432">
        <f t="shared" si="64"/>
        <v>0</v>
      </c>
      <c r="V86" s="432">
        <f t="shared" si="64"/>
        <v>0</v>
      </c>
      <c r="W86" s="431">
        <f t="shared" si="61"/>
        <v>-973.2</v>
      </c>
      <c r="X86" s="445"/>
      <c r="Y86" s="558"/>
      <c r="Z86" s="434"/>
    </row>
    <row r="87" spans="9:26" x14ac:dyDescent="0.35">
      <c r="I87" s="581" t="s">
        <v>1278</v>
      </c>
      <c r="J87" s="432">
        <f t="shared" ref="J87:V87" si="65">J10*75%</f>
        <v>75</v>
      </c>
      <c r="K87" s="432">
        <f t="shared" si="65"/>
        <v>75</v>
      </c>
      <c r="L87" s="432">
        <f t="shared" si="65"/>
        <v>90</v>
      </c>
      <c r="M87" s="432">
        <f t="shared" si="65"/>
        <v>45</v>
      </c>
      <c r="N87" s="432">
        <f t="shared" si="65"/>
        <v>45</v>
      </c>
      <c r="O87" s="432">
        <f t="shared" si="65"/>
        <v>45</v>
      </c>
      <c r="P87" s="432">
        <f t="shared" si="65"/>
        <v>45</v>
      </c>
      <c r="Q87" s="432">
        <f t="shared" si="65"/>
        <v>60</v>
      </c>
      <c r="R87" s="432">
        <f t="shared" si="65"/>
        <v>45</v>
      </c>
      <c r="S87" s="432">
        <f t="shared" si="65"/>
        <v>45</v>
      </c>
      <c r="T87" s="432">
        <f t="shared" si="65"/>
        <v>195</v>
      </c>
      <c r="U87" s="432">
        <f t="shared" si="65"/>
        <v>45</v>
      </c>
      <c r="V87" s="432">
        <f t="shared" si="65"/>
        <v>45</v>
      </c>
      <c r="W87" s="431">
        <f t="shared" si="61"/>
        <v>780</v>
      </c>
      <c r="X87" s="445">
        <f>IFERROR(W87/W10,0)</f>
        <v>0.75</v>
      </c>
      <c r="Y87" s="558">
        <f>J87*12</f>
        <v>900</v>
      </c>
      <c r="Z87" s="434">
        <f>W87-Y87</f>
        <v>-120</v>
      </c>
    </row>
    <row r="88" spans="9:26" x14ac:dyDescent="0.35">
      <c r="I88" s="582" t="s">
        <v>1279</v>
      </c>
      <c r="J88" s="432">
        <f t="shared" ref="J88:V88" si="66">J11*60%</f>
        <v>1500</v>
      </c>
      <c r="K88" s="432">
        <f t="shared" si="66"/>
        <v>9853.1999999999989</v>
      </c>
      <c r="L88" s="432">
        <f t="shared" si="66"/>
        <v>150</v>
      </c>
      <c r="M88" s="432">
        <f t="shared" si="66"/>
        <v>1071</v>
      </c>
      <c r="N88" s="432">
        <f t="shared" si="66"/>
        <v>478.07999999999993</v>
      </c>
      <c r="O88" s="432">
        <f t="shared" si="66"/>
        <v>428.61</v>
      </c>
      <c r="P88" s="432">
        <f t="shared" si="66"/>
        <v>120</v>
      </c>
      <c r="Q88" s="432">
        <f t="shared" si="66"/>
        <v>31.08</v>
      </c>
      <c r="R88" s="432">
        <f t="shared" si="66"/>
        <v>132</v>
      </c>
      <c r="S88" s="432">
        <f t="shared" si="66"/>
        <v>30</v>
      </c>
      <c r="T88" s="432">
        <f t="shared" si="66"/>
        <v>141</v>
      </c>
      <c r="U88" s="432">
        <f t="shared" si="66"/>
        <v>288</v>
      </c>
      <c r="V88" s="432">
        <f t="shared" si="66"/>
        <v>0</v>
      </c>
      <c r="W88" s="431">
        <f t="shared" si="61"/>
        <v>12722.97</v>
      </c>
      <c r="X88" s="445">
        <v>0.75</v>
      </c>
      <c r="Y88" s="558">
        <f>J88*12</f>
        <v>18000</v>
      </c>
      <c r="Z88" s="434">
        <f>W88-Y88</f>
        <v>-5277.0300000000007</v>
      </c>
    </row>
    <row r="89" spans="9:26" x14ac:dyDescent="0.35">
      <c r="I89" s="582" t="s">
        <v>1280</v>
      </c>
      <c r="J89" s="432">
        <f t="shared" ref="J89:V89" si="67">J12*60%</f>
        <v>180</v>
      </c>
      <c r="K89" s="432">
        <f t="shared" si="67"/>
        <v>0</v>
      </c>
      <c r="L89" s="432">
        <f t="shared" si="67"/>
        <v>120</v>
      </c>
      <c r="M89" s="432">
        <f t="shared" si="67"/>
        <v>0</v>
      </c>
      <c r="N89" s="432">
        <f t="shared" si="67"/>
        <v>360</v>
      </c>
      <c r="O89" s="432">
        <f t="shared" si="67"/>
        <v>90</v>
      </c>
      <c r="P89" s="432">
        <f t="shared" si="67"/>
        <v>210</v>
      </c>
      <c r="Q89" s="432">
        <f t="shared" si="67"/>
        <v>300</v>
      </c>
      <c r="R89" s="432">
        <f t="shared" si="67"/>
        <v>75</v>
      </c>
      <c r="S89" s="432">
        <f t="shared" si="67"/>
        <v>90</v>
      </c>
      <c r="T89" s="432">
        <f t="shared" si="67"/>
        <v>0</v>
      </c>
      <c r="U89" s="432">
        <f t="shared" si="67"/>
        <v>120</v>
      </c>
      <c r="V89" s="432">
        <f t="shared" si="67"/>
        <v>240</v>
      </c>
      <c r="W89" s="431">
        <f t="shared" si="61"/>
        <v>1605</v>
      </c>
      <c r="X89" s="445">
        <f>IFERROR(W89/W16,0)</f>
        <v>3.1409001956947162</v>
      </c>
      <c r="Y89" s="558">
        <f>J89*12</f>
        <v>2160</v>
      </c>
      <c r="Z89" s="434">
        <f>W89-Y89</f>
        <v>-555</v>
      </c>
    </row>
    <row r="90" spans="9:26" x14ac:dyDescent="0.35">
      <c r="I90" s="582" t="s">
        <v>1281</v>
      </c>
      <c r="J90" s="432">
        <f t="shared" ref="J90:V90" si="68">J13*60%</f>
        <v>-120</v>
      </c>
      <c r="K90" s="432">
        <f t="shared" si="68"/>
        <v>0</v>
      </c>
      <c r="L90" s="432">
        <f t="shared" si="68"/>
        <v>-18</v>
      </c>
      <c r="M90" s="432">
        <f t="shared" si="68"/>
        <v>-120</v>
      </c>
      <c r="N90" s="432">
        <f t="shared" si="68"/>
        <v>0</v>
      </c>
      <c r="O90" s="432">
        <f t="shared" si="68"/>
        <v>-114</v>
      </c>
      <c r="P90" s="432">
        <f t="shared" si="68"/>
        <v>0</v>
      </c>
      <c r="Q90" s="432">
        <f t="shared" si="68"/>
        <v>0</v>
      </c>
      <c r="R90" s="432">
        <f t="shared" si="68"/>
        <v>-45</v>
      </c>
      <c r="S90" s="432">
        <f t="shared" si="68"/>
        <v>-30</v>
      </c>
      <c r="T90" s="432">
        <f t="shared" si="68"/>
        <v>-72</v>
      </c>
      <c r="U90" s="432">
        <f t="shared" si="68"/>
        <v>-180</v>
      </c>
      <c r="V90" s="432">
        <f t="shared" si="68"/>
        <v>0</v>
      </c>
      <c r="W90" s="431"/>
      <c r="X90" s="445"/>
      <c r="Y90" s="558"/>
      <c r="Z90" s="434"/>
    </row>
    <row r="91" spans="9:26" x14ac:dyDescent="0.35">
      <c r="I91" s="582" t="s">
        <v>1282</v>
      </c>
      <c r="J91" s="432">
        <f t="shared" ref="J91:V91" si="69">J14*50%</f>
        <v>112.5</v>
      </c>
      <c r="K91" s="432">
        <f t="shared" si="69"/>
        <v>282.38499999999999</v>
      </c>
      <c r="L91" s="432">
        <f t="shared" si="69"/>
        <v>41.1</v>
      </c>
      <c r="M91" s="432">
        <f t="shared" si="69"/>
        <v>431.04499999999996</v>
      </c>
      <c r="N91" s="432">
        <f t="shared" si="69"/>
        <v>113.75999999999999</v>
      </c>
      <c r="O91" s="432">
        <f t="shared" si="69"/>
        <v>75.52</v>
      </c>
      <c r="P91" s="432">
        <f t="shared" si="69"/>
        <v>0</v>
      </c>
      <c r="Q91" s="432">
        <f t="shared" si="69"/>
        <v>208.57</v>
      </c>
      <c r="R91" s="432">
        <f t="shared" si="69"/>
        <v>0</v>
      </c>
      <c r="S91" s="432">
        <f t="shared" si="69"/>
        <v>54.655000000000001</v>
      </c>
      <c r="T91" s="432">
        <f t="shared" si="69"/>
        <v>0</v>
      </c>
      <c r="U91" s="432">
        <f t="shared" si="69"/>
        <v>0</v>
      </c>
      <c r="V91" s="432">
        <f t="shared" si="69"/>
        <v>118.97</v>
      </c>
      <c r="W91" s="431">
        <f>SUM(K91:V91)</f>
        <v>1326.0049999999999</v>
      </c>
      <c r="X91" s="445"/>
      <c r="Y91" s="558"/>
      <c r="Z91" s="434"/>
    </row>
    <row r="92" spans="9:26" x14ac:dyDescent="0.35">
      <c r="I92" s="582" t="s">
        <v>1283</v>
      </c>
      <c r="J92" s="432">
        <f t="shared" ref="J92:V92" si="70">J15*60%</f>
        <v>120</v>
      </c>
      <c r="K92" s="432">
        <f t="shared" si="70"/>
        <v>27.599999999999998</v>
      </c>
      <c r="L92" s="432">
        <f t="shared" si="70"/>
        <v>0</v>
      </c>
      <c r="M92" s="432">
        <f t="shared" si="70"/>
        <v>720</v>
      </c>
      <c r="N92" s="432">
        <f t="shared" si="70"/>
        <v>33.6</v>
      </c>
      <c r="O92" s="432">
        <f t="shared" si="70"/>
        <v>0</v>
      </c>
      <c r="P92" s="432">
        <f t="shared" si="70"/>
        <v>0</v>
      </c>
      <c r="Q92" s="432">
        <f t="shared" si="70"/>
        <v>105</v>
      </c>
      <c r="R92" s="432">
        <f t="shared" si="70"/>
        <v>0</v>
      </c>
      <c r="S92" s="432">
        <f t="shared" si="70"/>
        <v>360</v>
      </c>
      <c r="T92" s="432">
        <f t="shared" si="70"/>
        <v>12</v>
      </c>
      <c r="U92" s="432">
        <f t="shared" si="70"/>
        <v>0</v>
      </c>
      <c r="V92" s="432">
        <f t="shared" si="70"/>
        <v>90</v>
      </c>
      <c r="W92" s="431">
        <f>SUM(K92:V92)</f>
        <v>1348.2</v>
      </c>
      <c r="X92" s="445"/>
      <c r="Y92" s="558"/>
      <c r="Z92" s="434"/>
    </row>
    <row r="93" spans="9:26" x14ac:dyDescent="0.35">
      <c r="I93" s="582" t="s">
        <v>1284</v>
      </c>
      <c r="J93" s="432">
        <f t="shared" ref="J93:V93" si="71">J16*60%</f>
        <v>15</v>
      </c>
      <c r="K93" s="432">
        <f t="shared" si="71"/>
        <v>15.6</v>
      </c>
      <c r="L93" s="432">
        <f t="shared" si="71"/>
        <v>36</v>
      </c>
      <c r="M93" s="432">
        <f t="shared" si="71"/>
        <v>14.399999999999999</v>
      </c>
      <c r="N93" s="432">
        <f t="shared" si="71"/>
        <v>24</v>
      </c>
      <c r="O93" s="432">
        <f t="shared" si="71"/>
        <v>33</v>
      </c>
      <c r="P93" s="432">
        <f t="shared" si="71"/>
        <v>13.799999999999999</v>
      </c>
      <c r="Q93" s="432">
        <f t="shared" si="71"/>
        <v>40.799999999999997</v>
      </c>
      <c r="R93" s="432">
        <f t="shared" si="71"/>
        <v>25.2</v>
      </c>
      <c r="S93" s="432">
        <f t="shared" si="71"/>
        <v>48.6</v>
      </c>
      <c r="T93" s="432">
        <f t="shared" si="71"/>
        <v>10.199999999999999</v>
      </c>
      <c r="U93" s="432">
        <f t="shared" si="71"/>
        <v>22.2</v>
      </c>
      <c r="V93" s="432">
        <f t="shared" si="71"/>
        <v>22.8</v>
      </c>
      <c r="W93" s="431">
        <f>SUM(K93:V93)</f>
        <v>306.60000000000002</v>
      </c>
      <c r="X93" s="445"/>
      <c r="Y93" s="558"/>
      <c r="Z93" s="434"/>
    </row>
    <row r="94" spans="9:26" ht="13.5" customHeight="1" thickBot="1" x14ac:dyDescent="0.45">
      <c r="I94" s="821" t="s">
        <v>63</v>
      </c>
      <c r="J94" s="822">
        <f>SUM(J83:J89)</f>
        <v>3675</v>
      </c>
      <c r="K94" s="823">
        <f t="shared" ref="K94:W94" si="72">SUM(K83:K93)</f>
        <v>11238.785</v>
      </c>
      <c r="L94" s="823">
        <f t="shared" si="72"/>
        <v>1856.6999999999998</v>
      </c>
      <c r="M94" s="823">
        <f t="shared" si="72"/>
        <v>3383.9749999999999</v>
      </c>
      <c r="N94" s="823">
        <f t="shared" si="72"/>
        <v>4530.8100000000004</v>
      </c>
      <c r="O94" s="823">
        <f t="shared" si="72"/>
        <v>3195.6860000000001</v>
      </c>
      <c r="P94" s="823">
        <f t="shared" si="72"/>
        <v>1370.8</v>
      </c>
      <c r="Q94" s="823">
        <f t="shared" si="72"/>
        <v>1475.85</v>
      </c>
      <c r="R94" s="823">
        <f t="shared" si="72"/>
        <v>1733.06</v>
      </c>
      <c r="S94" s="823">
        <f t="shared" si="72"/>
        <v>2417.33</v>
      </c>
      <c r="T94" s="823">
        <f t="shared" si="72"/>
        <v>1602.8999999999999</v>
      </c>
      <c r="U94" s="823">
        <f t="shared" si="72"/>
        <v>2257.2699999999995</v>
      </c>
      <c r="V94" s="823">
        <f t="shared" si="72"/>
        <v>2187.7200000000003</v>
      </c>
      <c r="W94" s="823">
        <f t="shared" si="72"/>
        <v>37829.885999999991</v>
      </c>
      <c r="X94" s="445">
        <f>IFERROR(W94/W17,0)</f>
        <v>0.61685511541242333</v>
      </c>
      <c r="Y94" s="558">
        <f>J94*12</f>
        <v>44100</v>
      </c>
      <c r="Z94" s="434">
        <f>W94-Y94</f>
        <v>-6270.1140000000087</v>
      </c>
    </row>
    <row r="96" spans="9:26" ht="13.15" customHeight="1" x14ac:dyDescent="0.4">
      <c r="I96" s="566" t="s">
        <v>157</v>
      </c>
      <c r="K96" s="577" t="s">
        <v>142</v>
      </c>
      <c r="L96" s="577" t="s">
        <v>143</v>
      </c>
      <c r="M96" s="577" t="s">
        <v>144</v>
      </c>
      <c r="N96" s="577" t="s">
        <v>145</v>
      </c>
      <c r="O96" s="577" t="s">
        <v>146</v>
      </c>
      <c r="P96" s="577" t="s">
        <v>147</v>
      </c>
      <c r="Q96" s="577" t="s">
        <v>148</v>
      </c>
      <c r="R96" s="577" t="s">
        <v>149</v>
      </c>
      <c r="S96" s="577" t="s">
        <v>150</v>
      </c>
      <c r="T96" s="577" t="s">
        <v>151</v>
      </c>
      <c r="U96" s="577" t="s">
        <v>152</v>
      </c>
      <c r="V96" s="577" t="s">
        <v>153</v>
      </c>
      <c r="W96" s="577" t="s">
        <v>19</v>
      </c>
      <c r="X96" s="423" t="s">
        <v>158</v>
      </c>
      <c r="Y96" s="423" t="s">
        <v>22</v>
      </c>
    </row>
    <row r="97" spans="9:25" x14ac:dyDescent="0.35">
      <c r="I97" s="426" t="s">
        <v>159</v>
      </c>
      <c r="K97" s="432">
        <f t="shared" ref="K97:K105" si="73">SUMIFS($E$154:$E$480,$A$154:$A$480,"&gt;31/12/2021",$A$154:$A$480,"&lt;1/2/2022",$D$154:$D$480,$I97)</f>
        <v>16904</v>
      </c>
      <c r="L97" s="432">
        <f t="shared" ref="L97:L105" si="74">SUMIFS($E$154:$E$480,$A$154:$A$480,"&gt;31/1/2022",$A$154:$A$480,"&lt;1/3/2022",$D$154:$D$480,$I97)</f>
        <v>2009</v>
      </c>
      <c r="M97" s="432">
        <f t="shared" ref="M97:M105" si="75">SUMIFS($E$154:$E$480,$A$154:$A$480,"&gt;28/2/2022",$A$154:$A$480,"&lt;1/4/2022",$D$154:$D$480,$I97)</f>
        <v>2410</v>
      </c>
      <c r="N97" s="432">
        <f t="shared" ref="N97:N105" si="76">SUMIFS($E$154:$E$480,$A$154:$A$480,"&gt;31/3/2022",$A$154:$A$480,"&lt;1/5/2022",$D$154:$D$480,$I97)</f>
        <v>4629</v>
      </c>
      <c r="O97" s="432">
        <f t="shared" ref="O97:O105" si="77">SUMIFS($E$154:$E$480,$A$154:$A$480,"&gt;30/4/2022",$A$154:$A$480,"&lt;1/6/2022",$D$154:$D$480,$I97)</f>
        <v>1374.26</v>
      </c>
      <c r="P97" s="432">
        <f t="shared" ref="P97:P105" si="78">SUMIFS($E$154:$E$480,$A$154:$A$480,"&gt;31/5/2022",$A$154:$A$480,"&lt;1/7/2022",$D$154:$D$480,$I97)</f>
        <v>1872</v>
      </c>
      <c r="Q97" s="432">
        <f t="shared" ref="Q97:Q105" si="79">SUMIFS($E$154:$E$480,$A$154:$A$480,"&gt;30/6/2022",$A$154:$A$480,"&lt;1/8/2022",$D$154:$D$480,$I97)</f>
        <v>550</v>
      </c>
      <c r="R97" s="432">
        <f t="shared" ref="R97:R105" si="80">SUMIFS($E$154:$E$480,$A$154:$A$480,"&gt;31/7/2022",$A$154:$A$480,"&lt;1/9/2022",$D$154:$D$480,$I97)</f>
        <v>1220.75</v>
      </c>
      <c r="S97" s="432">
        <f t="shared" ref="S97:S105" si="81">SUMIFS($E$154:$E$480,$A$154:$A$480,"&gt;31/8/2022",$A$154:$A$480,"&lt;1/10/2022",$D$154:$D$480,$I97)</f>
        <v>988.5</v>
      </c>
      <c r="T97" s="432">
        <f t="shared" ref="T97:T105" si="82">SUMIFS($E$154:$E$480,$A$154:$A$480,"&gt;30/9/2022",$A$154:$A$480,"&lt;1/11/2022",$D$154:$D$480,$I97)</f>
        <v>1039</v>
      </c>
      <c r="U97" s="432">
        <f t="shared" ref="U97:U105" si="83">SUMIFS($E$154:$E$480,$A$154:$A$480,"&gt;31/10/2022",$A$154:$A$480,"&lt;1/12/2022",$D$154:$D$480,$I97)</f>
        <v>1595.2</v>
      </c>
      <c r="V97" s="432">
        <f t="shared" ref="V97:V105" si="84">SUMIFS($E$154:$E$480,$A$154:$A$480,"&gt;30/11/2022",$A$154:$A$480,"&lt;1/1/2023",$D$154:$D$480,$I97)</f>
        <v>2033.1100000000001</v>
      </c>
      <c r="W97" s="432">
        <f t="shared" ref="W97:W105" si="85">SUM(K97:V97)</f>
        <v>36624.819999999992</v>
      </c>
      <c r="X97" s="460">
        <f t="shared" ref="X97:X102" si="86">L97/$L$106</f>
        <v>0.66343042071197411</v>
      </c>
      <c r="Y97" s="460">
        <f>W97/W106</f>
        <v>0.59720527754324271</v>
      </c>
    </row>
    <row r="98" spans="9:25" x14ac:dyDescent="0.35">
      <c r="I98" s="426" t="s">
        <v>160</v>
      </c>
      <c r="K98" s="432">
        <f t="shared" si="73"/>
        <v>1504.77</v>
      </c>
      <c r="L98" s="432">
        <f t="shared" si="74"/>
        <v>119.2</v>
      </c>
      <c r="M98" s="432">
        <f t="shared" si="75"/>
        <v>1554.95</v>
      </c>
      <c r="N98" s="432">
        <f t="shared" si="76"/>
        <v>2231.27</v>
      </c>
      <c r="O98" s="432">
        <f t="shared" si="77"/>
        <v>2041.09</v>
      </c>
      <c r="P98" s="432">
        <f t="shared" si="78"/>
        <v>41</v>
      </c>
      <c r="Q98" s="432">
        <f t="shared" si="79"/>
        <v>1415.94</v>
      </c>
      <c r="R98" s="432">
        <f t="shared" si="80"/>
        <v>690.59999999999991</v>
      </c>
      <c r="S98" s="432">
        <f t="shared" si="81"/>
        <v>2080.06</v>
      </c>
      <c r="T98" s="432">
        <f t="shared" si="82"/>
        <v>690</v>
      </c>
      <c r="U98" s="432">
        <f t="shared" si="83"/>
        <v>1772.75</v>
      </c>
      <c r="V98" s="432">
        <f t="shared" si="84"/>
        <v>1031.08</v>
      </c>
      <c r="W98" s="432">
        <f t="shared" si="85"/>
        <v>15172.710000000001</v>
      </c>
      <c r="X98" s="460">
        <f t="shared" si="86"/>
        <v>3.93633181427911E-2</v>
      </c>
      <c r="Y98" s="460">
        <f>W98/W106</f>
        <v>0.24740660804976344</v>
      </c>
    </row>
    <row r="99" spans="9:25" x14ac:dyDescent="0.35">
      <c r="I99" s="426" t="s">
        <v>161</v>
      </c>
      <c r="K99" s="432">
        <f t="shared" si="73"/>
        <v>350</v>
      </c>
      <c r="L99" s="432">
        <f t="shared" si="74"/>
        <v>350</v>
      </c>
      <c r="M99" s="432">
        <f t="shared" si="75"/>
        <v>497.5</v>
      </c>
      <c r="N99" s="432">
        <f t="shared" si="76"/>
        <v>310</v>
      </c>
      <c r="O99" s="432">
        <f t="shared" si="77"/>
        <v>310</v>
      </c>
      <c r="P99" s="432">
        <f t="shared" si="78"/>
        <v>310</v>
      </c>
      <c r="Q99" s="432">
        <f t="shared" si="79"/>
        <v>310</v>
      </c>
      <c r="R99" s="432">
        <f t="shared" si="80"/>
        <v>210</v>
      </c>
      <c r="S99" s="432">
        <f t="shared" si="81"/>
        <v>210</v>
      </c>
      <c r="T99" s="432">
        <f t="shared" si="82"/>
        <v>190</v>
      </c>
      <c r="U99" s="432">
        <f t="shared" si="83"/>
        <v>210</v>
      </c>
      <c r="V99" s="432">
        <f t="shared" si="84"/>
        <v>60</v>
      </c>
      <c r="W99" s="432">
        <f t="shared" si="85"/>
        <v>3317.5</v>
      </c>
      <c r="X99" s="460">
        <f t="shared" si="86"/>
        <v>0.11558021266759132</v>
      </c>
      <c r="Y99" s="460">
        <f>W99/W106</f>
        <v>5.4095242195039001E-2</v>
      </c>
    </row>
    <row r="100" spans="9:25" x14ac:dyDescent="0.35">
      <c r="I100" s="426" t="s">
        <v>162</v>
      </c>
      <c r="K100" s="432">
        <f t="shared" si="73"/>
        <v>0</v>
      </c>
      <c r="L100" s="432">
        <f t="shared" si="74"/>
        <v>550</v>
      </c>
      <c r="M100" s="432">
        <f t="shared" si="75"/>
        <v>1306.19</v>
      </c>
      <c r="N100" s="432">
        <f t="shared" si="76"/>
        <v>291.5</v>
      </c>
      <c r="O100" s="432">
        <f t="shared" si="77"/>
        <v>1544.3</v>
      </c>
      <c r="P100" s="432">
        <f t="shared" si="78"/>
        <v>0</v>
      </c>
      <c r="Q100" s="432">
        <f t="shared" si="79"/>
        <v>225</v>
      </c>
      <c r="R100" s="432">
        <f t="shared" si="80"/>
        <v>675</v>
      </c>
      <c r="S100" s="432">
        <f t="shared" si="81"/>
        <v>650</v>
      </c>
      <c r="T100" s="432">
        <f t="shared" si="82"/>
        <v>470</v>
      </c>
      <c r="U100" s="432">
        <f t="shared" si="83"/>
        <v>0</v>
      </c>
      <c r="V100" s="432">
        <f t="shared" si="84"/>
        <v>500</v>
      </c>
      <c r="W100" s="432">
        <f t="shared" si="85"/>
        <v>6211.99</v>
      </c>
      <c r="X100" s="460">
        <f t="shared" si="86"/>
        <v>0.18162604847764349</v>
      </c>
      <c r="Y100" s="460">
        <f>W100/W106</f>
        <v>0.10129287221195488</v>
      </c>
    </row>
    <row r="101" spans="9:25" x14ac:dyDescent="0.35">
      <c r="I101" s="426" t="s">
        <v>163</v>
      </c>
      <c r="K101" s="432">
        <f t="shared" si="73"/>
        <v>0</v>
      </c>
      <c r="L101" s="432">
        <f t="shared" si="74"/>
        <v>0</v>
      </c>
      <c r="M101" s="432">
        <f t="shared" si="75"/>
        <v>0</v>
      </c>
      <c r="N101" s="432">
        <f t="shared" si="76"/>
        <v>0</v>
      </c>
      <c r="O101" s="432">
        <f t="shared" si="77"/>
        <v>0</v>
      </c>
      <c r="P101" s="432">
        <f t="shared" si="78"/>
        <v>0</v>
      </c>
      <c r="Q101" s="432">
        <f t="shared" si="79"/>
        <v>0</v>
      </c>
      <c r="R101" s="432">
        <f t="shared" si="80"/>
        <v>0</v>
      </c>
      <c r="S101" s="432">
        <f t="shared" si="81"/>
        <v>0</v>
      </c>
      <c r="T101" s="432">
        <f t="shared" si="82"/>
        <v>0</v>
      </c>
      <c r="U101" s="432">
        <f t="shared" si="83"/>
        <v>0</v>
      </c>
      <c r="V101" s="432">
        <f t="shared" si="84"/>
        <v>0</v>
      </c>
      <c r="W101" s="432">
        <f t="shared" si="85"/>
        <v>0</v>
      </c>
      <c r="X101" s="460">
        <f t="shared" si="86"/>
        <v>0</v>
      </c>
      <c r="Y101" s="460">
        <f>W101/W106</f>
        <v>0</v>
      </c>
    </row>
    <row r="102" spans="9:25" x14ac:dyDescent="0.35">
      <c r="I102" s="426" t="s">
        <v>164</v>
      </c>
      <c r="K102" s="432">
        <f t="shared" si="73"/>
        <v>0</v>
      </c>
      <c r="L102" s="432">
        <f t="shared" si="74"/>
        <v>0</v>
      </c>
      <c r="M102" s="432">
        <f t="shared" si="75"/>
        <v>0</v>
      </c>
      <c r="N102" s="432">
        <f t="shared" si="76"/>
        <v>0</v>
      </c>
      <c r="O102" s="432">
        <f t="shared" si="77"/>
        <v>0</v>
      </c>
      <c r="P102" s="432">
        <f t="shared" si="78"/>
        <v>0</v>
      </c>
      <c r="Q102" s="432">
        <f t="shared" si="79"/>
        <v>0</v>
      </c>
      <c r="R102" s="432">
        <f t="shared" si="80"/>
        <v>0</v>
      </c>
      <c r="S102" s="432">
        <f t="shared" si="81"/>
        <v>0</v>
      </c>
      <c r="T102" s="432">
        <f t="shared" si="82"/>
        <v>0</v>
      </c>
      <c r="U102" s="432">
        <f t="shared" si="83"/>
        <v>0</v>
      </c>
      <c r="V102" s="432">
        <f t="shared" si="84"/>
        <v>0</v>
      </c>
      <c r="W102" s="432">
        <f t="shared" si="85"/>
        <v>0</v>
      </c>
      <c r="X102" s="460">
        <f t="shared" si="86"/>
        <v>0</v>
      </c>
      <c r="Y102" s="460">
        <f>W102/W106</f>
        <v>0</v>
      </c>
    </row>
    <row r="103" spans="9:25" x14ac:dyDescent="0.35">
      <c r="I103" s="45" t="s">
        <v>165</v>
      </c>
      <c r="K103" s="432">
        <f t="shared" si="73"/>
        <v>0</v>
      </c>
      <c r="L103" s="432">
        <f t="shared" si="74"/>
        <v>0</v>
      </c>
      <c r="M103" s="432">
        <f t="shared" si="75"/>
        <v>0</v>
      </c>
      <c r="N103" s="432">
        <f t="shared" si="76"/>
        <v>0</v>
      </c>
      <c r="O103" s="432">
        <f t="shared" si="77"/>
        <v>0</v>
      </c>
      <c r="P103" s="432">
        <f t="shared" si="78"/>
        <v>0</v>
      </c>
      <c r="Q103" s="432">
        <f t="shared" si="79"/>
        <v>0</v>
      </c>
      <c r="R103" s="432">
        <f t="shared" si="80"/>
        <v>0</v>
      </c>
      <c r="S103" s="432">
        <f t="shared" si="81"/>
        <v>0</v>
      </c>
      <c r="T103" s="432">
        <f t="shared" si="82"/>
        <v>0</v>
      </c>
      <c r="U103" s="432">
        <f t="shared" si="83"/>
        <v>0</v>
      </c>
      <c r="V103" s="432">
        <f t="shared" si="84"/>
        <v>0</v>
      </c>
      <c r="W103" s="432">
        <f t="shared" si="85"/>
        <v>0</v>
      </c>
      <c r="X103" s="460"/>
      <c r="Y103" s="460"/>
    </row>
    <row r="104" spans="9:25" x14ac:dyDescent="0.35">
      <c r="I104" s="45" t="s">
        <v>166</v>
      </c>
      <c r="K104" s="432">
        <f t="shared" si="73"/>
        <v>0</v>
      </c>
      <c r="L104" s="432">
        <f t="shared" si="74"/>
        <v>0</v>
      </c>
      <c r="M104" s="432">
        <f t="shared" si="75"/>
        <v>0</v>
      </c>
      <c r="N104" s="432">
        <f t="shared" si="76"/>
        <v>0</v>
      </c>
      <c r="O104" s="432">
        <f t="shared" si="77"/>
        <v>0</v>
      </c>
      <c r="P104" s="432">
        <f t="shared" si="78"/>
        <v>0</v>
      </c>
      <c r="Q104" s="432">
        <f t="shared" si="79"/>
        <v>0</v>
      </c>
      <c r="R104" s="432">
        <f t="shared" si="80"/>
        <v>0</v>
      </c>
      <c r="S104" s="432">
        <f t="shared" si="81"/>
        <v>0</v>
      </c>
      <c r="T104" s="432">
        <f t="shared" si="82"/>
        <v>0</v>
      </c>
      <c r="U104" s="432">
        <f t="shared" si="83"/>
        <v>0</v>
      </c>
      <c r="V104" s="432">
        <f t="shared" si="84"/>
        <v>0</v>
      </c>
      <c r="W104" s="432">
        <f t="shared" si="85"/>
        <v>0</v>
      </c>
      <c r="X104" s="460">
        <f>L104/$L$106</f>
        <v>0</v>
      </c>
      <c r="Y104" s="460">
        <f>W104/W106</f>
        <v>0</v>
      </c>
    </row>
    <row r="105" spans="9:25" x14ac:dyDescent="0.35">
      <c r="I105" s="45" t="s">
        <v>167</v>
      </c>
      <c r="K105" s="432">
        <f t="shared" si="73"/>
        <v>0</v>
      </c>
      <c r="L105" s="432">
        <f t="shared" si="74"/>
        <v>0</v>
      </c>
      <c r="M105" s="432">
        <f t="shared" si="75"/>
        <v>0</v>
      </c>
      <c r="N105" s="432">
        <f t="shared" si="76"/>
        <v>0</v>
      </c>
      <c r="O105" s="432">
        <f t="shared" si="77"/>
        <v>0</v>
      </c>
      <c r="P105" s="432">
        <f t="shared" si="78"/>
        <v>0</v>
      </c>
      <c r="Q105" s="432">
        <f t="shared" si="79"/>
        <v>0</v>
      </c>
      <c r="R105" s="432">
        <f t="shared" si="80"/>
        <v>0</v>
      </c>
      <c r="S105" s="432">
        <f t="shared" si="81"/>
        <v>0</v>
      </c>
      <c r="T105" s="432">
        <f t="shared" si="82"/>
        <v>0</v>
      </c>
      <c r="U105" s="432">
        <f t="shared" si="83"/>
        <v>0</v>
      </c>
      <c r="V105" s="432">
        <f t="shared" si="84"/>
        <v>0</v>
      </c>
      <c r="W105" s="432">
        <f t="shared" si="85"/>
        <v>0</v>
      </c>
      <c r="X105" s="460">
        <f>L105/$L$106</f>
        <v>0</v>
      </c>
      <c r="Y105" s="460">
        <f>W105/W106</f>
        <v>0</v>
      </c>
    </row>
    <row r="106" spans="9:25" ht="13.5" customHeight="1" thickBot="1" x14ac:dyDescent="0.45">
      <c r="I106" s="454"/>
      <c r="K106" s="797">
        <f t="shared" ref="K106:W106" si="87">SUM(K97:K105)</f>
        <v>18758.77</v>
      </c>
      <c r="L106" s="797">
        <f t="shared" si="87"/>
        <v>3028.2</v>
      </c>
      <c r="M106" s="797">
        <f t="shared" si="87"/>
        <v>5768.6399999999994</v>
      </c>
      <c r="N106" s="797">
        <f t="shared" si="87"/>
        <v>7461.77</v>
      </c>
      <c r="O106" s="797">
        <f t="shared" si="87"/>
        <v>5269.65</v>
      </c>
      <c r="P106" s="797">
        <f t="shared" si="87"/>
        <v>2223</v>
      </c>
      <c r="Q106" s="797">
        <f t="shared" si="87"/>
        <v>2500.94</v>
      </c>
      <c r="R106" s="797">
        <f t="shared" si="87"/>
        <v>2796.35</v>
      </c>
      <c r="S106" s="797">
        <f t="shared" si="87"/>
        <v>3928.56</v>
      </c>
      <c r="T106" s="797">
        <f t="shared" si="87"/>
        <v>2389</v>
      </c>
      <c r="U106" s="797">
        <f t="shared" si="87"/>
        <v>3577.95</v>
      </c>
      <c r="V106" s="797">
        <f t="shared" si="87"/>
        <v>3624.19</v>
      </c>
      <c r="W106" s="797">
        <f t="shared" si="87"/>
        <v>61327.01999999999</v>
      </c>
      <c r="X106" s="454"/>
      <c r="Y106" s="466"/>
    </row>
    <row r="107" spans="9:25" ht="13.15" customHeight="1" thickTop="1" x14ac:dyDescent="0.35">
      <c r="I107" s="454"/>
      <c r="K107" s="434">
        <f t="shared" ref="K107:S107" si="88">K106-K17</f>
        <v>0</v>
      </c>
      <c r="L107" s="434">
        <f t="shared" si="88"/>
        <v>0</v>
      </c>
      <c r="M107" s="434">
        <f t="shared" si="88"/>
        <v>0</v>
      </c>
      <c r="N107" s="434">
        <f t="shared" si="88"/>
        <v>0</v>
      </c>
      <c r="O107" s="434">
        <f t="shared" si="88"/>
        <v>0</v>
      </c>
      <c r="P107" s="434">
        <f t="shared" si="88"/>
        <v>0</v>
      </c>
      <c r="Q107" s="434">
        <f t="shared" si="88"/>
        <v>0</v>
      </c>
      <c r="R107" s="434">
        <f t="shared" si="88"/>
        <v>0</v>
      </c>
      <c r="S107" s="434">
        <f t="shared" si="88"/>
        <v>0</v>
      </c>
      <c r="T107" s="434"/>
      <c r="U107" s="434"/>
      <c r="V107" s="434"/>
      <c r="W107" s="434"/>
      <c r="X107" s="454"/>
    </row>
    <row r="108" spans="9:25" ht="13.15" customHeight="1" x14ac:dyDescent="0.4">
      <c r="I108" s="556" t="s">
        <v>168</v>
      </c>
      <c r="K108" s="577" t="s">
        <v>142</v>
      </c>
      <c r="L108" s="577" t="s">
        <v>143</v>
      </c>
      <c r="M108" s="577" t="s">
        <v>144</v>
      </c>
      <c r="N108" s="577" t="s">
        <v>145</v>
      </c>
      <c r="O108" s="577" t="s">
        <v>146</v>
      </c>
      <c r="P108" s="577" t="s">
        <v>147</v>
      </c>
      <c r="Q108" s="577" t="s">
        <v>148</v>
      </c>
      <c r="R108" s="577" t="s">
        <v>149</v>
      </c>
      <c r="S108" s="577" t="s">
        <v>150</v>
      </c>
      <c r="T108" s="577" t="s">
        <v>151</v>
      </c>
      <c r="U108" s="577" t="s">
        <v>152</v>
      </c>
      <c r="V108" s="577" t="s">
        <v>153</v>
      </c>
      <c r="W108" s="577" t="s">
        <v>19</v>
      </c>
      <c r="X108" s="454"/>
    </row>
    <row r="109" spans="9:25" ht="13.15" customHeight="1" x14ac:dyDescent="0.4">
      <c r="I109" s="613" t="s">
        <v>1310</v>
      </c>
      <c r="K109" s="454">
        <f t="shared" ref="K109:V109" si="89">K97*1.8%</f>
        <v>304.27200000000005</v>
      </c>
      <c r="L109" s="454">
        <f t="shared" si="89"/>
        <v>36.162000000000006</v>
      </c>
      <c r="M109" s="454">
        <f t="shared" si="89"/>
        <v>43.38</v>
      </c>
      <c r="N109" s="454">
        <f t="shared" si="89"/>
        <v>83.322000000000003</v>
      </c>
      <c r="O109" s="454">
        <f t="shared" si="89"/>
        <v>24.736680000000003</v>
      </c>
      <c r="P109" s="454">
        <f t="shared" si="89"/>
        <v>33.696000000000005</v>
      </c>
      <c r="Q109" s="454">
        <f t="shared" si="89"/>
        <v>9.9</v>
      </c>
      <c r="R109" s="454">
        <f t="shared" si="89"/>
        <v>21.973500000000001</v>
      </c>
      <c r="S109" s="454">
        <f t="shared" si="89"/>
        <v>17.793000000000003</v>
      </c>
      <c r="T109" s="454">
        <f t="shared" si="89"/>
        <v>18.702000000000002</v>
      </c>
      <c r="U109" s="454">
        <f t="shared" si="89"/>
        <v>28.713600000000003</v>
      </c>
      <c r="V109" s="454">
        <f t="shared" si="89"/>
        <v>36.595980000000004</v>
      </c>
      <c r="W109" s="432">
        <f t="shared" ref="W109:W114" si="90">SUM(K109:V109)</f>
        <v>659.24676000000011</v>
      </c>
      <c r="X109" s="454"/>
      <c r="Y109" s="466"/>
    </row>
    <row r="110" spans="9:25" ht="13.15" customHeight="1" x14ac:dyDescent="0.4">
      <c r="I110" s="613" t="s">
        <v>170</v>
      </c>
      <c r="K110" s="454">
        <f t="shared" ref="K110:V110" si="91">K98*3.5%</f>
        <v>52.666950000000007</v>
      </c>
      <c r="L110" s="454">
        <f t="shared" si="91"/>
        <v>4.1720000000000006</v>
      </c>
      <c r="M110" s="454">
        <f t="shared" si="91"/>
        <v>54.42325000000001</v>
      </c>
      <c r="N110" s="454">
        <f t="shared" si="91"/>
        <v>78.094450000000009</v>
      </c>
      <c r="O110" s="454">
        <f t="shared" si="91"/>
        <v>71.438150000000007</v>
      </c>
      <c r="P110" s="454">
        <f t="shared" si="91"/>
        <v>1.4350000000000001</v>
      </c>
      <c r="Q110" s="454">
        <f t="shared" si="91"/>
        <v>49.557900000000004</v>
      </c>
      <c r="R110" s="454">
        <f t="shared" si="91"/>
        <v>24.170999999999999</v>
      </c>
      <c r="S110" s="454">
        <f t="shared" si="91"/>
        <v>72.80210000000001</v>
      </c>
      <c r="T110" s="454">
        <f t="shared" si="91"/>
        <v>24.150000000000002</v>
      </c>
      <c r="U110" s="454">
        <f t="shared" si="91"/>
        <v>62.046250000000008</v>
      </c>
      <c r="V110" s="454">
        <f t="shared" si="91"/>
        <v>36.087800000000001</v>
      </c>
      <c r="W110" s="432">
        <f t="shared" si="90"/>
        <v>531.04485</v>
      </c>
      <c r="X110" s="454"/>
      <c r="Y110" s="466"/>
    </row>
    <row r="111" spans="9:25" ht="13.15" customHeight="1" x14ac:dyDescent="0.4">
      <c r="I111" s="613" t="s">
        <v>167</v>
      </c>
      <c r="K111" s="454">
        <f t="shared" ref="K111:V111" si="92">K105*3.5%</f>
        <v>0</v>
      </c>
      <c r="L111" s="454">
        <f t="shared" si="92"/>
        <v>0</v>
      </c>
      <c r="M111" s="454">
        <f t="shared" si="92"/>
        <v>0</v>
      </c>
      <c r="N111" s="454">
        <f t="shared" si="92"/>
        <v>0</v>
      </c>
      <c r="O111" s="454">
        <f t="shared" si="92"/>
        <v>0</v>
      </c>
      <c r="P111" s="454">
        <f t="shared" si="92"/>
        <v>0</v>
      </c>
      <c r="Q111" s="454">
        <f t="shared" si="92"/>
        <v>0</v>
      </c>
      <c r="R111" s="454">
        <f t="shared" si="92"/>
        <v>0</v>
      </c>
      <c r="S111" s="454">
        <f t="shared" si="92"/>
        <v>0</v>
      </c>
      <c r="T111" s="454">
        <f t="shared" si="92"/>
        <v>0</v>
      </c>
      <c r="U111" s="454">
        <f t="shared" si="92"/>
        <v>0</v>
      </c>
      <c r="V111" s="454">
        <f t="shared" si="92"/>
        <v>0</v>
      </c>
      <c r="W111" s="586">
        <f t="shared" si="90"/>
        <v>0</v>
      </c>
      <c r="X111" s="454"/>
      <c r="Y111" s="466"/>
    </row>
    <row r="112" spans="9:25" ht="13.5" customHeight="1" thickBot="1" x14ac:dyDescent="0.45">
      <c r="I112" s="818" t="s">
        <v>171</v>
      </c>
      <c r="J112" s="819"/>
      <c r="K112" s="818">
        <f t="shared" ref="K112:V112" si="93">SUM(K108:K111)</f>
        <v>356.93895000000003</v>
      </c>
      <c r="L112" s="818">
        <f t="shared" si="93"/>
        <v>40.334000000000003</v>
      </c>
      <c r="M112" s="818">
        <f t="shared" si="93"/>
        <v>97.80325000000002</v>
      </c>
      <c r="N112" s="818">
        <f t="shared" si="93"/>
        <v>161.41645</v>
      </c>
      <c r="O112" s="818">
        <f t="shared" si="93"/>
        <v>96.174830000000014</v>
      </c>
      <c r="P112" s="818">
        <f t="shared" si="93"/>
        <v>35.131000000000007</v>
      </c>
      <c r="Q112" s="818">
        <f t="shared" si="93"/>
        <v>59.457900000000002</v>
      </c>
      <c r="R112" s="818">
        <f t="shared" si="93"/>
        <v>46.144500000000001</v>
      </c>
      <c r="S112" s="818">
        <f t="shared" si="93"/>
        <v>90.595100000000016</v>
      </c>
      <c r="T112" s="818">
        <f t="shared" si="93"/>
        <v>42.852000000000004</v>
      </c>
      <c r="U112" s="818">
        <f t="shared" si="93"/>
        <v>90.759850000000014</v>
      </c>
      <c r="V112" s="818">
        <f t="shared" si="93"/>
        <v>72.683780000000013</v>
      </c>
      <c r="W112" s="820">
        <f t="shared" si="90"/>
        <v>1190.2916100000002</v>
      </c>
      <c r="X112" s="454"/>
      <c r="Y112" s="466"/>
    </row>
    <row r="113" spans="9:25" ht="13.15" customHeight="1" x14ac:dyDescent="0.4">
      <c r="I113" s="454"/>
      <c r="K113" s="454"/>
      <c r="L113" s="454"/>
      <c r="M113" s="454"/>
      <c r="N113" s="454"/>
      <c r="O113" s="454"/>
      <c r="P113" s="454"/>
      <c r="Q113" s="454"/>
      <c r="R113" s="454"/>
      <c r="S113" s="454"/>
      <c r="T113" s="454"/>
      <c r="U113" s="454"/>
      <c r="V113" s="454"/>
      <c r="W113" s="461">
        <f t="shared" si="90"/>
        <v>0</v>
      </c>
      <c r="X113" s="454"/>
      <c r="Y113" s="466"/>
    </row>
    <row r="114" spans="9:25" ht="13.5" customHeight="1" thickBot="1" x14ac:dyDescent="0.45">
      <c r="I114" s="561" t="s">
        <v>172</v>
      </c>
      <c r="K114" s="797">
        <f t="shared" ref="K114:V114" si="94">K106-K112</f>
        <v>18401.831050000001</v>
      </c>
      <c r="L114" s="797">
        <f t="shared" si="94"/>
        <v>2987.866</v>
      </c>
      <c r="M114" s="797">
        <f t="shared" si="94"/>
        <v>5670.8367499999995</v>
      </c>
      <c r="N114" s="797">
        <f t="shared" si="94"/>
        <v>7300.3535500000007</v>
      </c>
      <c r="O114" s="797">
        <f t="shared" si="94"/>
        <v>5173.4751699999997</v>
      </c>
      <c r="P114" s="797">
        <f t="shared" si="94"/>
        <v>2187.8690000000001</v>
      </c>
      <c r="Q114" s="797">
        <f t="shared" si="94"/>
        <v>2441.4821000000002</v>
      </c>
      <c r="R114" s="797">
        <f t="shared" si="94"/>
        <v>2750.2055</v>
      </c>
      <c r="S114" s="797">
        <f t="shared" si="94"/>
        <v>3837.9648999999999</v>
      </c>
      <c r="T114" s="797">
        <f t="shared" si="94"/>
        <v>2346.1480000000001</v>
      </c>
      <c r="U114" s="797">
        <f t="shared" si="94"/>
        <v>3487.1901499999999</v>
      </c>
      <c r="V114" s="797">
        <f t="shared" si="94"/>
        <v>3551.5062200000002</v>
      </c>
      <c r="W114" s="798">
        <f t="shared" si="90"/>
        <v>60136.728390000011</v>
      </c>
      <c r="X114" s="454"/>
      <c r="Y114" s="466"/>
    </row>
    <row r="115" spans="9:25" ht="13.15" customHeight="1" thickTop="1" x14ac:dyDescent="0.35">
      <c r="I115" s="454"/>
      <c r="K115" s="454"/>
      <c r="L115" s="454"/>
      <c r="M115" s="454"/>
      <c r="N115" s="454"/>
      <c r="O115" s="454"/>
      <c r="P115" s="454"/>
      <c r="Q115" s="454"/>
      <c r="R115" s="454"/>
      <c r="S115" s="454"/>
      <c r="T115" s="454"/>
      <c r="U115" s="454"/>
      <c r="V115" s="454"/>
      <c r="W115" s="454"/>
      <c r="X115" s="454"/>
    </row>
    <row r="116" spans="9:25" x14ac:dyDescent="0.35">
      <c r="K116" s="454"/>
      <c r="L116" s="454"/>
      <c r="M116" s="454"/>
      <c r="N116" s="454"/>
      <c r="O116" s="454"/>
      <c r="P116" s="454"/>
      <c r="Q116" s="454"/>
      <c r="R116" s="454"/>
      <c r="S116" s="454"/>
      <c r="T116" s="454"/>
      <c r="U116" s="454"/>
      <c r="V116" s="454"/>
      <c r="W116" s="454"/>
      <c r="X116" s="454"/>
    </row>
    <row r="117" spans="9:25" ht="13.15" customHeight="1" x14ac:dyDescent="0.4">
      <c r="I117" s="556" t="s">
        <v>173</v>
      </c>
      <c r="K117" s="577" t="s">
        <v>142</v>
      </c>
      <c r="L117" s="577" t="s">
        <v>143</v>
      </c>
      <c r="M117" s="577" t="s">
        <v>144</v>
      </c>
      <c r="N117" s="577" t="s">
        <v>145</v>
      </c>
      <c r="O117" s="577" t="s">
        <v>146</v>
      </c>
      <c r="P117" s="577" t="s">
        <v>147</v>
      </c>
      <c r="Q117" s="577" t="s">
        <v>148</v>
      </c>
      <c r="R117" s="577" t="s">
        <v>149</v>
      </c>
      <c r="S117" s="577" t="s">
        <v>150</v>
      </c>
      <c r="T117" s="577" t="s">
        <v>151</v>
      </c>
      <c r="U117" s="577" t="s">
        <v>152</v>
      </c>
      <c r="V117" s="577" t="s">
        <v>153</v>
      </c>
      <c r="W117" s="577" t="s">
        <v>19</v>
      </c>
      <c r="X117" s="423" t="s">
        <v>158</v>
      </c>
    </row>
    <row r="118" spans="9:25" x14ac:dyDescent="0.35">
      <c r="I118" s="426" t="s">
        <v>174</v>
      </c>
      <c r="K118" s="432">
        <f t="shared" ref="K118:K126" si="95">SUMIFS($E$154:$E$480,$A$154:$A$480,"&gt;31/12/2021",$A$154:$A$480,"&lt;1/2/2022",$G$154:$G$480,$I118)</f>
        <v>1259</v>
      </c>
      <c r="L118" s="432">
        <f t="shared" ref="L118:L126" si="96">SUMIFS($E$154:$E$480,$A$154:$A$480,"&gt;31/1/2022",$A$154:$A$480,"&lt;1/3/2022",$G$154:$G$480,$I118)</f>
        <v>725</v>
      </c>
      <c r="M118" s="432">
        <f t="shared" ref="M118:M126" si="97">SUMIFS($E$154:$E$480,$A$154:$A$480,"&gt;28/2/2022",$A$154:$A$480,"&lt;1/4/2022",$G$154:$G$480,$I118)</f>
        <v>1475</v>
      </c>
      <c r="N118" s="432">
        <f t="shared" ref="N118:N126" si="98">SUMIFS($E$154:$E$480,$A$154:$A$480,"&gt;31/3/2022",$A$154:$A$480,"&lt;1/5/2022",$G$154:$G$480,$I118)</f>
        <v>5565</v>
      </c>
      <c r="O118" s="432">
        <f t="shared" ref="O118:O126" si="99">SUMIFS($E$154:$E$480,$A$154:$A$480,"&gt;30/4/2022",$A$154:$A$480,"&lt;1/6/2022",$G$154:$G$480,$I118)</f>
        <v>2739.26</v>
      </c>
      <c r="P118" s="432">
        <f t="shared" ref="P118:P126" si="100">SUMIFS($E$154:$E$480,$A$154:$A$480,"&gt;31/5/2022",$A$154:$A$480,"&lt;1/7/2022",$G$154:$G$480,$I118)</f>
        <v>1863</v>
      </c>
      <c r="Q118" s="432">
        <f t="shared" ref="Q118:Q126" si="101">SUMIFS($E$154:$E$480,$A$154:$A$480,"&gt;30/6/2022",$A$154:$A$480,"&lt;1/8/2022",$G$154:$G$480,$I118)</f>
        <v>808</v>
      </c>
      <c r="R118" s="432">
        <f t="shared" ref="R118:R126" si="102">SUMIFS($E$154:$E$480,$A$154:$A$480,"&gt;31/7/2022",$A$154:$A$480,"&lt;1/9/2022",$G$154:$G$480,$I118)</f>
        <v>1236.5</v>
      </c>
      <c r="S118" s="432">
        <f t="shared" ref="S118:S126" si="103">SUMIFS($E$154:$E$480,$A$154:$A$480,"&gt;31/8/2022",$A$154:$A$480,"&lt;1/10/2022",$G$154:$G$480,$I118)</f>
        <v>2108</v>
      </c>
      <c r="T118" s="432">
        <f t="shared" ref="T118:T126" si="104">SUMIFS($E$154:$E$480,$A$154:$A$480,"&gt;30/9/2022",$A$154:$A$480,"&lt;1/11/2022",$G$154:$G$480,$I118)</f>
        <v>955</v>
      </c>
      <c r="U118" s="432">
        <f t="shared" ref="U118:U126" si="105">SUMIFS($E$154:$E$480,$A$154:$A$480,"&gt;31/10/2022",$A$154:$A$480,"&lt;1/12/2022",$G$154:$G$480,$I118)</f>
        <v>1467.2</v>
      </c>
      <c r="V118" s="432">
        <f t="shared" ref="V118:V126" si="106">SUMIFS($E$154:$E$480,$A$154:$A$480,"&gt;30/11/2022",$A$154:$A$480,"&lt;1/1/2023",$G$154:$G$480,$I118)</f>
        <v>2933.25</v>
      </c>
      <c r="W118" s="432">
        <f t="shared" ref="W118:W126" si="107">SUM(K118:V118)</f>
        <v>23134.210000000003</v>
      </c>
      <c r="X118" s="460">
        <f t="shared" ref="X118:X127" si="108">IFERROR(W118/$W$127,0)</f>
        <v>0.37722703630471532</v>
      </c>
    </row>
    <row r="119" spans="9:25" x14ac:dyDescent="0.35">
      <c r="I119" s="426" t="s">
        <v>175</v>
      </c>
      <c r="K119" s="432">
        <f t="shared" si="95"/>
        <v>16760</v>
      </c>
      <c r="L119" s="432">
        <f t="shared" si="96"/>
        <v>2171</v>
      </c>
      <c r="M119" s="432">
        <f t="shared" si="97"/>
        <v>3438.74</v>
      </c>
      <c r="N119" s="432">
        <f t="shared" si="98"/>
        <v>1244.25</v>
      </c>
      <c r="O119" s="432">
        <f t="shared" si="99"/>
        <v>1979.35</v>
      </c>
      <c r="P119" s="432">
        <f t="shared" si="100"/>
        <v>360</v>
      </c>
      <c r="Q119" s="432">
        <f t="shared" si="101"/>
        <v>1225.8</v>
      </c>
      <c r="R119" s="432">
        <f t="shared" si="102"/>
        <v>1409.85</v>
      </c>
      <c r="S119" s="432">
        <f t="shared" si="103"/>
        <v>1596.25</v>
      </c>
      <c r="T119" s="432">
        <f t="shared" si="104"/>
        <v>885</v>
      </c>
      <c r="U119" s="432">
        <f t="shared" si="105"/>
        <v>2110.75</v>
      </c>
      <c r="V119" s="432">
        <f t="shared" si="106"/>
        <v>453</v>
      </c>
      <c r="W119" s="432">
        <f t="shared" si="107"/>
        <v>33633.989999999991</v>
      </c>
      <c r="X119" s="460">
        <f t="shared" si="108"/>
        <v>0.54843672495418805</v>
      </c>
    </row>
    <row r="120" spans="9:25" x14ac:dyDescent="0.35">
      <c r="I120" s="426" t="s">
        <v>1311</v>
      </c>
      <c r="K120" s="432">
        <f t="shared" si="95"/>
        <v>0</v>
      </c>
      <c r="L120" s="432">
        <f t="shared" si="96"/>
        <v>50</v>
      </c>
      <c r="M120" s="432">
        <f t="shared" si="97"/>
        <v>0</v>
      </c>
      <c r="N120" s="432">
        <f t="shared" si="98"/>
        <v>0</v>
      </c>
      <c r="O120" s="432">
        <f t="shared" si="99"/>
        <v>400</v>
      </c>
      <c r="P120" s="432">
        <f t="shared" si="100"/>
        <v>0</v>
      </c>
      <c r="Q120" s="432">
        <f t="shared" si="101"/>
        <v>50</v>
      </c>
      <c r="R120" s="432">
        <f t="shared" si="102"/>
        <v>0</v>
      </c>
      <c r="S120" s="432">
        <f t="shared" si="103"/>
        <v>0</v>
      </c>
      <c r="T120" s="432">
        <f t="shared" si="104"/>
        <v>400</v>
      </c>
      <c r="U120" s="432">
        <f t="shared" si="105"/>
        <v>0</v>
      </c>
      <c r="V120" s="432">
        <f t="shared" si="106"/>
        <v>0</v>
      </c>
      <c r="W120" s="432">
        <f t="shared" si="107"/>
        <v>900</v>
      </c>
      <c r="X120" s="460">
        <f t="shared" si="108"/>
        <v>1.4675423655021882E-2</v>
      </c>
    </row>
    <row r="121" spans="9:25" x14ac:dyDescent="0.35">
      <c r="I121" s="45" t="s">
        <v>176</v>
      </c>
      <c r="K121" s="432">
        <f t="shared" si="95"/>
        <v>175</v>
      </c>
      <c r="L121" s="432">
        <f t="shared" si="96"/>
        <v>0</v>
      </c>
      <c r="M121" s="432">
        <f t="shared" si="97"/>
        <v>0</v>
      </c>
      <c r="N121" s="432">
        <f t="shared" si="98"/>
        <v>0</v>
      </c>
      <c r="O121" s="432">
        <f t="shared" si="99"/>
        <v>0</v>
      </c>
      <c r="P121" s="432">
        <f t="shared" si="100"/>
        <v>0</v>
      </c>
      <c r="Q121" s="432">
        <f t="shared" si="101"/>
        <v>0</v>
      </c>
      <c r="R121" s="432">
        <f t="shared" si="102"/>
        <v>150</v>
      </c>
      <c r="S121" s="432">
        <f t="shared" si="103"/>
        <v>50</v>
      </c>
      <c r="T121" s="432">
        <f t="shared" si="104"/>
        <v>50</v>
      </c>
      <c r="U121" s="432">
        <f t="shared" si="105"/>
        <v>0</v>
      </c>
      <c r="V121" s="432">
        <f t="shared" si="106"/>
        <v>138.86000000000001</v>
      </c>
      <c r="W121" s="432">
        <f t="shared" si="107"/>
        <v>563.86</v>
      </c>
      <c r="X121" s="460">
        <f t="shared" si="108"/>
        <v>9.1943159801340432E-3</v>
      </c>
    </row>
    <row r="122" spans="9:25" x14ac:dyDescent="0.35">
      <c r="I122" s="426" t="s">
        <v>177</v>
      </c>
      <c r="K122" s="432">
        <f t="shared" si="95"/>
        <v>0</v>
      </c>
      <c r="L122" s="432">
        <f t="shared" si="96"/>
        <v>0</v>
      </c>
      <c r="M122" s="432">
        <f t="shared" si="97"/>
        <v>0</v>
      </c>
      <c r="N122" s="432">
        <f t="shared" si="98"/>
        <v>0</v>
      </c>
      <c r="O122" s="432">
        <f t="shared" si="99"/>
        <v>0</v>
      </c>
      <c r="P122" s="432">
        <f t="shared" si="100"/>
        <v>0</v>
      </c>
      <c r="Q122" s="432">
        <f t="shared" si="101"/>
        <v>0</v>
      </c>
      <c r="R122" s="432">
        <f t="shared" si="102"/>
        <v>0</v>
      </c>
      <c r="S122" s="432">
        <f t="shared" si="103"/>
        <v>0</v>
      </c>
      <c r="T122" s="432">
        <f t="shared" si="104"/>
        <v>99</v>
      </c>
      <c r="U122" s="432">
        <f t="shared" si="105"/>
        <v>0</v>
      </c>
      <c r="V122" s="432">
        <f t="shared" si="106"/>
        <v>0</v>
      </c>
      <c r="W122" s="432">
        <f t="shared" si="107"/>
        <v>99</v>
      </c>
      <c r="X122" s="460">
        <f t="shared" si="108"/>
        <v>1.6142966020524069E-3</v>
      </c>
    </row>
    <row r="123" spans="9:25" x14ac:dyDescent="0.35">
      <c r="I123" s="45" t="s">
        <v>179</v>
      </c>
      <c r="K123" s="432">
        <f t="shared" si="95"/>
        <v>0</v>
      </c>
      <c r="L123" s="432">
        <f t="shared" si="96"/>
        <v>0</v>
      </c>
      <c r="M123" s="432">
        <f t="shared" si="97"/>
        <v>99</v>
      </c>
      <c r="N123" s="432">
        <f t="shared" si="98"/>
        <v>425</v>
      </c>
      <c r="O123" s="432">
        <f t="shared" si="99"/>
        <v>0</v>
      </c>
      <c r="P123" s="432">
        <f t="shared" si="100"/>
        <v>0</v>
      </c>
      <c r="Q123" s="432">
        <f t="shared" si="101"/>
        <v>0</v>
      </c>
      <c r="R123" s="432">
        <f t="shared" si="102"/>
        <v>0</v>
      </c>
      <c r="S123" s="432">
        <f t="shared" si="103"/>
        <v>65</v>
      </c>
      <c r="T123" s="432">
        <f t="shared" si="104"/>
        <v>0</v>
      </c>
      <c r="U123" s="432">
        <f t="shared" si="105"/>
        <v>0</v>
      </c>
      <c r="V123" s="432">
        <f t="shared" si="106"/>
        <v>0</v>
      </c>
      <c r="W123" s="432">
        <f t="shared" si="107"/>
        <v>589</v>
      </c>
      <c r="X123" s="460">
        <f t="shared" si="108"/>
        <v>9.6042494808976538E-3</v>
      </c>
    </row>
    <row r="124" spans="9:25" x14ac:dyDescent="0.35">
      <c r="I124" s="45" t="s">
        <v>87</v>
      </c>
      <c r="K124" s="432">
        <f t="shared" si="95"/>
        <v>564.77</v>
      </c>
      <c r="L124" s="432">
        <f t="shared" si="96"/>
        <v>0</v>
      </c>
      <c r="M124" s="432">
        <f t="shared" si="97"/>
        <v>755.9</v>
      </c>
      <c r="N124" s="432">
        <f t="shared" si="98"/>
        <v>0</v>
      </c>
      <c r="O124" s="432">
        <f t="shared" si="99"/>
        <v>0</v>
      </c>
      <c r="P124" s="432">
        <f t="shared" si="100"/>
        <v>0</v>
      </c>
      <c r="Q124" s="432">
        <f t="shared" si="101"/>
        <v>391.43</v>
      </c>
      <c r="R124" s="432">
        <f t="shared" si="102"/>
        <v>0</v>
      </c>
      <c r="S124" s="432">
        <f t="shared" si="103"/>
        <v>0</v>
      </c>
      <c r="T124" s="432">
        <f t="shared" si="104"/>
        <v>0</v>
      </c>
      <c r="U124" s="432">
        <f t="shared" si="105"/>
        <v>0</v>
      </c>
      <c r="V124" s="432">
        <f t="shared" si="106"/>
        <v>0</v>
      </c>
      <c r="W124" s="432">
        <f t="shared" si="107"/>
        <v>1712.1000000000001</v>
      </c>
      <c r="X124" s="460">
        <f t="shared" si="108"/>
        <v>2.7917547599736629E-2</v>
      </c>
    </row>
    <row r="125" spans="9:25" x14ac:dyDescent="0.35">
      <c r="I125" s="45" t="s">
        <v>89</v>
      </c>
      <c r="K125" s="432">
        <f t="shared" si="95"/>
        <v>0</v>
      </c>
      <c r="L125" s="432">
        <f t="shared" si="96"/>
        <v>82.2</v>
      </c>
      <c r="M125" s="432">
        <f t="shared" si="97"/>
        <v>0</v>
      </c>
      <c r="N125" s="432">
        <f t="shared" si="98"/>
        <v>227.51999999999998</v>
      </c>
      <c r="O125" s="432">
        <f t="shared" si="99"/>
        <v>36.74</v>
      </c>
      <c r="P125" s="432">
        <f t="shared" si="100"/>
        <v>0</v>
      </c>
      <c r="Q125" s="432">
        <f t="shared" si="101"/>
        <v>25.71</v>
      </c>
      <c r="R125" s="432">
        <f t="shared" si="102"/>
        <v>0</v>
      </c>
      <c r="S125" s="432">
        <f t="shared" si="103"/>
        <v>109.31</v>
      </c>
      <c r="T125" s="432">
        <f t="shared" si="104"/>
        <v>0</v>
      </c>
      <c r="U125" s="432">
        <f t="shared" si="105"/>
        <v>0</v>
      </c>
      <c r="V125" s="432">
        <f t="shared" si="106"/>
        <v>99.08</v>
      </c>
      <c r="W125" s="432">
        <f t="shared" si="107"/>
        <v>580.55999999999995</v>
      </c>
      <c r="X125" s="460">
        <f t="shared" si="108"/>
        <v>9.4666266190661149E-3</v>
      </c>
    </row>
    <row r="126" spans="9:25" x14ac:dyDescent="0.35">
      <c r="I126" s="426" t="s">
        <v>181</v>
      </c>
      <c r="K126" s="432">
        <f t="shared" si="95"/>
        <v>0</v>
      </c>
      <c r="L126" s="432">
        <f t="shared" si="96"/>
        <v>0</v>
      </c>
      <c r="M126" s="432">
        <f t="shared" si="97"/>
        <v>0</v>
      </c>
      <c r="N126" s="432">
        <f t="shared" si="98"/>
        <v>0</v>
      </c>
      <c r="O126" s="432">
        <f t="shared" si="99"/>
        <v>114.3</v>
      </c>
      <c r="P126" s="432">
        <f t="shared" si="100"/>
        <v>0</v>
      </c>
      <c r="Q126" s="432">
        <f t="shared" si="101"/>
        <v>0</v>
      </c>
      <c r="R126" s="432">
        <f t="shared" si="102"/>
        <v>0</v>
      </c>
      <c r="S126" s="432">
        <f t="shared" si="103"/>
        <v>0</v>
      </c>
      <c r="T126" s="432">
        <f t="shared" si="104"/>
        <v>0</v>
      </c>
      <c r="U126" s="432">
        <f t="shared" si="105"/>
        <v>0</v>
      </c>
      <c r="V126" s="432">
        <f t="shared" si="106"/>
        <v>0</v>
      </c>
      <c r="W126" s="432">
        <f t="shared" si="107"/>
        <v>114.3</v>
      </c>
      <c r="X126" s="460">
        <f t="shared" si="108"/>
        <v>1.863778804187779E-3</v>
      </c>
    </row>
    <row r="127" spans="9:25" ht="13.15" customHeight="1" x14ac:dyDescent="0.4">
      <c r="I127" s="454"/>
      <c r="K127" s="444">
        <f t="shared" ref="K127:W127" si="109">SUM(K118:K126)</f>
        <v>18758.77</v>
      </c>
      <c r="L127" s="444">
        <f t="shared" si="109"/>
        <v>3028.2</v>
      </c>
      <c r="M127" s="444">
        <f t="shared" si="109"/>
        <v>5768.6399999999994</v>
      </c>
      <c r="N127" s="444">
        <f t="shared" si="109"/>
        <v>7461.77</v>
      </c>
      <c r="O127" s="444">
        <f t="shared" si="109"/>
        <v>5269.6500000000005</v>
      </c>
      <c r="P127" s="444">
        <f t="shared" si="109"/>
        <v>2223</v>
      </c>
      <c r="Q127" s="444">
        <f t="shared" si="109"/>
        <v>2500.94</v>
      </c>
      <c r="R127" s="444">
        <f t="shared" si="109"/>
        <v>2796.35</v>
      </c>
      <c r="S127" s="444">
        <f t="shared" si="109"/>
        <v>3928.56</v>
      </c>
      <c r="T127" s="444">
        <f t="shared" si="109"/>
        <v>2389</v>
      </c>
      <c r="U127" s="444">
        <f t="shared" si="109"/>
        <v>3577.95</v>
      </c>
      <c r="V127" s="444">
        <f t="shared" si="109"/>
        <v>3624.19</v>
      </c>
      <c r="W127" s="444">
        <f t="shared" si="109"/>
        <v>61327.02</v>
      </c>
      <c r="X127" s="460">
        <f t="shared" si="108"/>
        <v>1</v>
      </c>
      <c r="Y127" s="466"/>
    </row>
    <row r="128" spans="9:25" x14ac:dyDescent="0.35">
      <c r="J128" s="454"/>
      <c r="K128" s="454">
        <f t="shared" ref="K128:W128" si="110">K106-K127</f>
        <v>0</v>
      </c>
      <c r="L128" s="454">
        <f t="shared" si="110"/>
        <v>0</v>
      </c>
      <c r="M128" s="454">
        <f t="shared" si="110"/>
        <v>0</v>
      </c>
      <c r="N128" s="454">
        <f t="shared" si="110"/>
        <v>0</v>
      </c>
      <c r="O128" s="454">
        <f t="shared" si="110"/>
        <v>0</v>
      </c>
      <c r="P128" s="454">
        <f t="shared" si="110"/>
        <v>0</v>
      </c>
      <c r="Q128" s="454">
        <f t="shared" si="110"/>
        <v>0</v>
      </c>
      <c r="R128" s="454">
        <f t="shared" si="110"/>
        <v>0</v>
      </c>
      <c r="S128" s="454">
        <f t="shared" si="110"/>
        <v>0</v>
      </c>
      <c r="T128" s="454">
        <f t="shared" si="110"/>
        <v>0</v>
      </c>
      <c r="U128" s="454">
        <f t="shared" si="110"/>
        <v>0</v>
      </c>
      <c r="V128" s="454">
        <f t="shared" si="110"/>
        <v>0</v>
      </c>
      <c r="W128" s="454">
        <f t="shared" si="110"/>
        <v>0</v>
      </c>
      <c r="X128" s="454"/>
    </row>
    <row r="129" spans="9:24" ht="13.15" customHeight="1" x14ac:dyDescent="0.4">
      <c r="I129" s="556" t="s">
        <v>182</v>
      </c>
      <c r="K129" s="577" t="s">
        <v>142</v>
      </c>
      <c r="L129" s="577" t="s">
        <v>143</v>
      </c>
      <c r="M129" s="577" t="s">
        <v>144</v>
      </c>
      <c r="N129" s="577" t="s">
        <v>145</v>
      </c>
      <c r="O129" s="577" t="s">
        <v>146</v>
      </c>
      <c r="P129" s="577" t="s">
        <v>147</v>
      </c>
      <c r="Q129" s="577" t="s">
        <v>148</v>
      </c>
      <c r="R129" s="577" t="s">
        <v>149</v>
      </c>
      <c r="S129" s="577" t="s">
        <v>150</v>
      </c>
      <c r="T129" s="577" t="s">
        <v>151</v>
      </c>
      <c r="U129" s="577" t="s">
        <v>152</v>
      </c>
      <c r="V129" s="577" t="s">
        <v>153</v>
      </c>
      <c r="W129" s="577" t="s">
        <v>19</v>
      </c>
      <c r="X129" s="423" t="s">
        <v>158</v>
      </c>
    </row>
    <row r="130" spans="9:24" ht="13.15" customHeight="1" x14ac:dyDescent="0.4">
      <c r="I130" s="444" t="s">
        <v>183</v>
      </c>
      <c r="K130" s="454">
        <f t="shared" ref="K130:V130" si="111">SUM(K127-K119)</f>
        <v>1998.7700000000004</v>
      </c>
      <c r="L130" s="454">
        <f t="shared" si="111"/>
        <v>857.19999999999982</v>
      </c>
      <c r="M130" s="454">
        <f t="shared" si="111"/>
        <v>2329.8999999999996</v>
      </c>
      <c r="N130" s="454">
        <f t="shared" si="111"/>
        <v>6217.52</v>
      </c>
      <c r="O130" s="454">
        <f t="shared" si="111"/>
        <v>3290.3000000000006</v>
      </c>
      <c r="P130" s="454">
        <f t="shared" si="111"/>
        <v>1863</v>
      </c>
      <c r="Q130" s="454">
        <f t="shared" si="111"/>
        <v>1275.1400000000001</v>
      </c>
      <c r="R130" s="454">
        <f t="shared" si="111"/>
        <v>1386.5</v>
      </c>
      <c r="S130" s="454">
        <f t="shared" si="111"/>
        <v>2332.31</v>
      </c>
      <c r="T130" s="454">
        <f t="shared" si="111"/>
        <v>1504</v>
      </c>
      <c r="U130" s="454">
        <f t="shared" si="111"/>
        <v>1467.1999999999998</v>
      </c>
      <c r="V130" s="454">
        <f t="shared" si="111"/>
        <v>3171.19</v>
      </c>
      <c r="W130" s="554">
        <f>SUM(K130:V130)</f>
        <v>27693.030000000002</v>
      </c>
      <c r="X130" s="475">
        <f>W130/W132</f>
        <v>0.4515632750458119</v>
      </c>
    </row>
    <row r="131" spans="9:24" ht="13.15" customHeight="1" x14ac:dyDescent="0.4">
      <c r="I131" s="444" t="s">
        <v>184</v>
      </c>
      <c r="K131" s="454">
        <f t="shared" ref="K131:V131" si="112">K119</f>
        <v>16760</v>
      </c>
      <c r="L131" s="454">
        <f t="shared" si="112"/>
        <v>2171</v>
      </c>
      <c r="M131" s="454">
        <f t="shared" si="112"/>
        <v>3438.74</v>
      </c>
      <c r="N131" s="454">
        <f t="shared" si="112"/>
        <v>1244.25</v>
      </c>
      <c r="O131" s="454">
        <f t="shared" si="112"/>
        <v>1979.35</v>
      </c>
      <c r="P131" s="454">
        <f t="shared" si="112"/>
        <v>360</v>
      </c>
      <c r="Q131" s="454">
        <f t="shared" si="112"/>
        <v>1225.8</v>
      </c>
      <c r="R131" s="454">
        <f t="shared" si="112"/>
        <v>1409.85</v>
      </c>
      <c r="S131" s="454">
        <f t="shared" si="112"/>
        <v>1596.25</v>
      </c>
      <c r="T131" s="454">
        <f t="shared" si="112"/>
        <v>885</v>
      </c>
      <c r="U131" s="454">
        <f t="shared" si="112"/>
        <v>2110.75</v>
      </c>
      <c r="V131" s="454">
        <f t="shared" si="112"/>
        <v>453</v>
      </c>
      <c r="W131" s="562">
        <f>SUM(K131:V131)</f>
        <v>33633.989999999991</v>
      </c>
      <c r="X131" s="475">
        <f>W131/W132</f>
        <v>0.54843672495418816</v>
      </c>
    </row>
    <row r="132" spans="9:24" ht="13.15" customHeight="1" x14ac:dyDescent="0.4">
      <c r="I132" s="444"/>
      <c r="K132" s="563">
        <f t="shared" ref="K132:W132" si="113">K130+K131</f>
        <v>18758.77</v>
      </c>
      <c r="L132" s="563">
        <f t="shared" si="113"/>
        <v>3028.2</v>
      </c>
      <c r="M132" s="563">
        <f t="shared" si="113"/>
        <v>5768.6399999999994</v>
      </c>
      <c r="N132" s="563">
        <f t="shared" si="113"/>
        <v>7461.77</v>
      </c>
      <c r="O132" s="563">
        <f t="shared" si="113"/>
        <v>5269.6500000000005</v>
      </c>
      <c r="P132" s="563">
        <f t="shared" si="113"/>
        <v>2223</v>
      </c>
      <c r="Q132" s="563">
        <f t="shared" si="113"/>
        <v>2500.94</v>
      </c>
      <c r="R132" s="563">
        <f t="shared" si="113"/>
        <v>2796.35</v>
      </c>
      <c r="S132" s="563">
        <f t="shared" si="113"/>
        <v>3928.56</v>
      </c>
      <c r="T132" s="563">
        <f t="shared" si="113"/>
        <v>2389</v>
      </c>
      <c r="U132" s="563">
        <f t="shared" si="113"/>
        <v>3577.95</v>
      </c>
      <c r="V132" s="563">
        <f t="shared" si="113"/>
        <v>3624.19</v>
      </c>
      <c r="W132" s="563">
        <f t="shared" si="113"/>
        <v>61327.01999999999</v>
      </c>
      <c r="X132" s="564"/>
    </row>
    <row r="133" spans="9:24" x14ac:dyDescent="0.35">
      <c r="J133" s="454"/>
      <c r="K133" s="454"/>
      <c r="L133" s="454"/>
      <c r="M133" s="454"/>
      <c r="N133" s="454"/>
      <c r="O133" s="454"/>
      <c r="P133" s="454"/>
      <c r="Q133" s="454"/>
      <c r="R133" s="454"/>
      <c r="S133" s="454"/>
      <c r="T133" s="454"/>
      <c r="U133" s="454"/>
      <c r="V133" s="454"/>
      <c r="W133" s="454"/>
      <c r="X133" s="454"/>
    </row>
    <row r="134" spans="9:24" ht="13.15" customHeight="1" x14ac:dyDescent="0.4">
      <c r="I134" s="556" t="s">
        <v>185</v>
      </c>
      <c r="K134" s="577" t="s">
        <v>142</v>
      </c>
      <c r="L134" s="577" t="s">
        <v>143</v>
      </c>
      <c r="M134" s="577" t="s">
        <v>144</v>
      </c>
      <c r="N134" s="577" t="s">
        <v>145</v>
      </c>
      <c r="O134" s="577" t="s">
        <v>146</v>
      </c>
      <c r="P134" s="577" t="s">
        <v>147</v>
      </c>
      <c r="Q134" s="577" t="s">
        <v>148</v>
      </c>
      <c r="R134" s="577" t="s">
        <v>149</v>
      </c>
      <c r="S134" s="577" t="s">
        <v>150</v>
      </c>
      <c r="T134" s="577" t="s">
        <v>151</v>
      </c>
      <c r="U134" s="577" t="s">
        <v>152</v>
      </c>
      <c r="V134" s="577" t="s">
        <v>153</v>
      </c>
      <c r="W134" s="577" t="s">
        <v>19</v>
      </c>
      <c r="X134" s="423" t="s">
        <v>158</v>
      </c>
    </row>
    <row r="135" spans="9:24" ht="13.15" customHeight="1" x14ac:dyDescent="0.4">
      <c r="I135" s="444" t="s">
        <v>183</v>
      </c>
      <c r="K135" s="454">
        <f t="shared" ref="K135:V135" si="114">K65-K136</f>
        <v>10</v>
      </c>
      <c r="L135" s="454">
        <f t="shared" si="114"/>
        <v>9</v>
      </c>
      <c r="M135" s="454">
        <f t="shared" si="114"/>
        <v>7</v>
      </c>
      <c r="N135" s="454">
        <f t="shared" si="114"/>
        <v>26</v>
      </c>
      <c r="O135" s="454">
        <f t="shared" si="114"/>
        <v>18</v>
      </c>
      <c r="P135" s="454">
        <f t="shared" si="114"/>
        <v>10</v>
      </c>
      <c r="Q135" s="454">
        <f t="shared" si="114"/>
        <v>9</v>
      </c>
      <c r="R135" s="454">
        <f t="shared" si="114"/>
        <v>13</v>
      </c>
      <c r="S135" s="454">
        <f t="shared" si="114"/>
        <v>15</v>
      </c>
      <c r="T135" s="454">
        <f t="shared" si="114"/>
        <v>13</v>
      </c>
      <c r="U135" s="454">
        <f t="shared" si="114"/>
        <v>13</v>
      </c>
      <c r="V135" s="454">
        <f t="shared" si="114"/>
        <v>19</v>
      </c>
      <c r="W135" s="554">
        <f>SUM(K135:V135)</f>
        <v>162</v>
      </c>
      <c r="X135" s="475">
        <f>W135/W137</f>
        <v>0.51592356687898089</v>
      </c>
    </row>
    <row r="136" spans="9:24" ht="13.15" customHeight="1" x14ac:dyDescent="0.4">
      <c r="I136" s="561" t="s">
        <v>175</v>
      </c>
      <c r="K136" s="454">
        <f>COUNTIFS($A$154:$A$480,"&gt;31/12/2021",$A$154:$A$480,"&lt;1/2/2022",$G$154:$G$480,"Existing")</f>
        <v>18</v>
      </c>
      <c r="L136" s="432">
        <f>COUNTIFS($A$154:$A$480,"&gt;31/1/2022",$A$154:$A$480,"&lt;1/3/2022",$G$154:$G$480,$I136)</f>
        <v>24</v>
      </c>
      <c r="M136" s="432">
        <f>COUNTIFS($A$154:$A$480,"&gt;28/2/2022",$A$154:$A$480,"&lt;1/4/2022",$G$154:$G$480,$I136)</f>
        <v>19</v>
      </c>
      <c r="N136" s="432">
        <f>COUNTIFS($A$154:$A$480,"&gt;31/3/2022",$A$154:$A$480,"&lt;1/5/2022",$G$154:$G$480,$I136)</f>
        <v>14</v>
      </c>
      <c r="O136" s="432">
        <f>COUNTIFS($A$154:$A$480,"&gt;30/4/2022",$A$154:$A$480,"&lt;1/6/2022",$G$154:$G$480,$I136)</f>
        <v>13</v>
      </c>
      <c r="P136" s="432">
        <f>COUNTIFS($A$154:$A$480,"&gt;31/5/2022",$A$154:$A$480,"&lt;1/7/2022",$G$154:$G$480,$I136)</f>
        <v>12</v>
      </c>
      <c r="Q136" s="432">
        <f>COUNTIFS($A$154:$A$480,"&gt;30/6/2022",$A$154:$A$480,"&lt;1/8/2022",$G$154:$G$480,$I136)</f>
        <v>7</v>
      </c>
      <c r="R136" s="432">
        <f>COUNTIFS($A$154:$A$480,"&gt;31/7/2022",$A$154:$A$480,"&lt;1/9/2022",$G$154:$G$480,$I136)</f>
        <v>11</v>
      </c>
      <c r="S136" s="432">
        <f>COUNTIFS($A$154:$A$480,"&gt;31/8/2022",$A$154:$A$480,"&lt;1/10/2022",$G$154:$G$480,$I136)</f>
        <v>12</v>
      </c>
      <c r="T136" s="432">
        <f>COUNTIFS($A$154:$A$480,"&gt;30/9/2022",$A$154:$A$480,"&lt;1/11/2022",$G$154:$G$480,$I136)</f>
        <v>8</v>
      </c>
      <c r="U136" s="432">
        <f>COUNTIFS($A$154:$A$480,"&gt;31/10/2022",$A$154:$A$480,"&lt;1/12/2022",$G$154:$G$480,$I136)</f>
        <v>8</v>
      </c>
      <c r="V136" s="432">
        <f>COUNTIFS($A$154:$A$480,"&gt;30/11/2022",$A$154:$A$480,"&lt;1/1/2023",$G$154:$G$480,$I136)</f>
        <v>6</v>
      </c>
      <c r="W136" s="554">
        <f>SUM(K136:V136)</f>
        <v>152</v>
      </c>
      <c r="X136" s="475">
        <f>W136/$W$137</f>
        <v>0.48407643312101911</v>
      </c>
    </row>
    <row r="137" spans="9:24" ht="13.15" customHeight="1" x14ac:dyDescent="0.4">
      <c r="J137" s="454"/>
      <c r="K137" s="563">
        <f t="shared" ref="K137:W137" si="115">K135+K136</f>
        <v>28</v>
      </c>
      <c r="L137" s="563">
        <f t="shared" si="115"/>
        <v>33</v>
      </c>
      <c r="M137" s="563">
        <f t="shared" si="115"/>
        <v>26</v>
      </c>
      <c r="N137" s="563">
        <f t="shared" si="115"/>
        <v>40</v>
      </c>
      <c r="O137" s="563">
        <f t="shared" si="115"/>
        <v>31</v>
      </c>
      <c r="P137" s="563">
        <f t="shared" si="115"/>
        <v>22</v>
      </c>
      <c r="Q137" s="563">
        <f t="shared" si="115"/>
        <v>16</v>
      </c>
      <c r="R137" s="563">
        <f t="shared" si="115"/>
        <v>24</v>
      </c>
      <c r="S137" s="563">
        <f t="shared" si="115"/>
        <v>27</v>
      </c>
      <c r="T137" s="563">
        <f t="shared" si="115"/>
        <v>21</v>
      </c>
      <c r="U137" s="563">
        <f t="shared" si="115"/>
        <v>21</v>
      </c>
      <c r="V137" s="563">
        <f t="shared" si="115"/>
        <v>25</v>
      </c>
      <c r="W137" s="563">
        <f t="shared" si="115"/>
        <v>314</v>
      </c>
      <c r="X137" s="564"/>
    </row>
    <row r="138" spans="9:24" ht="13.15" customHeight="1" x14ac:dyDescent="0.4">
      <c r="J138" s="454"/>
      <c r="K138" s="613">
        <f t="shared" ref="K138:W138" si="116">K65-K137</f>
        <v>0</v>
      </c>
      <c r="L138" s="613">
        <f t="shared" si="116"/>
        <v>0</v>
      </c>
      <c r="M138" s="613">
        <f t="shared" si="116"/>
        <v>0</v>
      </c>
      <c r="N138" s="613">
        <f t="shared" si="116"/>
        <v>0</v>
      </c>
      <c r="O138" s="613">
        <f t="shared" si="116"/>
        <v>0</v>
      </c>
      <c r="P138" s="613">
        <f t="shared" si="116"/>
        <v>0</v>
      </c>
      <c r="Q138" s="613">
        <f t="shared" si="116"/>
        <v>0</v>
      </c>
      <c r="R138" s="613">
        <f t="shared" si="116"/>
        <v>0</v>
      </c>
      <c r="S138" s="613">
        <f t="shared" si="116"/>
        <v>0</v>
      </c>
      <c r="T138" s="613">
        <f t="shared" si="116"/>
        <v>0</v>
      </c>
      <c r="U138" s="613">
        <f t="shared" si="116"/>
        <v>0</v>
      </c>
      <c r="V138" s="613">
        <f t="shared" si="116"/>
        <v>0</v>
      </c>
      <c r="W138" s="613">
        <f t="shared" si="116"/>
        <v>0</v>
      </c>
      <c r="X138" s="475"/>
    </row>
    <row r="139" spans="9:24" ht="13.15" customHeight="1" x14ac:dyDescent="0.4">
      <c r="I139" s="556" t="s">
        <v>186</v>
      </c>
      <c r="K139" s="577" t="s">
        <v>142</v>
      </c>
      <c r="L139" s="577" t="s">
        <v>143</v>
      </c>
      <c r="M139" s="577" t="s">
        <v>144</v>
      </c>
      <c r="N139" s="577" t="s">
        <v>145</v>
      </c>
      <c r="O139" s="577" t="s">
        <v>146</v>
      </c>
      <c r="P139" s="577" t="s">
        <v>147</v>
      </c>
      <c r="Q139" s="577" t="s">
        <v>148</v>
      </c>
      <c r="R139" s="577" t="s">
        <v>149</v>
      </c>
      <c r="S139" s="577" t="s">
        <v>150</v>
      </c>
      <c r="T139" s="577" t="s">
        <v>151</v>
      </c>
      <c r="U139" s="577" t="s">
        <v>152</v>
      </c>
      <c r="V139" s="577" t="s">
        <v>153</v>
      </c>
      <c r="W139" s="577" t="s">
        <v>19</v>
      </c>
      <c r="X139" s="423" t="s">
        <v>158</v>
      </c>
    </row>
    <row r="140" spans="9:24" ht="13.15" customHeight="1" x14ac:dyDescent="0.4">
      <c r="I140" s="444" t="s">
        <v>183</v>
      </c>
      <c r="K140" s="454">
        <f t="shared" ref="K140:V140" si="117">IFERROR(K130/K135,0)</f>
        <v>199.87700000000004</v>
      </c>
      <c r="L140" s="454">
        <f t="shared" si="117"/>
        <v>95.244444444444426</v>
      </c>
      <c r="M140" s="454">
        <f t="shared" si="117"/>
        <v>332.8428571428571</v>
      </c>
      <c r="N140" s="454">
        <f t="shared" si="117"/>
        <v>239.13538461538462</v>
      </c>
      <c r="O140" s="454">
        <f t="shared" si="117"/>
        <v>182.79444444444448</v>
      </c>
      <c r="P140" s="454">
        <f t="shared" si="117"/>
        <v>186.3</v>
      </c>
      <c r="Q140" s="454">
        <f t="shared" si="117"/>
        <v>141.68222222222224</v>
      </c>
      <c r="R140" s="454">
        <f t="shared" si="117"/>
        <v>106.65384615384616</v>
      </c>
      <c r="S140" s="454">
        <f t="shared" si="117"/>
        <v>155.48733333333334</v>
      </c>
      <c r="T140" s="454">
        <f t="shared" si="117"/>
        <v>115.69230769230769</v>
      </c>
      <c r="U140" s="454">
        <f t="shared" si="117"/>
        <v>112.86153846153844</v>
      </c>
      <c r="V140" s="454">
        <f t="shared" si="117"/>
        <v>166.90473684210528</v>
      </c>
      <c r="W140" s="554">
        <f>AVERAGE(K140:V140)</f>
        <v>169.62300961270697</v>
      </c>
      <c r="X140" s="475">
        <f>W140/W142</f>
        <v>0.46308849197483415</v>
      </c>
    </row>
    <row r="141" spans="9:24" ht="13.15" customHeight="1" x14ac:dyDescent="0.4">
      <c r="I141" s="444" t="s">
        <v>184</v>
      </c>
      <c r="K141" s="454">
        <f t="shared" ref="K141:V141" si="118">IFERROR(K131/K136,0)</f>
        <v>931.11111111111109</v>
      </c>
      <c r="L141" s="454">
        <f t="shared" si="118"/>
        <v>90.458333333333329</v>
      </c>
      <c r="M141" s="454">
        <f t="shared" si="118"/>
        <v>180.98631578947368</v>
      </c>
      <c r="N141" s="454">
        <f t="shared" si="118"/>
        <v>88.875</v>
      </c>
      <c r="O141" s="454">
        <f t="shared" si="118"/>
        <v>152.25769230769231</v>
      </c>
      <c r="P141" s="454">
        <f t="shared" si="118"/>
        <v>30</v>
      </c>
      <c r="Q141" s="454">
        <f t="shared" si="118"/>
        <v>175.1142857142857</v>
      </c>
      <c r="R141" s="454">
        <f t="shared" si="118"/>
        <v>128.16818181818181</v>
      </c>
      <c r="S141" s="454">
        <f t="shared" si="118"/>
        <v>133.02083333333334</v>
      </c>
      <c r="T141" s="454">
        <f t="shared" si="118"/>
        <v>110.625</v>
      </c>
      <c r="U141" s="454">
        <f t="shared" si="118"/>
        <v>263.84375</v>
      </c>
      <c r="V141" s="454">
        <f t="shared" si="118"/>
        <v>75.5</v>
      </c>
      <c r="W141" s="554">
        <f>AVERAGE(K141:V141)</f>
        <v>196.66337528395093</v>
      </c>
      <c r="X141" s="475">
        <f>W141/$W$142</f>
        <v>0.53691150802516585</v>
      </c>
    </row>
    <row r="142" spans="9:24" ht="13.15" customHeight="1" x14ac:dyDescent="0.4">
      <c r="J142" s="454"/>
      <c r="K142" s="563">
        <f t="shared" ref="K142:W142" si="119">K140+K141</f>
        <v>1130.988111111111</v>
      </c>
      <c r="L142" s="563">
        <f t="shared" si="119"/>
        <v>185.70277777777775</v>
      </c>
      <c r="M142" s="563">
        <f t="shared" si="119"/>
        <v>513.82917293233072</v>
      </c>
      <c r="N142" s="563">
        <f t="shared" si="119"/>
        <v>328.01038461538462</v>
      </c>
      <c r="O142" s="563">
        <f t="shared" si="119"/>
        <v>335.05213675213679</v>
      </c>
      <c r="P142" s="563">
        <f t="shared" si="119"/>
        <v>216.3</v>
      </c>
      <c r="Q142" s="563">
        <f t="shared" si="119"/>
        <v>316.79650793650796</v>
      </c>
      <c r="R142" s="563">
        <f t="shared" si="119"/>
        <v>234.82202797202797</v>
      </c>
      <c r="S142" s="563">
        <f t="shared" si="119"/>
        <v>288.50816666666668</v>
      </c>
      <c r="T142" s="563">
        <f t="shared" si="119"/>
        <v>226.31730769230768</v>
      </c>
      <c r="U142" s="563">
        <f t="shared" si="119"/>
        <v>376.70528846153843</v>
      </c>
      <c r="V142" s="563">
        <f t="shared" si="119"/>
        <v>242.40473684210528</v>
      </c>
      <c r="W142" s="563">
        <f t="shared" si="119"/>
        <v>366.28638489665786</v>
      </c>
      <c r="X142" s="564"/>
    </row>
    <row r="149" spans="1:7" ht="13.15" customHeight="1" x14ac:dyDescent="0.4">
      <c r="E149" s="605">
        <f>SUM(E154:E480)</f>
        <v>61327.02</v>
      </c>
    </row>
    <row r="150" spans="1:7" ht="13.9" customHeight="1" x14ac:dyDescent="0.4">
      <c r="A150" s="482" t="s">
        <v>187</v>
      </c>
      <c r="B150" s="459" t="s">
        <v>188</v>
      </c>
      <c r="C150" s="459" t="s">
        <v>189</v>
      </c>
      <c r="D150" s="459" t="s">
        <v>190</v>
      </c>
      <c r="E150" s="483" t="s">
        <v>74</v>
      </c>
      <c r="F150" s="459" t="s">
        <v>75</v>
      </c>
      <c r="G150" s="459" t="s">
        <v>191</v>
      </c>
    </row>
    <row r="154" spans="1:7" ht="13.5" customHeight="1" x14ac:dyDescent="0.35">
      <c r="A154" s="838"/>
      <c r="B154" s="839"/>
      <c r="C154" s="840"/>
      <c r="D154" s="839"/>
      <c r="E154" s="841"/>
      <c r="F154" s="839"/>
      <c r="G154" s="839"/>
    </row>
    <row r="155" spans="1:7" ht="13.5" customHeight="1" x14ac:dyDescent="0.35">
      <c r="A155" s="838"/>
      <c r="B155" s="839"/>
      <c r="C155" s="840"/>
      <c r="D155" s="839"/>
      <c r="E155" s="841"/>
      <c r="F155" s="839"/>
      <c r="G155" s="839"/>
    </row>
    <row r="156" spans="1:7" ht="13.5" customHeight="1" x14ac:dyDescent="0.35">
      <c r="A156" s="838">
        <v>44925</v>
      </c>
      <c r="B156" s="839" t="s">
        <v>1597</v>
      </c>
      <c r="C156" s="840" t="s">
        <v>1284</v>
      </c>
      <c r="D156" s="839" t="s">
        <v>160</v>
      </c>
      <c r="E156" s="841">
        <v>17</v>
      </c>
      <c r="F156" s="839" t="s">
        <v>1381</v>
      </c>
      <c r="G156" s="839" t="s">
        <v>174</v>
      </c>
    </row>
    <row r="157" spans="1:7" ht="13.5" customHeight="1" x14ac:dyDescent="0.35">
      <c r="A157" s="838">
        <v>44925</v>
      </c>
      <c r="B157" s="839" t="s">
        <v>1046</v>
      </c>
      <c r="C157" s="840" t="s">
        <v>1274</v>
      </c>
      <c r="D157" s="839" t="s">
        <v>159</v>
      </c>
      <c r="E157" s="841">
        <v>12</v>
      </c>
      <c r="F157" s="839" t="s">
        <v>324</v>
      </c>
      <c r="G157" s="839" t="s">
        <v>175</v>
      </c>
    </row>
    <row r="158" spans="1:7" ht="13.5" customHeight="1" x14ac:dyDescent="0.35">
      <c r="A158" s="838">
        <v>44925</v>
      </c>
      <c r="B158" s="839" t="s">
        <v>1598</v>
      </c>
      <c r="C158" s="840" t="s">
        <v>28</v>
      </c>
      <c r="D158" s="839" t="s">
        <v>159</v>
      </c>
      <c r="E158" s="841">
        <v>250</v>
      </c>
      <c r="F158" s="839" t="s">
        <v>1025</v>
      </c>
      <c r="G158" s="839" t="s">
        <v>174</v>
      </c>
    </row>
    <row r="159" spans="1:7" ht="13.5" customHeight="1" x14ac:dyDescent="0.35">
      <c r="A159" s="838">
        <v>44916</v>
      </c>
      <c r="B159" s="839" t="s">
        <v>1599</v>
      </c>
      <c r="C159" s="840" t="s">
        <v>1274</v>
      </c>
      <c r="D159" s="839" t="s">
        <v>160</v>
      </c>
      <c r="E159" s="841">
        <v>625</v>
      </c>
      <c r="F159" s="839" t="s">
        <v>495</v>
      </c>
      <c r="G159" s="839" t="s">
        <v>174</v>
      </c>
    </row>
    <row r="160" spans="1:7" ht="13.5" customHeight="1" x14ac:dyDescent="0.35">
      <c r="A160" s="838">
        <v>44913</v>
      </c>
      <c r="B160" s="839" t="s">
        <v>1543</v>
      </c>
      <c r="C160" s="840" t="s">
        <v>1280</v>
      </c>
      <c r="D160" s="839" t="s">
        <v>159</v>
      </c>
      <c r="E160" s="841">
        <v>50</v>
      </c>
      <c r="F160" s="839" t="s">
        <v>734</v>
      </c>
      <c r="G160" s="839" t="s">
        <v>174</v>
      </c>
    </row>
    <row r="161" spans="1:7" ht="13.5" customHeight="1" x14ac:dyDescent="0.35">
      <c r="A161" s="838">
        <v>44911</v>
      </c>
      <c r="B161" s="839" t="s">
        <v>1600</v>
      </c>
      <c r="C161" s="840" t="s">
        <v>1274</v>
      </c>
      <c r="D161" s="839" t="s">
        <v>159</v>
      </c>
      <c r="E161" s="841">
        <v>130</v>
      </c>
      <c r="F161" s="839" t="s">
        <v>783</v>
      </c>
      <c r="G161" s="839" t="s">
        <v>174</v>
      </c>
    </row>
    <row r="162" spans="1:7" ht="13.5" customHeight="1" x14ac:dyDescent="0.35">
      <c r="A162" s="838">
        <v>44910</v>
      </c>
      <c r="B162" s="839" t="s">
        <v>1601</v>
      </c>
      <c r="C162" s="840" t="s">
        <v>1274</v>
      </c>
      <c r="D162" s="839" t="s">
        <v>159</v>
      </c>
      <c r="E162" s="841">
        <v>775</v>
      </c>
      <c r="F162" s="839" t="s">
        <v>467</v>
      </c>
      <c r="G162" s="839" t="s">
        <v>174</v>
      </c>
    </row>
    <row r="163" spans="1:7" ht="13.5" customHeight="1" x14ac:dyDescent="0.35">
      <c r="A163" s="838">
        <v>44909</v>
      </c>
      <c r="B163" s="839" t="s">
        <v>1602</v>
      </c>
      <c r="C163" s="840" t="s">
        <v>1280</v>
      </c>
      <c r="D163" s="839" t="s">
        <v>159</v>
      </c>
      <c r="E163" s="841">
        <v>250</v>
      </c>
      <c r="F163" s="839" t="s">
        <v>734</v>
      </c>
      <c r="G163" s="839" t="s">
        <v>174</v>
      </c>
    </row>
    <row r="164" spans="1:7" ht="13.5" customHeight="1" x14ac:dyDescent="0.35">
      <c r="A164" s="838">
        <v>44909</v>
      </c>
      <c r="B164" s="839" t="s">
        <v>89</v>
      </c>
      <c r="C164" s="840" t="s">
        <v>1282</v>
      </c>
      <c r="D164" s="839" t="s">
        <v>160</v>
      </c>
      <c r="E164" s="841">
        <v>80.959999999999994</v>
      </c>
      <c r="F164" s="839" t="s">
        <v>414</v>
      </c>
      <c r="G164" s="839" t="s">
        <v>89</v>
      </c>
    </row>
    <row r="165" spans="1:7" ht="13.5" customHeight="1" x14ac:dyDescent="0.35">
      <c r="A165" s="838">
        <v>44908</v>
      </c>
      <c r="B165" s="839" t="s">
        <v>1603</v>
      </c>
      <c r="C165" s="840" t="s">
        <v>1274</v>
      </c>
      <c r="D165" s="839" t="s">
        <v>159</v>
      </c>
      <c r="E165" s="841">
        <v>70</v>
      </c>
      <c r="F165" s="839" t="s">
        <v>494</v>
      </c>
      <c r="G165" s="839" t="s">
        <v>174</v>
      </c>
    </row>
    <row r="166" spans="1:7" ht="13.5" customHeight="1" x14ac:dyDescent="0.35">
      <c r="A166" s="838">
        <v>44907</v>
      </c>
      <c r="B166" s="839" t="s">
        <v>1604</v>
      </c>
      <c r="C166" s="840" t="s">
        <v>1280</v>
      </c>
      <c r="D166" s="839" t="s">
        <v>159</v>
      </c>
      <c r="E166" s="841">
        <v>100</v>
      </c>
      <c r="F166" s="839" t="s">
        <v>734</v>
      </c>
      <c r="G166" s="839" t="s">
        <v>174</v>
      </c>
    </row>
    <row r="167" spans="1:7" ht="13.5" customHeight="1" x14ac:dyDescent="0.35">
      <c r="A167" s="838">
        <v>44905</v>
      </c>
      <c r="B167" s="839" t="s">
        <v>575</v>
      </c>
      <c r="C167" s="840" t="s">
        <v>1274</v>
      </c>
      <c r="D167" s="839" t="s">
        <v>159</v>
      </c>
      <c r="E167" s="841">
        <v>80.75</v>
      </c>
      <c r="F167" s="839" t="s">
        <v>1605</v>
      </c>
      <c r="G167" s="839" t="s">
        <v>174</v>
      </c>
    </row>
    <row r="168" spans="1:7" ht="13.5" customHeight="1" x14ac:dyDescent="0.35">
      <c r="A168" s="838">
        <v>44904</v>
      </c>
      <c r="B168" s="839" t="s">
        <v>1481</v>
      </c>
      <c r="C168" s="840" t="s">
        <v>1274</v>
      </c>
      <c r="D168" s="839" t="s">
        <v>160</v>
      </c>
      <c r="E168" s="841">
        <v>119</v>
      </c>
      <c r="F168" s="839" t="s">
        <v>1606</v>
      </c>
      <c r="G168" s="839" t="s">
        <v>175</v>
      </c>
    </row>
    <row r="169" spans="1:7" ht="13.5" customHeight="1" x14ac:dyDescent="0.35">
      <c r="A169" s="838">
        <v>44904</v>
      </c>
      <c r="B169" s="839" t="s">
        <v>1607</v>
      </c>
      <c r="C169" s="840" t="s">
        <v>1274</v>
      </c>
      <c r="D169" s="839" t="s">
        <v>159</v>
      </c>
      <c r="E169" s="841">
        <v>59.5</v>
      </c>
      <c r="F169" s="839" t="s">
        <v>1114</v>
      </c>
      <c r="G169" s="839" t="s">
        <v>174</v>
      </c>
    </row>
    <row r="170" spans="1:7" ht="13.5" customHeight="1" x14ac:dyDescent="0.35">
      <c r="A170" s="838">
        <v>44903</v>
      </c>
      <c r="B170" s="839" t="s">
        <v>1608</v>
      </c>
      <c r="C170" s="840" t="s">
        <v>1282</v>
      </c>
      <c r="D170" s="839" t="s">
        <v>159</v>
      </c>
      <c r="E170" s="841">
        <v>138.86000000000001</v>
      </c>
      <c r="F170" s="839" t="s">
        <v>1609</v>
      </c>
      <c r="G170" s="839" t="s">
        <v>176</v>
      </c>
    </row>
    <row r="171" spans="1:7" ht="13.5" customHeight="1" x14ac:dyDescent="0.35">
      <c r="A171" s="838">
        <v>44903</v>
      </c>
      <c r="B171" s="839" t="s">
        <v>1610</v>
      </c>
      <c r="C171" s="840" t="s">
        <v>1284</v>
      </c>
      <c r="D171" s="839" t="s">
        <v>160</v>
      </c>
      <c r="E171" s="841">
        <v>21</v>
      </c>
      <c r="F171" s="839" t="s">
        <v>1381</v>
      </c>
      <c r="G171" s="839" t="s">
        <v>174</v>
      </c>
    </row>
    <row r="172" spans="1:7" ht="13.5" customHeight="1" x14ac:dyDescent="0.35">
      <c r="A172" s="838">
        <v>44903</v>
      </c>
      <c r="B172" s="839" t="s">
        <v>1611</v>
      </c>
      <c r="C172" s="840" t="s">
        <v>1283</v>
      </c>
      <c r="D172" s="839" t="s">
        <v>160</v>
      </c>
      <c r="E172" s="841">
        <v>150</v>
      </c>
      <c r="F172" s="839" t="s">
        <v>1612</v>
      </c>
      <c r="G172" s="839" t="s">
        <v>174</v>
      </c>
    </row>
    <row r="173" spans="1:7" ht="13.5" customHeight="1" x14ac:dyDescent="0.35">
      <c r="A173" s="838">
        <v>44902</v>
      </c>
      <c r="B173" s="839" t="s">
        <v>1613</v>
      </c>
      <c r="C173" s="840" t="s">
        <v>1274</v>
      </c>
      <c r="D173" s="839" t="s">
        <v>159</v>
      </c>
      <c r="E173" s="841">
        <v>12</v>
      </c>
      <c r="F173" s="839" t="s">
        <v>324</v>
      </c>
      <c r="G173" s="839" t="s">
        <v>175</v>
      </c>
    </row>
    <row r="174" spans="1:7" ht="13.5" customHeight="1" x14ac:dyDescent="0.35">
      <c r="A174" s="838">
        <v>44902</v>
      </c>
      <c r="B174" s="839" t="s">
        <v>1558</v>
      </c>
      <c r="C174" s="840" t="s">
        <v>28</v>
      </c>
      <c r="D174" s="839" t="s">
        <v>159</v>
      </c>
      <c r="E174" s="841">
        <v>30</v>
      </c>
      <c r="F174" s="839" t="s">
        <v>1236</v>
      </c>
      <c r="G174" s="839" t="s">
        <v>174</v>
      </c>
    </row>
    <row r="175" spans="1:7" ht="13.5" customHeight="1" x14ac:dyDescent="0.35">
      <c r="A175" s="838">
        <v>44901</v>
      </c>
      <c r="B175" s="839" t="s">
        <v>1288</v>
      </c>
      <c r="C175" s="840" t="s">
        <v>1274</v>
      </c>
      <c r="D175" s="839" t="s">
        <v>162</v>
      </c>
      <c r="E175" s="841">
        <v>250</v>
      </c>
      <c r="F175" s="839" t="s">
        <v>1614</v>
      </c>
      <c r="G175" s="839" t="s">
        <v>175</v>
      </c>
    </row>
    <row r="176" spans="1:7" ht="13.5" customHeight="1" x14ac:dyDescent="0.35">
      <c r="A176" s="838">
        <v>44900</v>
      </c>
      <c r="B176" s="839" t="s">
        <v>1615</v>
      </c>
      <c r="C176" s="840" t="s">
        <v>1274</v>
      </c>
      <c r="D176" s="839" t="s">
        <v>159</v>
      </c>
      <c r="E176" s="841">
        <v>75</v>
      </c>
      <c r="F176" s="839" t="s">
        <v>1271</v>
      </c>
      <c r="G176" s="839" t="s">
        <v>174</v>
      </c>
    </row>
    <row r="177" spans="1:7" ht="13.5" customHeight="1" x14ac:dyDescent="0.35">
      <c r="A177" s="838">
        <v>44897</v>
      </c>
      <c r="B177" s="839" t="s">
        <v>1616</v>
      </c>
      <c r="C177" s="840" t="s">
        <v>1274</v>
      </c>
      <c r="D177" s="839" t="s">
        <v>162</v>
      </c>
      <c r="E177" s="841">
        <v>250</v>
      </c>
      <c r="F177" s="839" t="s">
        <v>1617</v>
      </c>
      <c r="G177" s="839" t="s">
        <v>174</v>
      </c>
    </row>
    <row r="178" spans="1:7" ht="13.5" customHeight="1" x14ac:dyDescent="0.35">
      <c r="A178" s="838">
        <v>44896</v>
      </c>
      <c r="B178" s="839" t="s">
        <v>89</v>
      </c>
      <c r="C178" s="840" t="s">
        <v>1282</v>
      </c>
      <c r="D178" s="839" t="s">
        <v>160</v>
      </c>
      <c r="E178" s="841">
        <v>18.12</v>
      </c>
      <c r="F178" s="839" t="s">
        <v>414</v>
      </c>
      <c r="G178" s="839" t="s">
        <v>89</v>
      </c>
    </row>
    <row r="179" spans="1:7" ht="13.5" customHeight="1" x14ac:dyDescent="0.35">
      <c r="A179" s="838">
        <v>44896</v>
      </c>
      <c r="B179" s="839" t="s">
        <v>1077</v>
      </c>
      <c r="C179" s="840" t="s">
        <v>1276</v>
      </c>
      <c r="D179" s="839" t="s">
        <v>161</v>
      </c>
      <c r="E179" s="841">
        <v>0</v>
      </c>
      <c r="F179" s="839" t="s">
        <v>1078</v>
      </c>
      <c r="G179" s="839" t="s">
        <v>175</v>
      </c>
    </row>
    <row r="180" spans="1:7" ht="13.5" customHeight="1" x14ac:dyDescent="0.35">
      <c r="A180" s="838">
        <v>44896</v>
      </c>
      <c r="B180" s="839" t="s">
        <v>292</v>
      </c>
      <c r="C180" s="840" t="s">
        <v>1278</v>
      </c>
      <c r="D180" s="839" t="s">
        <v>161</v>
      </c>
      <c r="E180" s="841">
        <v>60</v>
      </c>
      <c r="F180" s="839" t="s">
        <v>292</v>
      </c>
      <c r="G180" s="839" t="s">
        <v>175</v>
      </c>
    </row>
    <row r="181" spans="1:7" ht="13.5" customHeight="1" x14ac:dyDescent="0.35">
      <c r="A181" s="838"/>
      <c r="B181" s="839"/>
      <c r="C181" s="840"/>
      <c r="D181" s="839"/>
      <c r="E181" s="841"/>
      <c r="F181" s="839"/>
      <c r="G181" s="839"/>
    </row>
    <row r="182" spans="1:7" ht="13.5" customHeight="1" x14ac:dyDescent="0.35">
      <c r="A182" s="838">
        <v>44889</v>
      </c>
      <c r="B182" s="839" t="s">
        <v>1618</v>
      </c>
      <c r="C182" s="840" t="s">
        <v>1280</v>
      </c>
      <c r="D182" s="839" t="s">
        <v>159</v>
      </c>
      <c r="E182" s="841">
        <v>100</v>
      </c>
      <c r="F182" s="839" t="s">
        <v>1619</v>
      </c>
      <c r="G182" s="839" t="s">
        <v>175</v>
      </c>
    </row>
    <row r="183" spans="1:7" ht="13.5" customHeight="1" x14ac:dyDescent="0.35">
      <c r="A183" s="838">
        <v>44881</v>
      </c>
      <c r="B183" s="839" t="s">
        <v>1620</v>
      </c>
      <c r="C183" s="840" t="s">
        <v>1274</v>
      </c>
      <c r="D183" s="839" t="s">
        <v>159</v>
      </c>
      <c r="E183" s="841">
        <v>10.199999999999999</v>
      </c>
      <c r="F183" s="839" t="s">
        <v>324</v>
      </c>
      <c r="G183" s="839" t="s">
        <v>174</v>
      </c>
    </row>
    <row r="184" spans="1:7" ht="13.5" customHeight="1" x14ac:dyDescent="0.35">
      <c r="A184" s="838">
        <v>44886</v>
      </c>
      <c r="B184" s="839" t="s">
        <v>1621</v>
      </c>
      <c r="C184" s="840" t="s">
        <v>1274</v>
      </c>
      <c r="D184" s="839" t="s">
        <v>159</v>
      </c>
      <c r="E184" s="841">
        <v>70</v>
      </c>
      <c r="F184" s="839" t="s">
        <v>1622</v>
      </c>
      <c r="G184" s="839" t="s">
        <v>174</v>
      </c>
    </row>
    <row r="185" spans="1:7" ht="13.5" customHeight="1" x14ac:dyDescent="0.35">
      <c r="A185" s="838">
        <v>44882</v>
      </c>
      <c r="B185" s="839" t="s">
        <v>1623</v>
      </c>
      <c r="C185" s="840" t="s">
        <v>28</v>
      </c>
      <c r="D185" s="839" t="s">
        <v>160</v>
      </c>
      <c r="E185" s="841">
        <v>75</v>
      </c>
      <c r="F185" s="839" t="s">
        <v>1624</v>
      </c>
      <c r="G185" s="839" t="s">
        <v>175</v>
      </c>
    </row>
    <row r="186" spans="1:7" ht="13.5" customHeight="1" x14ac:dyDescent="0.35">
      <c r="A186" s="838">
        <v>44880</v>
      </c>
      <c r="B186" s="839" t="s">
        <v>1625</v>
      </c>
      <c r="C186" s="840" t="s">
        <v>1274</v>
      </c>
      <c r="D186" s="839" t="s">
        <v>159</v>
      </c>
      <c r="E186" s="841">
        <v>475</v>
      </c>
      <c r="F186" s="839" t="s">
        <v>249</v>
      </c>
      <c r="G186" s="839" t="s">
        <v>174</v>
      </c>
    </row>
    <row r="187" spans="1:7" ht="13.5" customHeight="1" x14ac:dyDescent="0.35">
      <c r="A187" s="838">
        <v>44879</v>
      </c>
      <c r="B187" s="839" t="s">
        <v>1626</v>
      </c>
      <c r="C187" s="840" t="s">
        <v>1280</v>
      </c>
      <c r="D187" s="839" t="s">
        <v>159</v>
      </c>
      <c r="E187" s="841">
        <v>100</v>
      </c>
      <c r="F187" s="839" t="s">
        <v>734</v>
      </c>
      <c r="G187" s="839" t="s">
        <v>174</v>
      </c>
    </row>
    <row r="188" spans="1:7" ht="13.5" customHeight="1" x14ac:dyDescent="0.35">
      <c r="A188" s="838">
        <v>44878</v>
      </c>
      <c r="B188" s="839" t="s">
        <v>1256</v>
      </c>
      <c r="C188" s="840" t="s">
        <v>1274</v>
      </c>
      <c r="D188" s="839" t="s">
        <v>160</v>
      </c>
      <c r="E188" s="841">
        <v>150</v>
      </c>
      <c r="F188" s="839" t="s">
        <v>177</v>
      </c>
      <c r="G188" s="839" t="s">
        <v>174</v>
      </c>
    </row>
    <row r="189" spans="1:7" ht="13.5" customHeight="1" x14ac:dyDescent="0.35">
      <c r="A189" s="838">
        <v>44876</v>
      </c>
      <c r="B189" s="839" t="s">
        <v>1627</v>
      </c>
      <c r="C189" s="840" t="s">
        <v>1274</v>
      </c>
      <c r="D189" s="839" t="s">
        <v>165</v>
      </c>
      <c r="E189" s="841">
        <v>150</v>
      </c>
      <c r="F189" s="839" t="s">
        <v>230</v>
      </c>
      <c r="G189" s="839" t="s">
        <v>176</v>
      </c>
    </row>
    <row r="190" spans="1:7" ht="13.5" customHeight="1" x14ac:dyDescent="0.35">
      <c r="A190" s="838">
        <v>44876</v>
      </c>
      <c r="B190" s="839" t="s">
        <v>1627</v>
      </c>
      <c r="C190" s="840" t="s">
        <v>1281</v>
      </c>
      <c r="D190" s="839" t="s">
        <v>165</v>
      </c>
      <c r="E190" s="841">
        <v>-150</v>
      </c>
      <c r="F190" s="839" t="s">
        <v>230</v>
      </c>
      <c r="G190" s="839" t="s">
        <v>176</v>
      </c>
    </row>
    <row r="191" spans="1:7" ht="13.5" customHeight="1" x14ac:dyDescent="0.35">
      <c r="A191" s="838">
        <v>44873</v>
      </c>
      <c r="B191" s="839" t="s">
        <v>1628</v>
      </c>
      <c r="C191" s="840" t="s">
        <v>1279</v>
      </c>
      <c r="D191" s="839" t="s">
        <v>160</v>
      </c>
      <c r="E191" s="841">
        <v>120</v>
      </c>
      <c r="F191" s="839" t="s">
        <v>1092</v>
      </c>
      <c r="G191" s="839" t="s">
        <v>174</v>
      </c>
    </row>
    <row r="192" spans="1:7" ht="13.5" customHeight="1" x14ac:dyDescent="0.35">
      <c r="A192" s="838">
        <v>44873</v>
      </c>
      <c r="B192" s="839" t="s">
        <v>1629</v>
      </c>
      <c r="C192" s="840" t="s">
        <v>1274</v>
      </c>
      <c r="D192" s="839" t="s">
        <v>160</v>
      </c>
      <c r="E192" s="841">
        <v>255</v>
      </c>
      <c r="F192" s="839" t="s">
        <v>1630</v>
      </c>
      <c r="G192" s="839" t="s">
        <v>174</v>
      </c>
    </row>
    <row r="193" spans="1:7" ht="13.5" customHeight="1" x14ac:dyDescent="0.35">
      <c r="A193" s="838">
        <v>44873</v>
      </c>
      <c r="B193" s="839" t="s">
        <v>1631</v>
      </c>
      <c r="C193" s="840" t="s">
        <v>28</v>
      </c>
      <c r="D193" s="839" t="s">
        <v>160</v>
      </c>
      <c r="E193" s="841">
        <v>460</v>
      </c>
      <c r="F193" s="839" t="s">
        <v>1632</v>
      </c>
      <c r="G193" s="839" t="s">
        <v>175</v>
      </c>
    </row>
    <row r="194" spans="1:7" ht="13.5" customHeight="1" x14ac:dyDescent="0.35">
      <c r="A194" s="838">
        <v>44873</v>
      </c>
      <c r="B194" s="839" t="s">
        <v>1506</v>
      </c>
      <c r="C194" s="840" t="s">
        <v>28</v>
      </c>
      <c r="D194" s="839" t="s">
        <v>159</v>
      </c>
      <c r="E194" s="841">
        <v>250</v>
      </c>
      <c r="F194" s="839" t="s">
        <v>1025</v>
      </c>
      <c r="G194" s="839" t="s">
        <v>174</v>
      </c>
    </row>
    <row r="195" spans="1:7" ht="13.5" customHeight="1" x14ac:dyDescent="0.35">
      <c r="A195" s="838">
        <v>44872</v>
      </c>
      <c r="B195" s="839" t="s">
        <v>1288</v>
      </c>
      <c r="C195" s="840" t="s">
        <v>1274</v>
      </c>
      <c r="D195" s="839" t="s">
        <v>160</v>
      </c>
      <c r="E195" s="841">
        <v>675.75</v>
      </c>
      <c r="F195" s="839" t="s">
        <v>1171</v>
      </c>
      <c r="G195" s="839" t="s">
        <v>175</v>
      </c>
    </row>
    <row r="196" spans="1:7" ht="13.5" customHeight="1" x14ac:dyDescent="0.35">
      <c r="A196" s="838">
        <v>44870</v>
      </c>
      <c r="B196" s="839" t="s">
        <v>1633</v>
      </c>
      <c r="C196" s="840" t="s">
        <v>28</v>
      </c>
      <c r="D196" s="839" t="s">
        <v>159</v>
      </c>
      <c r="E196" s="841">
        <v>230</v>
      </c>
      <c r="F196" s="839" t="s">
        <v>1632</v>
      </c>
      <c r="G196" s="839" t="s">
        <v>175</v>
      </c>
    </row>
    <row r="197" spans="1:7" ht="13.5" customHeight="1" x14ac:dyDescent="0.35">
      <c r="A197" s="838">
        <v>44870</v>
      </c>
      <c r="B197" s="839" t="s">
        <v>1634</v>
      </c>
      <c r="C197" s="840" t="s">
        <v>1284</v>
      </c>
      <c r="D197" s="839" t="s">
        <v>160</v>
      </c>
      <c r="E197" s="841">
        <v>37</v>
      </c>
      <c r="F197" s="839" t="s">
        <v>1381</v>
      </c>
      <c r="G197" s="839" t="s">
        <v>174</v>
      </c>
    </row>
    <row r="198" spans="1:7" ht="13.5" customHeight="1" x14ac:dyDescent="0.35">
      <c r="A198" s="838">
        <v>44870</v>
      </c>
      <c r="B198" s="839" t="s">
        <v>732</v>
      </c>
      <c r="C198" s="840" t="s">
        <v>1279</v>
      </c>
      <c r="D198" s="839" t="s">
        <v>159</v>
      </c>
      <c r="E198" s="841">
        <v>360</v>
      </c>
      <c r="F198" s="839" t="s">
        <v>1062</v>
      </c>
      <c r="G198" s="839" t="s">
        <v>175</v>
      </c>
    </row>
    <row r="199" spans="1:7" ht="13.5" customHeight="1" x14ac:dyDescent="0.35">
      <c r="A199" s="838">
        <v>44868</v>
      </c>
      <c r="B199" s="839" t="s">
        <v>1635</v>
      </c>
      <c r="C199" s="840" t="s">
        <v>1274</v>
      </c>
      <c r="D199" s="839" t="s">
        <v>165</v>
      </c>
      <c r="E199" s="841">
        <v>150</v>
      </c>
      <c r="F199" s="839" t="s">
        <v>230</v>
      </c>
      <c r="G199" s="839" t="s">
        <v>176</v>
      </c>
    </row>
    <row r="200" spans="1:7" ht="13.5" customHeight="1" x14ac:dyDescent="0.35">
      <c r="A200" s="838">
        <v>44868</v>
      </c>
      <c r="B200" s="839" t="s">
        <v>1635</v>
      </c>
      <c r="C200" s="840" t="s">
        <v>1281</v>
      </c>
      <c r="D200" s="839" t="s">
        <v>165</v>
      </c>
      <c r="E200" s="841">
        <v>-150</v>
      </c>
      <c r="F200" s="839" t="s">
        <v>230</v>
      </c>
      <c r="G200" s="839" t="s">
        <v>176</v>
      </c>
    </row>
    <row r="201" spans="1:7" ht="13.5" customHeight="1" x14ac:dyDescent="0.35">
      <c r="A201" s="838">
        <v>44866</v>
      </c>
      <c r="B201" s="839" t="s">
        <v>1077</v>
      </c>
      <c r="C201" s="840" t="s">
        <v>1276</v>
      </c>
      <c r="D201" s="839" t="s">
        <v>161</v>
      </c>
      <c r="E201" s="841">
        <v>150</v>
      </c>
      <c r="F201" s="839" t="s">
        <v>1078</v>
      </c>
      <c r="G201" s="839" t="s">
        <v>175</v>
      </c>
    </row>
    <row r="202" spans="1:7" ht="13.5" customHeight="1" x14ac:dyDescent="0.35">
      <c r="A202" s="838">
        <v>44866</v>
      </c>
      <c r="B202" s="839" t="s">
        <v>292</v>
      </c>
      <c r="C202" s="840" t="s">
        <v>1278</v>
      </c>
      <c r="D202" s="839" t="s">
        <v>161</v>
      </c>
      <c r="E202" s="841">
        <v>60</v>
      </c>
      <c r="F202" s="839" t="s">
        <v>292</v>
      </c>
      <c r="G202" s="839" t="s">
        <v>175</v>
      </c>
    </row>
    <row r="203" spans="1:7" ht="13.5" customHeight="1" x14ac:dyDescent="0.35">
      <c r="A203" s="838"/>
      <c r="B203" s="839"/>
      <c r="C203" s="840"/>
      <c r="D203" s="839"/>
      <c r="E203" s="841"/>
      <c r="F203" s="839"/>
      <c r="G203" s="839"/>
    </row>
    <row r="204" spans="1:7" ht="13.5" customHeight="1" x14ac:dyDescent="0.35">
      <c r="A204" s="838">
        <v>44865</v>
      </c>
      <c r="B204" s="839" t="s">
        <v>1636</v>
      </c>
      <c r="C204" s="840" t="s">
        <v>1279</v>
      </c>
      <c r="D204" s="839" t="s">
        <v>162</v>
      </c>
      <c r="E204" s="841">
        <v>50</v>
      </c>
      <c r="F204" s="839" t="s">
        <v>1637</v>
      </c>
      <c r="G204" s="839" t="s">
        <v>176</v>
      </c>
    </row>
    <row r="205" spans="1:7" ht="13.5" customHeight="1" x14ac:dyDescent="0.35">
      <c r="A205" s="838">
        <v>44860</v>
      </c>
      <c r="B205" s="839" t="s">
        <v>1187</v>
      </c>
      <c r="C205" s="840" t="s">
        <v>1274</v>
      </c>
      <c r="D205" s="839" t="s">
        <v>159</v>
      </c>
      <c r="E205" s="841">
        <v>75</v>
      </c>
      <c r="F205" s="839" t="s">
        <v>1638</v>
      </c>
      <c r="G205" s="839" t="s">
        <v>175</v>
      </c>
    </row>
    <row r="206" spans="1:7" ht="13.5" customHeight="1" x14ac:dyDescent="0.35">
      <c r="A206" s="838">
        <v>44862</v>
      </c>
      <c r="B206" s="839" t="s">
        <v>1639</v>
      </c>
      <c r="C206" s="840" t="s">
        <v>28</v>
      </c>
      <c r="D206" s="839" t="s">
        <v>162</v>
      </c>
      <c r="E206" s="841">
        <v>200</v>
      </c>
      <c r="F206" s="839" t="s">
        <v>1640</v>
      </c>
      <c r="G206" s="839" t="s">
        <v>1311</v>
      </c>
    </row>
    <row r="207" spans="1:7" ht="13.5" customHeight="1" x14ac:dyDescent="0.35">
      <c r="A207" s="838">
        <v>44859</v>
      </c>
      <c r="B207" s="839" t="s">
        <v>1011</v>
      </c>
      <c r="C207" s="840" t="s">
        <v>28</v>
      </c>
      <c r="D207" s="839" t="s">
        <v>160</v>
      </c>
      <c r="E207" s="841">
        <v>395</v>
      </c>
      <c r="F207" s="839" t="s">
        <v>1058</v>
      </c>
      <c r="G207" s="839" t="s">
        <v>174</v>
      </c>
    </row>
    <row r="208" spans="1:7" ht="13.5" customHeight="1" x14ac:dyDescent="0.35">
      <c r="A208" s="838">
        <v>44858</v>
      </c>
      <c r="B208" s="839" t="s">
        <v>1641</v>
      </c>
      <c r="C208" s="840" t="s">
        <v>1274</v>
      </c>
      <c r="D208" s="839" t="s">
        <v>159</v>
      </c>
      <c r="E208" s="841">
        <v>99</v>
      </c>
      <c r="F208" s="839" t="s">
        <v>177</v>
      </c>
      <c r="G208" s="839" t="s">
        <v>177</v>
      </c>
    </row>
    <row r="209" spans="1:7" ht="13.5" customHeight="1" x14ac:dyDescent="0.35">
      <c r="A209" s="838">
        <v>44858</v>
      </c>
      <c r="B209" s="839" t="s">
        <v>1642</v>
      </c>
      <c r="C209" s="840" t="s">
        <v>1279</v>
      </c>
      <c r="D209" s="839" t="s">
        <v>160</v>
      </c>
      <c r="E209" s="841">
        <v>65</v>
      </c>
      <c r="F209" s="839" t="s">
        <v>621</v>
      </c>
      <c r="G209" s="839" t="s">
        <v>174</v>
      </c>
    </row>
    <row r="210" spans="1:7" ht="13.5" customHeight="1" x14ac:dyDescent="0.35">
      <c r="A210" s="838">
        <v>44858</v>
      </c>
      <c r="B210" s="839" t="s">
        <v>1643</v>
      </c>
      <c r="C210" s="840" t="s">
        <v>1278</v>
      </c>
      <c r="D210" s="839" t="s">
        <v>159</v>
      </c>
      <c r="E210" s="841">
        <v>200</v>
      </c>
      <c r="F210" s="839" t="s">
        <v>292</v>
      </c>
      <c r="G210" s="839" t="s">
        <v>175</v>
      </c>
    </row>
    <row r="211" spans="1:7" ht="13.5" customHeight="1" x14ac:dyDescent="0.35">
      <c r="A211" s="838">
        <v>44854</v>
      </c>
      <c r="B211" s="839" t="s">
        <v>1644</v>
      </c>
      <c r="C211" s="840" t="s">
        <v>1279</v>
      </c>
      <c r="D211" s="839" t="s">
        <v>165</v>
      </c>
      <c r="E211" s="841">
        <v>120</v>
      </c>
      <c r="F211" s="839" t="s">
        <v>1092</v>
      </c>
      <c r="G211" s="839" t="s">
        <v>176</v>
      </c>
    </row>
    <row r="212" spans="1:7" ht="13.5" customHeight="1" x14ac:dyDescent="0.35">
      <c r="A212" s="838">
        <v>44854</v>
      </c>
      <c r="B212" s="839" t="s">
        <v>1644</v>
      </c>
      <c r="C212" s="840" t="s">
        <v>1281</v>
      </c>
      <c r="D212" s="839" t="s">
        <v>165</v>
      </c>
      <c r="E212" s="841">
        <v>-120</v>
      </c>
      <c r="F212" s="839" t="s">
        <v>1092</v>
      </c>
      <c r="G212" s="839" t="s">
        <v>176</v>
      </c>
    </row>
    <row r="213" spans="1:7" ht="13.5" customHeight="1" x14ac:dyDescent="0.35">
      <c r="A213" s="838">
        <v>44853</v>
      </c>
      <c r="B213" s="839" t="s">
        <v>1645</v>
      </c>
      <c r="C213" s="840" t="s">
        <v>1283</v>
      </c>
      <c r="D213" s="839" t="s">
        <v>162</v>
      </c>
      <c r="E213" s="841">
        <v>20</v>
      </c>
      <c r="F213" s="839" t="s">
        <v>1646</v>
      </c>
      <c r="G213" s="839" t="s">
        <v>175</v>
      </c>
    </row>
    <row r="214" spans="1:7" ht="13.5" customHeight="1" x14ac:dyDescent="0.35">
      <c r="A214" s="838">
        <v>44851</v>
      </c>
      <c r="B214" s="839" t="s">
        <v>346</v>
      </c>
      <c r="C214" s="840" t="s">
        <v>1278</v>
      </c>
      <c r="D214" s="839" t="s">
        <v>159</v>
      </c>
      <c r="E214" s="841">
        <v>20</v>
      </c>
      <c r="F214" s="839" t="s">
        <v>292</v>
      </c>
      <c r="G214" s="839" t="s">
        <v>175</v>
      </c>
    </row>
    <row r="215" spans="1:7" ht="13.5" customHeight="1" x14ac:dyDescent="0.35">
      <c r="A215" s="838">
        <v>44851</v>
      </c>
      <c r="B215" s="839" t="s">
        <v>346</v>
      </c>
      <c r="C215" s="840" t="s">
        <v>1274</v>
      </c>
      <c r="D215" s="839" t="s">
        <v>159</v>
      </c>
      <c r="E215" s="841">
        <v>150</v>
      </c>
      <c r="F215" s="839" t="s">
        <v>177</v>
      </c>
      <c r="G215" s="839" t="s">
        <v>175</v>
      </c>
    </row>
    <row r="216" spans="1:7" ht="13.5" customHeight="1" x14ac:dyDescent="0.35">
      <c r="A216" s="838">
        <v>44848</v>
      </c>
      <c r="B216" s="839" t="s">
        <v>1639</v>
      </c>
      <c r="C216" s="840" t="s">
        <v>28</v>
      </c>
      <c r="D216" s="839" t="s">
        <v>162</v>
      </c>
      <c r="E216" s="841">
        <v>200</v>
      </c>
      <c r="F216" s="839" t="s">
        <v>1640</v>
      </c>
      <c r="G216" s="839" t="s">
        <v>1311</v>
      </c>
    </row>
    <row r="217" spans="1:7" ht="13.5" customHeight="1" x14ac:dyDescent="0.35">
      <c r="A217" s="838">
        <v>44848</v>
      </c>
      <c r="B217" s="839" t="s">
        <v>1647</v>
      </c>
      <c r="C217" s="840" t="s">
        <v>1284</v>
      </c>
      <c r="D217" s="839" t="s">
        <v>159</v>
      </c>
      <c r="E217" s="841">
        <v>17</v>
      </c>
      <c r="F217" s="839" t="s">
        <v>1648</v>
      </c>
      <c r="G217" s="839" t="s">
        <v>174</v>
      </c>
    </row>
    <row r="218" spans="1:7" ht="13.5" customHeight="1" x14ac:dyDescent="0.35">
      <c r="A218" s="838">
        <v>44851</v>
      </c>
      <c r="B218" s="839" t="s">
        <v>1481</v>
      </c>
      <c r="C218" s="840" t="s">
        <v>28</v>
      </c>
      <c r="D218" s="839" t="s">
        <v>160</v>
      </c>
      <c r="E218" s="841">
        <v>230</v>
      </c>
      <c r="F218" s="839" t="s">
        <v>1180</v>
      </c>
      <c r="G218" s="839" t="s">
        <v>175</v>
      </c>
    </row>
    <row r="219" spans="1:7" ht="13.5" customHeight="1" x14ac:dyDescent="0.35">
      <c r="A219" s="838">
        <v>44846</v>
      </c>
      <c r="B219" s="839" t="s">
        <v>1649</v>
      </c>
      <c r="C219" s="840" t="s">
        <v>1274</v>
      </c>
      <c r="D219" s="839" t="s">
        <v>159</v>
      </c>
      <c r="E219" s="841">
        <v>99</v>
      </c>
      <c r="F219" s="839" t="s">
        <v>177</v>
      </c>
      <c r="G219" s="839" t="s">
        <v>174</v>
      </c>
    </row>
    <row r="220" spans="1:7" ht="13.5" customHeight="1" x14ac:dyDescent="0.35">
      <c r="A220" s="838">
        <v>44845</v>
      </c>
      <c r="B220" s="839" t="s">
        <v>1650</v>
      </c>
      <c r="C220" s="840" t="s">
        <v>1274</v>
      </c>
      <c r="D220" s="839" t="s">
        <v>159</v>
      </c>
      <c r="E220" s="841">
        <v>99</v>
      </c>
      <c r="F220" s="839" t="s">
        <v>177</v>
      </c>
      <c r="G220" s="839" t="s">
        <v>174</v>
      </c>
    </row>
    <row r="221" spans="1:7" ht="13.5" customHeight="1" x14ac:dyDescent="0.35">
      <c r="A221" s="838">
        <v>44839</v>
      </c>
      <c r="B221" s="839" t="s">
        <v>1651</v>
      </c>
      <c r="C221" s="840" t="s">
        <v>28</v>
      </c>
      <c r="D221" s="839" t="s">
        <v>159</v>
      </c>
      <c r="E221" s="841">
        <v>250</v>
      </c>
      <c r="F221" s="839" t="s">
        <v>1025</v>
      </c>
      <c r="G221" s="839" t="s">
        <v>174</v>
      </c>
    </row>
    <row r="222" spans="1:7" ht="13.5" customHeight="1" x14ac:dyDescent="0.35">
      <c r="A222" s="838">
        <v>44836</v>
      </c>
      <c r="B222" s="839" t="s">
        <v>1633</v>
      </c>
      <c r="C222" s="840" t="s">
        <v>28</v>
      </c>
      <c r="D222" s="839" t="s">
        <v>159</v>
      </c>
      <c r="E222" s="841">
        <v>30</v>
      </c>
      <c r="F222" s="839" t="s">
        <v>1652</v>
      </c>
      <c r="G222" s="839" t="s">
        <v>174</v>
      </c>
    </row>
    <row r="223" spans="1:7" ht="13.5" customHeight="1" x14ac:dyDescent="0.35">
      <c r="A223" s="838">
        <v>44835</v>
      </c>
      <c r="B223" s="839" t="s">
        <v>1077</v>
      </c>
      <c r="C223" s="840" t="s">
        <v>1276</v>
      </c>
      <c r="D223" s="839" t="s">
        <v>161</v>
      </c>
      <c r="E223" s="841">
        <v>150</v>
      </c>
      <c r="F223" s="839" t="s">
        <v>1078</v>
      </c>
      <c r="G223" s="839" t="s">
        <v>175</v>
      </c>
    </row>
    <row r="224" spans="1:7" ht="13.5" customHeight="1" x14ac:dyDescent="0.35">
      <c r="A224" s="838">
        <v>44835</v>
      </c>
      <c r="B224" s="839" t="s">
        <v>292</v>
      </c>
      <c r="C224" s="840" t="s">
        <v>1278</v>
      </c>
      <c r="D224" s="839" t="s">
        <v>161</v>
      </c>
      <c r="E224" s="841">
        <v>40</v>
      </c>
      <c r="F224" s="839" t="s">
        <v>292</v>
      </c>
      <c r="G224" s="839" t="s">
        <v>175</v>
      </c>
    </row>
    <row r="226" spans="1:7" ht="13.5" customHeight="1" x14ac:dyDescent="0.35">
      <c r="A226" s="838">
        <v>44834</v>
      </c>
      <c r="B226" s="839" t="s">
        <v>1653</v>
      </c>
      <c r="C226" s="840" t="s">
        <v>1284</v>
      </c>
      <c r="D226" s="839" t="s">
        <v>160</v>
      </c>
      <c r="E226" s="841">
        <v>21</v>
      </c>
      <c r="F226" s="839" t="s">
        <v>1648</v>
      </c>
      <c r="G226" s="839" t="s">
        <v>174</v>
      </c>
    </row>
    <row r="227" spans="1:7" ht="13.5" customHeight="1" x14ac:dyDescent="0.35">
      <c r="A227" s="838">
        <v>44834</v>
      </c>
      <c r="B227" s="839" t="s">
        <v>1581</v>
      </c>
      <c r="C227" s="840" t="s">
        <v>1279</v>
      </c>
      <c r="D227" s="839" t="s">
        <v>162</v>
      </c>
      <c r="E227" s="841">
        <v>50</v>
      </c>
      <c r="F227" s="839" t="s">
        <v>1637</v>
      </c>
      <c r="G227" s="839" t="s">
        <v>176</v>
      </c>
    </row>
    <row r="228" spans="1:7" ht="13.5" customHeight="1" x14ac:dyDescent="0.35">
      <c r="A228" s="838">
        <v>44831</v>
      </c>
      <c r="B228" s="839" t="s">
        <v>1654</v>
      </c>
      <c r="C228" s="840" t="s">
        <v>1284</v>
      </c>
      <c r="D228" s="839" t="s">
        <v>159</v>
      </c>
      <c r="E228" s="841">
        <v>37</v>
      </c>
      <c r="F228" s="839" t="s">
        <v>1648</v>
      </c>
      <c r="G228" s="839" t="s">
        <v>174</v>
      </c>
    </row>
    <row r="229" spans="1:7" ht="13.5" customHeight="1" x14ac:dyDescent="0.35">
      <c r="A229" s="838">
        <v>44831</v>
      </c>
      <c r="B229" s="839" t="s">
        <v>1655</v>
      </c>
      <c r="C229" s="840" t="s">
        <v>1284</v>
      </c>
      <c r="D229" s="839" t="s">
        <v>159</v>
      </c>
      <c r="E229" s="841">
        <v>2</v>
      </c>
      <c r="F229" s="839" t="s">
        <v>1419</v>
      </c>
      <c r="G229" s="839" t="s">
        <v>174</v>
      </c>
    </row>
    <row r="230" spans="1:7" ht="13.5" customHeight="1" x14ac:dyDescent="0.35">
      <c r="A230" s="838">
        <v>44831</v>
      </c>
      <c r="B230" s="839" t="s">
        <v>1656</v>
      </c>
      <c r="C230" s="840" t="s">
        <v>1274</v>
      </c>
      <c r="D230" s="839" t="s">
        <v>160</v>
      </c>
      <c r="E230" s="841">
        <v>150</v>
      </c>
      <c r="F230" s="839" t="s">
        <v>1657</v>
      </c>
      <c r="G230" s="839" t="s">
        <v>175</v>
      </c>
    </row>
    <row r="231" spans="1:7" ht="13.5" customHeight="1" x14ac:dyDescent="0.35">
      <c r="A231" s="838">
        <v>44831</v>
      </c>
      <c r="B231" s="839" t="s">
        <v>89</v>
      </c>
      <c r="C231" s="840" t="s">
        <v>1282</v>
      </c>
      <c r="D231" s="839" t="s">
        <v>160</v>
      </c>
      <c r="E231" s="841">
        <v>28.14</v>
      </c>
      <c r="F231" s="839" t="s">
        <v>414</v>
      </c>
      <c r="G231" s="839" t="s">
        <v>89</v>
      </c>
    </row>
    <row r="232" spans="1:7" ht="13.5" customHeight="1" x14ac:dyDescent="0.35">
      <c r="A232" s="838">
        <v>44828</v>
      </c>
      <c r="B232" s="839" t="s">
        <v>1658</v>
      </c>
      <c r="C232" s="840" t="s">
        <v>1280</v>
      </c>
      <c r="D232" s="839" t="s">
        <v>159</v>
      </c>
      <c r="E232" s="841">
        <v>150</v>
      </c>
      <c r="F232" s="839" t="s">
        <v>734</v>
      </c>
      <c r="G232" s="839" t="s">
        <v>174</v>
      </c>
    </row>
    <row r="233" spans="1:7" ht="13.5" customHeight="1" x14ac:dyDescent="0.35">
      <c r="A233" s="838">
        <v>44828</v>
      </c>
      <c r="B233" s="839" t="s">
        <v>1659</v>
      </c>
      <c r="C233" s="840" t="s">
        <v>1274</v>
      </c>
      <c r="D233" s="839" t="s">
        <v>159</v>
      </c>
      <c r="E233" s="841">
        <v>99</v>
      </c>
      <c r="F233" s="839" t="s">
        <v>177</v>
      </c>
      <c r="G233" s="839" t="s">
        <v>174</v>
      </c>
    </row>
    <row r="234" spans="1:7" ht="13.5" customHeight="1" x14ac:dyDescent="0.35">
      <c r="A234" s="838">
        <v>44824</v>
      </c>
      <c r="B234" s="839" t="s">
        <v>1645</v>
      </c>
      <c r="C234" s="840" t="s">
        <v>1283</v>
      </c>
      <c r="D234" s="839" t="s">
        <v>162</v>
      </c>
      <c r="E234" s="841">
        <v>600</v>
      </c>
      <c r="F234" s="839" t="s">
        <v>1646</v>
      </c>
      <c r="G234" s="839" t="s">
        <v>175</v>
      </c>
    </row>
    <row r="235" spans="1:7" ht="13.5" customHeight="1" x14ac:dyDescent="0.35">
      <c r="A235" s="838">
        <v>44823</v>
      </c>
      <c r="B235" s="839" t="s">
        <v>1660</v>
      </c>
      <c r="C235" s="840" t="s">
        <v>1274</v>
      </c>
      <c r="D235" s="839" t="s">
        <v>165</v>
      </c>
      <c r="E235" s="841">
        <v>50</v>
      </c>
      <c r="F235" s="839" t="s">
        <v>235</v>
      </c>
      <c r="G235" s="839" t="s">
        <v>175</v>
      </c>
    </row>
    <row r="236" spans="1:7" ht="13.5" customHeight="1" x14ac:dyDescent="0.35">
      <c r="A236" s="838">
        <v>44823</v>
      </c>
      <c r="B236" s="839" t="s">
        <v>1660</v>
      </c>
      <c r="C236" s="840" t="s">
        <v>1281</v>
      </c>
      <c r="D236" s="839" t="s">
        <v>165</v>
      </c>
      <c r="E236" s="841">
        <v>-50</v>
      </c>
      <c r="F236" s="839" t="s">
        <v>235</v>
      </c>
      <c r="G236" s="839" t="s">
        <v>175</v>
      </c>
    </row>
    <row r="237" spans="1:7" ht="13.5" customHeight="1" x14ac:dyDescent="0.35">
      <c r="A237" s="838">
        <v>44823</v>
      </c>
      <c r="B237" s="839" t="s">
        <v>1660</v>
      </c>
      <c r="C237" s="840" t="s">
        <v>1274</v>
      </c>
      <c r="D237" s="839" t="s">
        <v>159</v>
      </c>
      <c r="E237" s="841">
        <v>45</v>
      </c>
      <c r="F237" s="839" t="s">
        <v>235</v>
      </c>
      <c r="G237" s="839" t="s">
        <v>175</v>
      </c>
    </row>
    <row r="238" spans="1:7" ht="13.5" customHeight="1" x14ac:dyDescent="0.35">
      <c r="A238" s="838">
        <v>44823</v>
      </c>
      <c r="B238" s="839" t="s">
        <v>1656</v>
      </c>
      <c r="C238" s="840" t="s">
        <v>1274</v>
      </c>
      <c r="D238" s="839" t="s">
        <v>160</v>
      </c>
      <c r="E238" s="841">
        <v>825</v>
      </c>
      <c r="F238" s="839" t="s">
        <v>1657</v>
      </c>
      <c r="G238" s="839" t="s">
        <v>174</v>
      </c>
    </row>
    <row r="239" spans="1:7" ht="13.5" customHeight="1" x14ac:dyDescent="0.35">
      <c r="A239" s="838">
        <v>44822</v>
      </c>
      <c r="B239" s="839" t="s">
        <v>1661</v>
      </c>
      <c r="C239" s="840" t="s">
        <v>28</v>
      </c>
      <c r="D239" s="839" t="s">
        <v>160</v>
      </c>
      <c r="E239" s="841">
        <v>60</v>
      </c>
      <c r="F239" s="839" t="s">
        <v>1236</v>
      </c>
      <c r="G239" s="839" t="s">
        <v>175</v>
      </c>
    </row>
    <row r="240" spans="1:7" ht="13.5" customHeight="1" x14ac:dyDescent="0.35">
      <c r="A240" s="838">
        <v>44820</v>
      </c>
      <c r="B240" s="839" t="s">
        <v>1362</v>
      </c>
      <c r="C240" s="840" t="s">
        <v>1274</v>
      </c>
      <c r="D240" s="839" t="s">
        <v>159</v>
      </c>
      <c r="E240" s="841">
        <v>65</v>
      </c>
      <c r="F240" s="839" t="s">
        <v>1662</v>
      </c>
      <c r="G240" s="839" t="s">
        <v>179</v>
      </c>
    </row>
    <row r="241" spans="1:7" ht="13.5" customHeight="1" x14ac:dyDescent="0.35">
      <c r="A241" s="838">
        <v>44820</v>
      </c>
      <c r="B241" s="839" t="s">
        <v>1663</v>
      </c>
      <c r="C241" s="840" t="s">
        <v>1274</v>
      </c>
      <c r="D241" s="839" t="s">
        <v>159</v>
      </c>
      <c r="E241" s="841">
        <v>150</v>
      </c>
      <c r="F241" s="839" t="s">
        <v>177</v>
      </c>
      <c r="G241" s="839" t="s">
        <v>174</v>
      </c>
    </row>
    <row r="242" spans="1:7" ht="13.5" customHeight="1" x14ac:dyDescent="0.35">
      <c r="A242" s="838">
        <v>44820</v>
      </c>
      <c r="B242" s="839" t="s">
        <v>1664</v>
      </c>
      <c r="C242" s="840" t="s">
        <v>1284</v>
      </c>
      <c r="D242" s="839" t="s">
        <v>160</v>
      </c>
      <c r="E242" s="841">
        <v>21</v>
      </c>
      <c r="F242" s="839" t="s">
        <v>1648</v>
      </c>
      <c r="G242" s="839" t="s">
        <v>174</v>
      </c>
    </row>
    <row r="243" spans="1:7" ht="13.5" customHeight="1" x14ac:dyDescent="0.35">
      <c r="A243" s="838">
        <v>44817</v>
      </c>
      <c r="B243" s="839" t="s">
        <v>1466</v>
      </c>
      <c r="C243" s="840" t="s">
        <v>1274</v>
      </c>
      <c r="D243" s="839" t="s">
        <v>166</v>
      </c>
      <c r="E243" s="841">
        <v>135</v>
      </c>
      <c r="F243" s="839" t="s">
        <v>235</v>
      </c>
      <c r="G243" s="839" t="s">
        <v>175</v>
      </c>
    </row>
    <row r="244" spans="1:7" ht="13.5" customHeight="1" x14ac:dyDescent="0.35">
      <c r="A244" s="838">
        <v>44817</v>
      </c>
      <c r="B244" s="839" t="s">
        <v>1466</v>
      </c>
      <c r="C244" s="840" t="s">
        <v>1277</v>
      </c>
      <c r="D244" s="839" t="s">
        <v>166</v>
      </c>
      <c r="E244" s="841">
        <v>-135</v>
      </c>
      <c r="F244" s="839" t="s">
        <v>235</v>
      </c>
      <c r="G244" s="839" t="s">
        <v>175</v>
      </c>
    </row>
    <row r="245" spans="1:7" ht="13.5" customHeight="1" x14ac:dyDescent="0.35">
      <c r="A245" s="838">
        <v>44809</v>
      </c>
      <c r="B245" s="839" t="s">
        <v>1665</v>
      </c>
      <c r="C245" s="840" t="s">
        <v>1274</v>
      </c>
      <c r="D245" s="839" t="s">
        <v>160</v>
      </c>
      <c r="E245" s="841">
        <v>575</v>
      </c>
      <c r="F245" s="839" t="s">
        <v>495</v>
      </c>
      <c r="G245" s="839" t="s">
        <v>174</v>
      </c>
    </row>
    <row r="246" spans="1:7" ht="13.5" customHeight="1" x14ac:dyDescent="0.35">
      <c r="A246" s="838">
        <v>44807</v>
      </c>
      <c r="B246" s="839" t="s">
        <v>1666</v>
      </c>
      <c r="C246" s="840" t="s">
        <v>28</v>
      </c>
      <c r="D246" s="839" t="s">
        <v>159</v>
      </c>
      <c r="E246" s="841">
        <v>212.5</v>
      </c>
      <c r="F246" s="839" t="s">
        <v>1180</v>
      </c>
      <c r="G246" s="839" t="s">
        <v>175</v>
      </c>
    </row>
    <row r="247" spans="1:7" ht="13.5" customHeight="1" x14ac:dyDescent="0.35">
      <c r="A247" s="838">
        <v>44807</v>
      </c>
      <c r="B247" s="839" t="s">
        <v>89</v>
      </c>
      <c r="C247" s="840" t="s">
        <v>1282</v>
      </c>
      <c r="D247" s="839" t="s">
        <v>160</v>
      </c>
      <c r="E247" s="841">
        <v>81.17</v>
      </c>
      <c r="F247" s="839" t="s">
        <v>414</v>
      </c>
      <c r="G247" s="839" t="s">
        <v>89</v>
      </c>
    </row>
    <row r="248" spans="1:7" ht="13.5" customHeight="1" x14ac:dyDescent="0.35">
      <c r="A248" s="838">
        <v>44806</v>
      </c>
      <c r="B248" s="839" t="s">
        <v>1650</v>
      </c>
      <c r="C248" s="840" t="s">
        <v>28</v>
      </c>
      <c r="D248" s="839" t="s">
        <v>159</v>
      </c>
      <c r="E248" s="841">
        <v>30</v>
      </c>
      <c r="F248" s="839" t="s">
        <v>1236</v>
      </c>
      <c r="G248" s="839" t="s">
        <v>174</v>
      </c>
    </row>
    <row r="249" spans="1:7" ht="13.5" customHeight="1" x14ac:dyDescent="0.35">
      <c r="A249" s="838">
        <v>44805</v>
      </c>
      <c r="B249" s="839" t="s">
        <v>1667</v>
      </c>
      <c r="C249" s="840" t="s">
        <v>28</v>
      </c>
      <c r="D249" s="839" t="s">
        <v>160</v>
      </c>
      <c r="E249" s="841">
        <v>318.75</v>
      </c>
      <c r="F249" s="839" t="s">
        <v>747</v>
      </c>
      <c r="G249" s="839" t="s">
        <v>175</v>
      </c>
    </row>
    <row r="250" spans="1:7" ht="13.5" customHeight="1" x14ac:dyDescent="0.35">
      <c r="A250" s="838">
        <v>44805</v>
      </c>
      <c r="B250" s="839" t="s">
        <v>1668</v>
      </c>
      <c r="C250" s="840" t="s">
        <v>1274</v>
      </c>
      <c r="D250" s="839" t="s">
        <v>159</v>
      </c>
      <c r="E250" s="841">
        <v>198</v>
      </c>
      <c r="F250" s="839" t="s">
        <v>177</v>
      </c>
      <c r="G250" s="839" t="s">
        <v>174</v>
      </c>
    </row>
    <row r="251" spans="1:7" ht="13.5" customHeight="1" x14ac:dyDescent="0.35">
      <c r="A251" s="838">
        <v>44805</v>
      </c>
      <c r="B251" s="839" t="s">
        <v>1077</v>
      </c>
      <c r="C251" s="840" t="s">
        <v>1276</v>
      </c>
      <c r="D251" s="839" t="s">
        <v>161</v>
      </c>
      <c r="E251" s="841">
        <v>150</v>
      </c>
      <c r="F251" s="839" t="s">
        <v>1078</v>
      </c>
      <c r="G251" s="839" t="s">
        <v>175</v>
      </c>
    </row>
    <row r="252" spans="1:7" ht="13.5" customHeight="1" x14ac:dyDescent="0.35">
      <c r="A252" s="838">
        <v>44805</v>
      </c>
      <c r="B252" s="839" t="s">
        <v>292</v>
      </c>
      <c r="C252" s="840" t="s">
        <v>1278</v>
      </c>
      <c r="D252" s="839" t="s">
        <v>161</v>
      </c>
      <c r="E252" s="841">
        <v>60</v>
      </c>
      <c r="F252" s="839" t="s">
        <v>292</v>
      </c>
      <c r="G252" s="839" t="s">
        <v>175</v>
      </c>
    </row>
    <row r="253" spans="1:7" ht="13.5" customHeight="1" x14ac:dyDescent="0.35">
      <c r="A253" s="838"/>
      <c r="B253" s="839"/>
      <c r="C253" s="840"/>
      <c r="D253" s="839"/>
      <c r="E253" s="841"/>
      <c r="F253" s="839"/>
      <c r="G253" s="839"/>
    </row>
    <row r="254" spans="1:7" ht="13.5" customHeight="1" x14ac:dyDescent="0.35">
      <c r="A254" s="838">
        <v>44804</v>
      </c>
      <c r="B254" s="839" t="s">
        <v>1669</v>
      </c>
      <c r="C254" s="840" t="s">
        <v>28</v>
      </c>
      <c r="D254" s="839" t="s">
        <v>159</v>
      </c>
      <c r="E254" s="841">
        <v>212.5</v>
      </c>
      <c r="F254" s="839" t="s">
        <v>1180</v>
      </c>
      <c r="G254" s="839" t="s">
        <v>174</v>
      </c>
    </row>
    <row r="255" spans="1:7" ht="13.5" customHeight="1" x14ac:dyDescent="0.35">
      <c r="A255" s="838">
        <v>44802</v>
      </c>
      <c r="B255" s="839" t="s">
        <v>1670</v>
      </c>
      <c r="C255" s="840" t="s">
        <v>1274</v>
      </c>
      <c r="D255" s="839" t="s">
        <v>160</v>
      </c>
      <c r="E255" s="841">
        <v>150</v>
      </c>
      <c r="F255" s="839" t="s">
        <v>177</v>
      </c>
      <c r="G255" s="839" t="s">
        <v>176</v>
      </c>
    </row>
    <row r="256" spans="1:7" ht="13.5" customHeight="1" x14ac:dyDescent="0.35">
      <c r="A256" s="838">
        <v>44802</v>
      </c>
      <c r="B256" s="839" t="s">
        <v>401</v>
      </c>
      <c r="C256" s="840" t="s">
        <v>1274</v>
      </c>
      <c r="D256" s="839" t="s">
        <v>160</v>
      </c>
      <c r="E256" s="841">
        <v>84.15</v>
      </c>
      <c r="F256" s="839" t="s">
        <v>177</v>
      </c>
      <c r="G256" s="839" t="s">
        <v>175</v>
      </c>
    </row>
    <row r="257" spans="1:7" ht="13.5" customHeight="1" x14ac:dyDescent="0.35">
      <c r="A257" s="838">
        <v>44802</v>
      </c>
      <c r="B257" s="839" t="s">
        <v>401</v>
      </c>
      <c r="C257" s="840" t="s">
        <v>1274</v>
      </c>
      <c r="D257" s="839" t="s">
        <v>160</v>
      </c>
      <c r="E257" s="841">
        <v>55.25</v>
      </c>
      <c r="F257" s="839" t="s">
        <v>1671</v>
      </c>
      <c r="G257" s="839" t="s">
        <v>175</v>
      </c>
    </row>
    <row r="258" spans="1:7" ht="13.5" customHeight="1" x14ac:dyDescent="0.35">
      <c r="A258" s="838">
        <v>44801</v>
      </c>
      <c r="B258" s="839" t="s">
        <v>401</v>
      </c>
      <c r="C258" s="840" t="s">
        <v>1274</v>
      </c>
      <c r="D258" s="839" t="s">
        <v>160</v>
      </c>
      <c r="E258" s="841">
        <v>10.199999999999999</v>
      </c>
      <c r="F258" s="839" t="s">
        <v>324</v>
      </c>
      <c r="G258" s="839" t="s">
        <v>175</v>
      </c>
    </row>
    <row r="259" spans="1:7" ht="13.5" customHeight="1" x14ac:dyDescent="0.35">
      <c r="A259" s="838">
        <v>44800</v>
      </c>
      <c r="B259" s="839" t="s">
        <v>1200</v>
      </c>
      <c r="C259" s="840" t="s">
        <v>1274</v>
      </c>
      <c r="D259" s="839" t="s">
        <v>159</v>
      </c>
      <c r="E259" s="841">
        <v>55.25</v>
      </c>
      <c r="F259" s="839" t="s">
        <v>1672</v>
      </c>
      <c r="G259" s="839" t="s">
        <v>175</v>
      </c>
    </row>
    <row r="260" spans="1:7" ht="13.5" customHeight="1" x14ac:dyDescent="0.35">
      <c r="A260" s="838">
        <v>44800</v>
      </c>
      <c r="B260" s="839" t="s">
        <v>1673</v>
      </c>
      <c r="C260" s="840" t="s">
        <v>1274</v>
      </c>
      <c r="D260" s="839" t="s">
        <v>159</v>
      </c>
      <c r="E260" s="841">
        <v>12</v>
      </c>
      <c r="F260" s="839" t="s">
        <v>324</v>
      </c>
      <c r="G260" s="839" t="s">
        <v>174</v>
      </c>
    </row>
    <row r="261" spans="1:7" ht="13.5" customHeight="1" x14ac:dyDescent="0.35">
      <c r="A261" s="838">
        <v>44798</v>
      </c>
      <c r="B261" s="839" t="s">
        <v>1674</v>
      </c>
      <c r="C261" s="840" t="s">
        <v>1284</v>
      </c>
      <c r="D261" s="839" t="s">
        <v>159</v>
      </c>
      <c r="E261" s="841">
        <v>21</v>
      </c>
      <c r="F261" s="839" t="s">
        <v>1648</v>
      </c>
      <c r="G261" s="839" t="s">
        <v>174</v>
      </c>
    </row>
    <row r="262" spans="1:7" ht="13.5" customHeight="1" x14ac:dyDescent="0.35">
      <c r="A262" s="838">
        <v>44798</v>
      </c>
      <c r="B262" s="839" t="s">
        <v>1675</v>
      </c>
      <c r="C262" s="840" t="s">
        <v>1279</v>
      </c>
      <c r="D262" s="839" t="s">
        <v>162</v>
      </c>
      <c r="E262" s="841">
        <v>100</v>
      </c>
      <c r="F262" s="839" t="s">
        <v>1676</v>
      </c>
      <c r="G262" s="839" t="s">
        <v>175</v>
      </c>
    </row>
    <row r="263" spans="1:7" ht="13.5" customHeight="1" x14ac:dyDescent="0.35">
      <c r="A263" s="838">
        <v>44798</v>
      </c>
      <c r="B263" s="839" t="s">
        <v>1677</v>
      </c>
      <c r="C263" s="840" t="s">
        <v>1279</v>
      </c>
      <c r="D263" s="839" t="s">
        <v>159</v>
      </c>
      <c r="E263" s="841">
        <v>120</v>
      </c>
      <c r="F263" s="839" t="s">
        <v>1231</v>
      </c>
      <c r="G263" s="839" t="s">
        <v>174</v>
      </c>
    </row>
    <row r="264" spans="1:7" ht="13.5" customHeight="1" x14ac:dyDescent="0.35">
      <c r="A264" s="838">
        <v>44796</v>
      </c>
      <c r="B264" s="839" t="s">
        <v>1678</v>
      </c>
      <c r="C264" s="840" t="s">
        <v>1274</v>
      </c>
      <c r="D264" s="839" t="s">
        <v>159</v>
      </c>
      <c r="E264" s="841">
        <v>150</v>
      </c>
      <c r="F264" s="839" t="s">
        <v>177</v>
      </c>
      <c r="G264" s="839" t="s">
        <v>174</v>
      </c>
    </row>
    <row r="265" spans="1:7" ht="13.5" customHeight="1" x14ac:dyDescent="0.35">
      <c r="A265" s="838">
        <v>44796</v>
      </c>
      <c r="B265" s="839" t="s">
        <v>1679</v>
      </c>
      <c r="C265" s="840" t="s">
        <v>1280</v>
      </c>
      <c r="D265" s="839" t="s">
        <v>160</v>
      </c>
      <c r="E265" s="841">
        <v>125</v>
      </c>
      <c r="F265" s="839" t="s">
        <v>734</v>
      </c>
      <c r="G265" s="839" t="s">
        <v>174</v>
      </c>
    </row>
    <row r="266" spans="1:7" ht="13.5" customHeight="1" x14ac:dyDescent="0.35">
      <c r="A266" s="838">
        <v>44795</v>
      </c>
      <c r="B266" s="839" t="s">
        <v>351</v>
      </c>
      <c r="C266" s="840" t="s">
        <v>28</v>
      </c>
      <c r="D266" s="839" t="s">
        <v>159</v>
      </c>
      <c r="E266" s="841">
        <v>175</v>
      </c>
      <c r="F266" s="839" t="s">
        <v>1180</v>
      </c>
      <c r="G266" s="839" t="s">
        <v>174</v>
      </c>
    </row>
    <row r="267" spans="1:7" ht="13.5" customHeight="1" x14ac:dyDescent="0.35">
      <c r="A267" s="838">
        <v>44795</v>
      </c>
      <c r="B267" s="839" t="s">
        <v>351</v>
      </c>
      <c r="C267" s="840" t="s">
        <v>28</v>
      </c>
      <c r="D267" s="839" t="s">
        <v>165</v>
      </c>
      <c r="E267" s="841">
        <v>75</v>
      </c>
      <c r="F267" s="839" t="s">
        <v>1180</v>
      </c>
      <c r="G267" s="839" t="s">
        <v>174</v>
      </c>
    </row>
    <row r="268" spans="1:7" ht="13.5" customHeight="1" x14ac:dyDescent="0.35">
      <c r="A268" s="838">
        <v>44795</v>
      </c>
      <c r="B268" s="839" t="s">
        <v>351</v>
      </c>
      <c r="C268" s="840" t="s">
        <v>1281</v>
      </c>
      <c r="D268" s="839" t="s">
        <v>165</v>
      </c>
      <c r="E268" s="841">
        <v>-75</v>
      </c>
      <c r="F268" s="839" t="s">
        <v>1180</v>
      </c>
      <c r="G268" s="839" t="s">
        <v>174</v>
      </c>
    </row>
    <row r="269" spans="1:7" ht="13.5" customHeight="1" x14ac:dyDescent="0.35">
      <c r="A269" s="838">
        <v>44792</v>
      </c>
      <c r="B269" s="839" t="s">
        <v>1680</v>
      </c>
      <c r="C269" s="840" t="s">
        <v>1284</v>
      </c>
      <c r="D269" s="839" t="s">
        <v>160</v>
      </c>
      <c r="E269" s="841">
        <v>21</v>
      </c>
      <c r="F269" s="839" t="s">
        <v>1648</v>
      </c>
      <c r="G269" s="839" t="s">
        <v>174</v>
      </c>
    </row>
    <row r="270" spans="1:7" ht="13.5" customHeight="1" x14ac:dyDescent="0.35">
      <c r="A270" s="838">
        <v>44795</v>
      </c>
      <c r="B270" s="839" t="s">
        <v>1681</v>
      </c>
      <c r="C270" s="840" t="s">
        <v>1274</v>
      </c>
      <c r="D270" s="839" t="s">
        <v>162</v>
      </c>
      <c r="E270" s="841">
        <v>575</v>
      </c>
      <c r="F270" s="839" t="s">
        <v>1682</v>
      </c>
      <c r="G270" s="839" t="s">
        <v>175</v>
      </c>
    </row>
    <row r="271" spans="1:7" ht="13.5" customHeight="1" x14ac:dyDescent="0.35">
      <c r="A271" s="838">
        <v>44787</v>
      </c>
      <c r="B271" s="839" t="s">
        <v>1683</v>
      </c>
      <c r="C271" s="840" t="s">
        <v>1274</v>
      </c>
      <c r="D271" s="839" t="s">
        <v>159</v>
      </c>
      <c r="E271" s="841">
        <v>250</v>
      </c>
      <c r="F271" s="839" t="s">
        <v>1180</v>
      </c>
      <c r="G271" s="839" t="s">
        <v>174</v>
      </c>
    </row>
    <row r="272" spans="1:7" ht="13.5" customHeight="1" x14ac:dyDescent="0.35">
      <c r="A272" s="838">
        <v>44787</v>
      </c>
      <c r="B272" s="839" t="s">
        <v>229</v>
      </c>
      <c r="C272" s="840" t="s">
        <v>1274</v>
      </c>
      <c r="D272" s="839" t="s">
        <v>159</v>
      </c>
      <c r="E272" s="841">
        <v>75</v>
      </c>
      <c r="F272" s="839" t="s">
        <v>809</v>
      </c>
      <c r="G272" s="839" t="s">
        <v>175</v>
      </c>
    </row>
    <row r="273" spans="1:7" ht="13.5" customHeight="1" x14ac:dyDescent="0.35">
      <c r="A273" s="838">
        <v>44776</v>
      </c>
      <c r="B273" s="839" t="s">
        <v>1457</v>
      </c>
      <c r="C273" s="840" t="s">
        <v>1274</v>
      </c>
      <c r="D273" s="839" t="s">
        <v>160</v>
      </c>
      <c r="E273" s="841">
        <v>150</v>
      </c>
      <c r="F273" s="839" t="s">
        <v>177</v>
      </c>
      <c r="G273" s="839" t="s">
        <v>175</v>
      </c>
    </row>
    <row r="274" spans="1:7" ht="13.5" customHeight="1" x14ac:dyDescent="0.35">
      <c r="A274" s="838">
        <v>44776</v>
      </c>
      <c r="B274" s="839" t="s">
        <v>1457</v>
      </c>
      <c r="C274" s="840" t="s">
        <v>1274</v>
      </c>
      <c r="D274" s="839" t="s">
        <v>160</v>
      </c>
      <c r="E274" s="841">
        <v>95</v>
      </c>
      <c r="F274" s="839" t="s">
        <v>235</v>
      </c>
      <c r="G274" s="839" t="s">
        <v>175</v>
      </c>
    </row>
    <row r="275" spans="1:7" ht="13.5" customHeight="1" x14ac:dyDescent="0.35">
      <c r="A275" s="838">
        <v>44774</v>
      </c>
      <c r="B275" s="839" t="s">
        <v>1684</v>
      </c>
      <c r="C275" s="840" t="s">
        <v>1274</v>
      </c>
      <c r="D275" s="839" t="s">
        <v>159</v>
      </c>
      <c r="E275" s="841">
        <v>150</v>
      </c>
      <c r="F275" s="839" t="s">
        <v>177</v>
      </c>
      <c r="G275" s="839" t="s">
        <v>174</v>
      </c>
    </row>
    <row r="276" spans="1:7" ht="13.5" customHeight="1" x14ac:dyDescent="0.35">
      <c r="A276" s="838">
        <v>44774</v>
      </c>
      <c r="B276" s="839" t="s">
        <v>1077</v>
      </c>
      <c r="C276" s="840" t="s">
        <v>1276</v>
      </c>
      <c r="D276" s="839" t="s">
        <v>161</v>
      </c>
      <c r="E276" s="841">
        <v>150</v>
      </c>
      <c r="F276" s="839" t="s">
        <v>1078</v>
      </c>
      <c r="G276" s="839" t="s">
        <v>175</v>
      </c>
    </row>
    <row r="277" spans="1:7" ht="13.5" customHeight="1" x14ac:dyDescent="0.35">
      <c r="A277" s="838">
        <v>44774</v>
      </c>
      <c r="B277" s="839" t="s">
        <v>292</v>
      </c>
      <c r="C277" s="840" t="s">
        <v>1278</v>
      </c>
      <c r="D277" s="839" t="s">
        <v>161</v>
      </c>
      <c r="E277" s="841">
        <v>60</v>
      </c>
      <c r="F277" s="839" t="s">
        <v>292</v>
      </c>
      <c r="G277" s="839" t="s">
        <v>175</v>
      </c>
    </row>
    <row r="278" spans="1:7" ht="13.5" customHeight="1" x14ac:dyDescent="0.35">
      <c r="A278" s="838"/>
      <c r="B278" s="839"/>
      <c r="C278" s="840"/>
      <c r="D278" s="839"/>
      <c r="E278" s="841"/>
      <c r="F278" s="839"/>
      <c r="G278" s="839"/>
    </row>
    <row r="279" spans="1:7" ht="13.5" customHeight="1" x14ac:dyDescent="0.35">
      <c r="A279" s="838">
        <v>44768</v>
      </c>
      <c r="B279" s="839" t="s">
        <v>1685</v>
      </c>
      <c r="C279" s="840" t="s">
        <v>1274</v>
      </c>
      <c r="D279" s="839" t="s">
        <v>160</v>
      </c>
      <c r="E279" s="841">
        <v>49</v>
      </c>
      <c r="F279" s="839" t="s">
        <v>177</v>
      </c>
      <c r="G279" s="839" t="s">
        <v>175</v>
      </c>
    </row>
    <row r="280" spans="1:7" ht="13.5" customHeight="1" x14ac:dyDescent="0.35">
      <c r="A280" s="838">
        <v>44766</v>
      </c>
      <c r="B280" s="839" t="s">
        <v>1211</v>
      </c>
      <c r="C280" s="840" t="s">
        <v>1274</v>
      </c>
      <c r="D280" s="839" t="s">
        <v>160</v>
      </c>
      <c r="E280" s="841">
        <v>65</v>
      </c>
      <c r="F280" s="839" t="s">
        <v>1686</v>
      </c>
      <c r="G280" s="839" t="s">
        <v>174</v>
      </c>
    </row>
    <row r="281" spans="1:7" ht="13.5" customHeight="1" x14ac:dyDescent="0.35">
      <c r="A281" s="838">
        <v>44764</v>
      </c>
      <c r="B281" s="839" t="s">
        <v>1213</v>
      </c>
      <c r="C281" s="840" t="s">
        <v>1278</v>
      </c>
      <c r="D281" s="839" t="s">
        <v>159</v>
      </c>
      <c r="E281" s="841">
        <v>20</v>
      </c>
      <c r="F281" s="839" t="s">
        <v>293</v>
      </c>
      <c r="G281" s="839" t="s">
        <v>175</v>
      </c>
    </row>
    <row r="282" spans="1:7" ht="13.5" customHeight="1" x14ac:dyDescent="0.35">
      <c r="A282" s="838">
        <v>44760</v>
      </c>
      <c r="B282" s="839" t="s">
        <v>1687</v>
      </c>
      <c r="C282" s="840" t="s">
        <v>1284</v>
      </c>
      <c r="D282" s="839" t="s">
        <v>160</v>
      </c>
      <c r="E282" s="841">
        <v>17</v>
      </c>
      <c r="F282" s="839" t="s">
        <v>1381</v>
      </c>
      <c r="G282" s="839" t="s">
        <v>174</v>
      </c>
    </row>
    <row r="283" spans="1:7" ht="13.5" customHeight="1" x14ac:dyDescent="0.35">
      <c r="A283" s="838">
        <v>44761</v>
      </c>
      <c r="B283" s="839" t="s">
        <v>1022</v>
      </c>
      <c r="C283" s="840" t="s">
        <v>1280</v>
      </c>
      <c r="D283" s="839" t="s">
        <v>159</v>
      </c>
      <c r="E283" s="841">
        <v>500</v>
      </c>
      <c r="F283" s="839" t="s">
        <v>1688</v>
      </c>
      <c r="G283" s="839" t="s">
        <v>174</v>
      </c>
    </row>
    <row r="284" spans="1:7" ht="13.5" customHeight="1" x14ac:dyDescent="0.35">
      <c r="A284" s="838">
        <v>44760</v>
      </c>
      <c r="B284" s="839" t="s">
        <v>89</v>
      </c>
      <c r="C284" s="840" t="s">
        <v>1282</v>
      </c>
      <c r="D284" s="839" t="s">
        <v>160</v>
      </c>
      <c r="E284" s="841">
        <v>25.71</v>
      </c>
      <c r="F284" s="839" t="s">
        <v>414</v>
      </c>
      <c r="G284" s="839" t="s">
        <v>89</v>
      </c>
    </row>
    <row r="285" spans="1:7" ht="13.5" customHeight="1" x14ac:dyDescent="0.35">
      <c r="A285" s="838">
        <v>44757</v>
      </c>
      <c r="B285" s="839" t="s">
        <v>87</v>
      </c>
      <c r="C285" s="840" t="s">
        <v>1282</v>
      </c>
      <c r="D285" s="839" t="s">
        <v>160</v>
      </c>
      <c r="E285" s="841">
        <v>391.43</v>
      </c>
      <c r="F285" s="839" t="s">
        <v>414</v>
      </c>
      <c r="G285" s="839" t="s">
        <v>87</v>
      </c>
    </row>
    <row r="286" spans="1:7" ht="13.5" customHeight="1" x14ac:dyDescent="0.35">
      <c r="A286" s="838">
        <v>44753</v>
      </c>
      <c r="B286" s="839" t="s">
        <v>1689</v>
      </c>
      <c r="C286" s="840" t="s">
        <v>1283</v>
      </c>
      <c r="D286" s="839" t="s">
        <v>162</v>
      </c>
      <c r="E286" s="841">
        <v>175</v>
      </c>
      <c r="F286" s="839" t="s">
        <v>1563</v>
      </c>
      <c r="G286" s="839" t="s">
        <v>174</v>
      </c>
    </row>
    <row r="287" spans="1:7" ht="13.5" customHeight="1" x14ac:dyDescent="0.35">
      <c r="A287" s="838">
        <v>44749</v>
      </c>
      <c r="B287" s="839" t="s">
        <v>1690</v>
      </c>
      <c r="C287" s="840" t="s">
        <v>1279</v>
      </c>
      <c r="D287" s="839" t="s">
        <v>160</v>
      </c>
      <c r="E287" s="841">
        <v>51.8</v>
      </c>
      <c r="F287" s="839" t="s">
        <v>859</v>
      </c>
      <c r="G287" s="839" t="s">
        <v>175</v>
      </c>
    </row>
    <row r="288" spans="1:7" ht="13.5" customHeight="1" x14ac:dyDescent="0.35">
      <c r="A288" s="838">
        <v>44747</v>
      </c>
      <c r="B288" s="839" t="s">
        <v>1691</v>
      </c>
      <c r="C288" s="840" t="s">
        <v>1284</v>
      </c>
      <c r="D288" s="839" t="s">
        <v>160</v>
      </c>
      <c r="E288" s="841">
        <v>21</v>
      </c>
      <c r="F288" s="839" t="s">
        <v>1381</v>
      </c>
      <c r="G288" s="839" t="s">
        <v>174</v>
      </c>
    </row>
    <row r="289" spans="1:7" ht="13.5" customHeight="1" x14ac:dyDescent="0.35">
      <c r="A289" s="838">
        <v>44747</v>
      </c>
      <c r="B289" s="839" t="s">
        <v>1692</v>
      </c>
      <c r="C289" s="840" t="s">
        <v>1284</v>
      </c>
      <c r="D289" s="839" t="s">
        <v>159</v>
      </c>
      <c r="E289" s="841">
        <v>30</v>
      </c>
      <c r="F289" s="839" t="s">
        <v>753</v>
      </c>
      <c r="G289" s="839" t="s">
        <v>174</v>
      </c>
    </row>
    <row r="290" spans="1:7" ht="13.5" customHeight="1" x14ac:dyDescent="0.35">
      <c r="A290" s="838">
        <v>44748</v>
      </c>
      <c r="B290" s="839" t="s">
        <v>1693</v>
      </c>
      <c r="C290" s="840" t="s">
        <v>1274</v>
      </c>
      <c r="D290" s="839" t="s">
        <v>160</v>
      </c>
      <c r="E290" s="841">
        <v>795</v>
      </c>
      <c r="F290" s="839" t="s">
        <v>1694</v>
      </c>
      <c r="G290" s="839" t="s">
        <v>175</v>
      </c>
    </row>
    <row r="291" spans="1:7" ht="13.5" customHeight="1" x14ac:dyDescent="0.35">
      <c r="A291" s="838">
        <v>44747</v>
      </c>
      <c r="B291" s="839" t="s">
        <v>1695</v>
      </c>
      <c r="C291" s="840" t="s">
        <v>28</v>
      </c>
      <c r="D291" s="839" t="s">
        <v>162</v>
      </c>
      <c r="E291" s="841">
        <v>50</v>
      </c>
      <c r="F291" s="839" t="s">
        <v>1180</v>
      </c>
      <c r="G291" s="839" t="s">
        <v>1311</v>
      </c>
    </row>
    <row r="292" spans="1:7" ht="13.5" customHeight="1" x14ac:dyDescent="0.35">
      <c r="A292" s="838">
        <v>44746</v>
      </c>
      <c r="B292" s="839" t="s">
        <v>1690</v>
      </c>
      <c r="C292" s="840" t="s">
        <v>1279</v>
      </c>
      <c r="D292" s="839" t="s">
        <v>159</v>
      </c>
      <c r="E292" s="841"/>
      <c r="F292" s="839" t="s">
        <v>1696</v>
      </c>
      <c r="G292" s="839" t="s">
        <v>175</v>
      </c>
    </row>
    <row r="293" spans="1:7" ht="13.5" customHeight="1" x14ac:dyDescent="0.35">
      <c r="A293" s="838">
        <v>44743</v>
      </c>
      <c r="B293" s="839" t="s">
        <v>1077</v>
      </c>
      <c r="C293" s="840" t="s">
        <v>1276</v>
      </c>
      <c r="D293" s="839" t="s">
        <v>161</v>
      </c>
      <c r="E293" s="841">
        <v>250</v>
      </c>
      <c r="F293" s="839" t="s">
        <v>1078</v>
      </c>
      <c r="G293" s="839" t="s">
        <v>175</v>
      </c>
    </row>
    <row r="294" spans="1:7" ht="13.5" customHeight="1" x14ac:dyDescent="0.35">
      <c r="A294" s="838">
        <v>44743</v>
      </c>
      <c r="B294" s="839" t="s">
        <v>292</v>
      </c>
      <c r="C294" s="840" t="s">
        <v>1278</v>
      </c>
      <c r="D294" s="839" t="s">
        <v>161</v>
      </c>
      <c r="E294" s="841">
        <v>60</v>
      </c>
      <c r="F294" s="839" t="s">
        <v>292</v>
      </c>
      <c r="G294" s="839" t="s">
        <v>175</v>
      </c>
    </row>
    <row r="295" spans="1:7" ht="13.5" customHeight="1" x14ac:dyDescent="0.35">
      <c r="A295" s="838" t="s">
        <v>1037</v>
      </c>
      <c r="B295" s="839"/>
      <c r="C295" s="840"/>
      <c r="D295" s="839"/>
      <c r="E295" s="841"/>
      <c r="F295" s="839"/>
      <c r="G295" s="839"/>
    </row>
    <row r="296" spans="1:7" ht="13.5" customHeight="1" x14ac:dyDescent="0.35">
      <c r="A296" s="838">
        <v>44739</v>
      </c>
      <c r="B296" s="839" t="s">
        <v>1697</v>
      </c>
      <c r="C296" s="840" t="s">
        <v>1284</v>
      </c>
      <c r="D296" s="839" t="s">
        <v>160</v>
      </c>
      <c r="E296" s="841">
        <v>6</v>
      </c>
      <c r="F296" s="839" t="s">
        <v>1419</v>
      </c>
      <c r="G296" s="839" t="s">
        <v>174</v>
      </c>
    </row>
    <row r="297" spans="1:7" ht="13.5" customHeight="1" x14ac:dyDescent="0.35">
      <c r="A297" s="838">
        <v>44740</v>
      </c>
      <c r="B297" s="839" t="s">
        <v>1690</v>
      </c>
      <c r="C297" s="840" t="s">
        <v>1279</v>
      </c>
      <c r="D297" s="839" t="s">
        <v>159</v>
      </c>
      <c r="E297" s="841"/>
      <c r="F297" s="839" t="s">
        <v>1696</v>
      </c>
      <c r="G297" s="839" t="s">
        <v>175</v>
      </c>
    </row>
    <row r="298" spans="1:7" ht="13.5" customHeight="1" x14ac:dyDescent="0.35">
      <c r="A298" s="838">
        <v>44731</v>
      </c>
      <c r="B298" s="839" t="s">
        <v>1698</v>
      </c>
      <c r="C298" s="840" t="s">
        <v>1274</v>
      </c>
      <c r="D298" s="839" t="s">
        <v>160</v>
      </c>
      <c r="E298" s="841">
        <v>35</v>
      </c>
      <c r="F298" s="839" t="s">
        <v>279</v>
      </c>
      <c r="G298" s="839" t="s">
        <v>174</v>
      </c>
    </row>
    <row r="299" spans="1:7" ht="13.5" customHeight="1" x14ac:dyDescent="0.35">
      <c r="A299" s="838">
        <v>44728</v>
      </c>
      <c r="B299" s="839" t="s">
        <v>1699</v>
      </c>
      <c r="C299" s="840" t="s">
        <v>1274</v>
      </c>
      <c r="D299" s="839" t="s">
        <v>159</v>
      </c>
      <c r="E299" s="841">
        <v>150</v>
      </c>
      <c r="F299" s="839" t="s">
        <v>463</v>
      </c>
      <c r="G299" s="839" t="s">
        <v>174</v>
      </c>
    </row>
    <row r="300" spans="1:7" ht="13.5" customHeight="1" x14ac:dyDescent="0.35">
      <c r="A300" s="838">
        <v>44728</v>
      </c>
      <c r="B300" s="839" t="s">
        <v>1699</v>
      </c>
      <c r="C300" s="840" t="s">
        <v>1274</v>
      </c>
      <c r="D300" s="839" t="s">
        <v>159</v>
      </c>
      <c r="E300" s="841">
        <v>875</v>
      </c>
      <c r="F300" s="839" t="s">
        <v>463</v>
      </c>
      <c r="G300" s="839" t="s">
        <v>174</v>
      </c>
    </row>
    <row r="301" spans="1:7" ht="13.5" customHeight="1" x14ac:dyDescent="0.35">
      <c r="A301" s="838">
        <v>44726</v>
      </c>
      <c r="B301" s="839" t="s">
        <v>1466</v>
      </c>
      <c r="C301" s="840" t="s">
        <v>1274</v>
      </c>
      <c r="D301" s="839" t="s">
        <v>166</v>
      </c>
      <c r="E301" s="841">
        <v>75</v>
      </c>
      <c r="F301" s="839" t="s">
        <v>1467</v>
      </c>
      <c r="G301" s="839" t="s">
        <v>175</v>
      </c>
    </row>
    <row r="302" spans="1:7" ht="13.5" customHeight="1" x14ac:dyDescent="0.35">
      <c r="A302" s="838">
        <v>44726</v>
      </c>
      <c r="B302" s="839" t="s">
        <v>1466</v>
      </c>
      <c r="C302" s="840" t="s">
        <v>1277</v>
      </c>
      <c r="D302" s="839" t="s">
        <v>166</v>
      </c>
      <c r="E302" s="841">
        <v>-75</v>
      </c>
      <c r="F302" s="839" t="s">
        <v>1467</v>
      </c>
      <c r="G302" s="839" t="s">
        <v>175</v>
      </c>
    </row>
    <row r="303" spans="1:7" ht="13.5" customHeight="1" x14ac:dyDescent="0.35">
      <c r="A303" s="838">
        <v>44726</v>
      </c>
      <c r="B303" s="839" t="s">
        <v>1466</v>
      </c>
      <c r="C303" s="840" t="s">
        <v>1274</v>
      </c>
      <c r="D303" s="839" t="s">
        <v>166</v>
      </c>
      <c r="E303" s="841">
        <v>65</v>
      </c>
      <c r="F303" s="839" t="s">
        <v>243</v>
      </c>
      <c r="G303" s="839" t="s">
        <v>175</v>
      </c>
    </row>
    <row r="304" spans="1:7" ht="13.5" customHeight="1" x14ac:dyDescent="0.35">
      <c r="A304" s="838">
        <v>44726</v>
      </c>
      <c r="B304" s="839" t="s">
        <v>1466</v>
      </c>
      <c r="C304" s="840" t="s">
        <v>1277</v>
      </c>
      <c r="D304" s="839" t="s">
        <v>166</v>
      </c>
      <c r="E304" s="841">
        <v>-65</v>
      </c>
      <c r="F304" s="839" t="s">
        <v>243</v>
      </c>
      <c r="G304" s="839" t="s">
        <v>175</v>
      </c>
    </row>
    <row r="305" spans="1:7" ht="13.5" customHeight="1" x14ac:dyDescent="0.35">
      <c r="A305" s="838">
        <v>44723</v>
      </c>
      <c r="B305" s="839" t="s">
        <v>1700</v>
      </c>
      <c r="C305" s="840" t="s">
        <v>1279</v>
      </c>
      <c r="D305" s="839" t="s">
        <v>159</v>
      </c>
      <c r="E305" s="841">
        <v>150</v>
      </c>
      <c r="F305" s="839" t="s">
        <v>1701</v>
      </c>
      <c r="G305" s="839" t="s">
        <v>174</v>
      </c>
    </row>
    <row r="306" spans="1:7" ht="13.5" customHeight="1" x14ac:dyDescent="0.35">
      <c r="A306" s="838">
        <v>44722</v>
      </c>
      <c r="B306" s="839" t="s">
        <v>1702</v>
      </c>
      <c r="C306" s="840" t="s">
        <v>1280</v>
      </c>
      <c r="D306" s="839" t="s">
        <v>159</v>
      </c>
      <c r="E306" s="841">
        <v>275</v>
      </c>
      <c r="F306" s="839" t="s">
        <v>1688</v>
      </c>
      <c r="G306" s="839" t="s">
        <v>174</v>
      </c>
    </row>
    <row r="307" spans="1:7" ht="13.5" customHeight="1" x14ac:dyDescent="0.35">
      <c r="A307" s="838">
        <v>44722</v>
      </c>
      <c r="B307" s="839" t="s">
        <v>1690</v>
      </c>
      <c r="C307" s="840" t="s">
        <v>1279</v>
      </c>
      <c r="D307" s="839" t="s">
        <v>159</v>
      </c>
      <c r="E307" s="841"/>
      <c r="F307" s="839" t="s">
        <v>1696</v>
      </c>
      <c r="G307" s="839" t="s">
        <v>175</v>
      </c>
    </row>
    <row r="308" spans="1:7" ht="13.5" customHeight="1" x14ac:dyDescent="0.35">
      <c r="A308" s="838">
        <v>44721</v>
      </c>
      <c r="B308" s="839" t="s">
        <v>1466</v>
      </c>
      <c r="C308" s="840" t="s">
        <v>1274</v>
      </c>
      <c r="D308" s="839" t="s">
        <v>166</v>
      </c>
      <c r="E308" s="841">
        <v>60</v>
      </c>
      <c r="F308" s="839" t="s">
        <v>1703</v>
      </c>
      <c r="G308" s="839" t="s">
        <v>175</v>
      </c>
    </row>
    <row r="309" spans="1:7" ht="13.5" customHeight="1" x14ac:dyDescent="0.35">
      <c r="A309" s="838">
        <v>44721</v>
      </c>
      <c r="B309" s="839" t="s">
        <v>1466</v>
      </c>
      <c r="C309" s="840" t="s">
        <v>1277</v>
      </c>
      <c r="D309" s="839" t="s">
        <v>166</v>
      </c>
      <c r="E309" s="841">
        <v>-60</v>
      </c>
      <c r="F309" s="839" t="s">
        <v>1703</v>
      </c>
      <c r="G309" s="839" t="s">
        <v>175</v>
      </c>
    </row>
    <row r="310" spans="1:7" ht="13.5" customHeight="1" x14ac:dyDescent="0.35">
      <c r="A310" s="838">
        <v>44720</v>
      </c>
      <c r="B310" s="839" t="s">
        <v>1704</v>
      </c>
      <c r="C310" s="840" t="s">
        <v>1279</v>
      </c>
      <c r="D310" s="839" t="s">
        <v>159</v>
      </c>
      <c r="E310" s="841">
        <v>50</v>
      </c>
      <c r="F310" s="839" t="s">
        <v>859</v>
      </c>
      <c r="G310" s="839" t="s">
        <v>175</v>
      </c>
    </row>
    <row r="311" spans="1:7" ht="13.5" customHeight="1" x14ac:dyDescent="0.35">
      <c r="A311" s="838">
        <v>44719</v>
      </c>
      <c r="B311" s="839" t="s">
        <v>1705</v>
      </c>
      <c r="C311" s="840" t="s">
        <v>1284</v>
      </c>
      <c r="D311" s="839" t="s">
        <v>159</v>
      </c>
      <c r="E311" s="841">
        <v>17</v>
      </c>
      <c r="F311" s="839" t="s">
        <v>1648</v>
      </c>
      <c r="G311" s="839" t="s">
        <v>174</v>
      </c>
    </row>
    <row r="312" spans="1:7" ht="13.5" customHeight="1" x14ac:dyDescent="0.35">
      <c r="A312" s="838">
        <v>44718</v>
      </c>
      <c r="B312" s="839" t="s">
        <v>1706</v>
      </c>
      <c r="C312" s="840" t="s">
        <v>1280</v>
      </c>
      <c r="D312" s="839" t="s">
        <v>159</v>
      </c>
      <c r="E312" s="841">
        <v>75</v>
      </c>
      <c r="F312" s="839" t="s">
        <v>1688</v>
      </c>
      <c r="G312" s="839" t="s">
        <v>174</v>
      </c>
    </row>
    <row r="313" spans="1:7" ht="13.5" customHeight="1" x14ac:dyDescent="0.35">
      <c r="A313" s="838">
        <v>44718</v>
      </c>
      <c r="B313" s="839" t="s">
        <v>1707</v>
      </c>
      <c r="C313" s="840" t="s">
        <v>28</v>
      </c>
      <c r="D313" s="839" t="s">
        <v>159</v>
      </c>
      <c r="E313" s="841">
        <v>250</v>
      </c>
      <c r="F313" s="839" t="s">
        <v>1025</v>
      </c>
      <c r="G313" s="839" t="s">
        <v>174</v>
      </c>
    </row>
    <row r="314" spans="1:7" ht="13.5" customHeight="1" x14ac:dyDescent="0.35">
      <c r="A314" s="838">
        <v>44718</v>
      </c>
      <c r="B314" s="839" t="s">
        <v>1690</v>
      </c>
      <c r="C314" s="840" t="s">
        <v>1279</v>
      </c>
      <c r="D314" s="839" t="s">
        <v>159</v>
      </c>
      <c r="E314" s="841"/>
      <c r="F314" s="839" t="s">
        <v>1696</v>
      </c>
      <c r="G314" s="839" t="s">
        <v>175</v>
      </c>
    </row>
    <row r="315" spans="1:7" ht="13.5" customHeight="1" x14ac:dyDescent="0.35">
      <c r="A315" s="838">
        <v>44714</v>
      </c>
      <c r="B315" s="839" t="s">
        <v>1708</v>
      </c>
      <c r="C315" s="840" t="s">
        <v>28</v>
      </c>
      <c r="D315" s="839" t="s">
        <v>159</v>
      </c>
      <c r="E315" s="841">
        <v>30</v>
      </c>
      <c r="F315" s="839" t="s">
        <v>1236</v>
      </c>
      <c r="G315" s="839" t="s">
        <v>174</v>
      </c>
    </row>
    <row r="316" spans="1:7" ht="13.5" customHeight="1" x14ac:dyDescent="0.35">
      <c r="A316" s="838">
        <v>44713</v>
      </c>
      <c r="B316" s="839" t="s">
        <v>1077</v>
      </c>
      <c r="C316" s="840" t="s">
        <v>1276</v>
      </c>
      <c r="D316" s="839" t="s">
        <v>161</v>
      </c>
      <c r="E316" s="841">
        <v>250</v>
      </c>
      <c r="F316" s="839" t="s">
        <v>1078</v>
      </c>
      <c r="G316" s="839" t="s">
        <v>175</v>
      </c>
    </row>
    <row r="317" spans="1:7" ht="13.5" customHeight="1" x14ac:dyDescent="0.35">
      <c r="A317" s="838">
        <v>44713</v>
      </c>
      <c r="B317" s="839" t="s">
        <v>292</v>
      </c>
      <c r="C317" s="840" t="s">
        <v>1278</v>
      </c>
      <c r="D317" s="839" t="s">
        <v>161</v>
      </c>
      <c r="E317" s="841">
        <v>60</v>
      </c>
      <c r="F317" s="839" t="s">
        <v>292</v>
      </c>
      <c r="G317" s="839" t="s">
        <v>175</v>
      </c>
    </row>
    <row r="318" spans="1:7" ht="13.5" customHeight="1" x14ac:dyDescent="0.35">
      <c r="A318" s="838"/>
      <c r="B318" s="839"/>
      <c r="C318" s="840"/>
      <c r="D318" s="839"/>
      <c r="E318" s="841"/>
      <c r="F318" s="839"/>
      <c r="G318" s="839"/>
    </row>
    <row r="319" spans="1:7" ht="13.5" customHeight="1" x14ac:dyDescent="0.35">
      <c r="A319" s="838">
        <v>44712</v>
      </c>
      <c r="B319" s="839" t="s">
        <v>1709</v>
      </c>
      <c r="C319" s="840" t="s">
        <v>1274</v>
      </c>
      <c r="D319" s="839" t="s">
        <v>159</v>
      </c>
      <c r="E319" s="841">
        <v>150</v>
      </c>
      <c r="F319" s="839" t="s">
        <v>235</v>
      </c>
      <c r="G319" s="839" t="s">
        <v>174</v>
      </c>
    </row>
    <row r="320" spans="1:7" ht="13.5" customHeight="1" x14ac:dyDescent="0.35">
      <c r="A320" s="838">
        <v>44712</v>
      </c>
      <c r="B320" s="839" t="s">
        <v>1288</v>
      </c>
      <c r="C320" s="840" t="s">
        <v>1274</v>
      </c>
      <c r="D320" s="839" t="s">
        <v>160</v>
      </c>
      <c r="E320" s="841">
        <v>250</v>
      </c>
      <c r="F320" s="839" t="s">
        <v>1171</v>
      </c>
      <c r="G320" s="839" t="s">
        <v>175</v>
      </c>
    </row>
    <row r="321" spans="1:7" ht="13.5" customHeight="1" x14ac:dyDescent="0.35">
      <c r="A321" s="838">
        <v>44709</v>
      </c>
      <c r="B321" s="839" t="s">
        <v>1710</v>
      </c>
      <c r="C321" s="840" t="s">
        <v>1274</v>
      </c>
      <c r="D321" s="839" t="s">
        <v>160</v>
      </c>
      <c r="E321" s="841">
        <v>50</v>
      </c>
      <c r="F321" s="839" t="s">
        <v>1114</v>
      </c>
      <c r="G321" s="839" t="s">
        <v>174</v>
      </c>
    </row>
    <row r="322" spans="1:7" ht="13.5" customHeight="1" x14ac:dyDescent="0.35">
      <c r="A322" s="838">
        <v>44708</v>
      </c>
      <c r="B322" s="839" t="s">
        <v>1711</v>
      </c>
      <c r="C322" s="840" t="s">
        <v>1274</v>
      </c>
      <c r="D322" s="839" t="s">
        <v>165</v>
      </c>
      <c r="E322" s="841">
        <v>190</v>
      </c>
      <c r="F322" s="839" t="s">
        <v>1458</v>
      </c>
      <c r="G322" s="839" t="s">
        <v>175</v>
      </c>
    </row>
    <row r="323" spans="1:7" ht="13.5" customHeight="1" x14ac:dyDescent="0.35">
      <c r="A323" s="838">
        <v>44708</v>
      </c>
      <c r="B323" s="839" t="s">
        <v>1711</v>
      </c>
      <c r="C323" s="840" t="s">
        <v>1281</v>
      </c>
      <c r="D323" s="839" t="s">
        <v>165</v>
      </c>
      <c r="E323" s="841">
        <v>-190</v>
      </c>
      <c r="F323" s="839" t="s">
        <v>1458</v>
      </c>
      <c r="G323" s="839" t="s">
        <v>175</v>
      </c>
    </row>
    <row r="324" spans="1:7" ht="13.5" customHeight="1" x14ac:dyDescent="0.35">
      <c r="A324" s="838">
        <v>44708</v>
      </c>
      <c r="B324" s="839" t="s">
        <v>1712</v>
      </c>
      <c r="C324" s="840" t="s">
        <v>1274</v>
      </c>
      <c r="D324" s="839" t="s">
        <v>159</v>
      </c>
      <c r="E324" s="841">
        <v>1004.26</v>
      </c>
      <c r="F324" s="839" t="s">
        <v>1713</v>
      </c>
      <c r="G324" s="839" t="s">
        <v>174</v>
      </c>
    </row>
    <row r="325" spans="1:7" ht="13.5" customHeight="1" x14ac:dyDescent="0.35">
      <c r="A325" s="838">
        <v>44705</v>
      </c>
      <c r="B325" s="839" t="s">
        <v>1714</v>
      </c>
      <c r="C325" s="840" t="s">
        <v>1284</v>
      </c>
      <c r="D325" s="839" t="s">
        <v>160</v>
      </c>
      <c r="E325" s="841">
        <v>17</v>
      </c>
      <c r="F325" s="839" t="s">
        <v>1381</v>
      </c>
      <c r="G325" s="839" t="s">
        <v>174</v>
      </c>
    </row>
    <row r="326" spans="1:7" ht="13.5" customHeight="1" x14ac:dyDescent="0.35">
      <c r="A326" s="838">
        <v>44703</v>
      </c>
      <c r="B326" s="839" t="s">
        <v>1715</v>
      </c>
      <c r="C326" s="840" t="s">
        <v>1274</v>
      </c>
      <c r="D326" s="839" t="s">
        <v>160</v>
      </c>
      <c r="E326" s="841">
        <v>775</v>
      </c>
      <c r="F326" s="839" t="s">
        <v>463</v>
      </c>
      <c r="G326" s="839" t="s">
        <v>174</v>
      </c>
    </row>
    <row r="327" spans="1:7" ht="13.5" customHeight="1" x14ac:dyDescent="0.35">
      <c r="A327" s="838">
        <v>44703</v>
      </c>
      <c r="B327" s="839" t="s">
        <v>1715</v>
      </c>
      <c r="C327" s="840" t="s">
        <v>1274</v>
      </c>
      <c r="D327" s="839" t="s">
        <v>160</v>
      </c>
      <c r="E327" s="841">
        <v>120</v>
      </c>
      <c r="F327" s="839" t="s">
        <v>1716</v>
      </c>
      <c r="G327" s="839" t="s">
        <v>174</v>
      </c>
    </row>
    <row r="328" spans="1:7" ht="13.5" customHeight="1" x14ac:dyDescent="0.35">
      <c r="A328" s="838">
        <v>44700</v>
      </c>
      <c r="B328" s="839" t="s">
        <v>1717</v>
      </c>
      <c r="C328" s="840" t="s">
        <v>1279</v>
      </c>
      <c r="D328" s="839" t="s">
        <v>159</v>
      </c>
      <c r="E328" s="841">
        <v>360</v>
      </c>
      <c r="F328" s="839" t="s">
        <v>1161</v>
      </c>
      <c r="G328" s="839" t="s">
        <v>174</v>
      </c>
    </row>
    <row r="329" spans="1:7" ht="13.5" customHeight="1" x14ac:dyDescent="0.35">
      <c r="A329" s="838">
        <v>44700</v>
      </c>
      <c r="B329" s="839" t="s">
        <v>89</v>
      </c>
      <c r="C329" s="840" t="s">
        <v>1282</v>
      </c>
      <c r="D329" s="839" t="s">
        <v>160</v>
      </c>
      <c r="E329" s="841">
        <v>36.74</v>
      </c>
      <c r="F329" s="839" t="s">
        <v>1718</v>
      </c>
      <c r="G329" s="839" t="s">
        <v>89</v>
      </c>
    </row>
    <row r="330" spans="1:7" ht="13.5" customHeight="1" x14ac:dyDescent="0.35">
      <c r="A330" s="838">
        <v>44700</v>
      </c>
      <c r="B330" s="839" t="s">
        <v>92</v>
      </c>
      <c r="C330" s="840" t="s">
        <v>1282</v>
      </c>
      <c r="D330" s="839" t="s">
        <v>162</v>
      </c>
      <c r="E330" s="841">
        <v>114.3</v>
      </c>
      <c r="F330" s="839" t="s">
        <v>93</v>
      </c>
      <c r="G330" s="839" t="s">
        <v>181</v>
      </c>
    </row>
    <row r="331" spans="1:7" ht="13.5" customHeight="1" x14ac:dyDescent="0.35">
      <c r="A331" s="838">
        <v>44698</v>
      </c>
      <c r="B331" s="839" t="s">
        <v>1690</v>
      </c>
      <c r="C331" s="840" t="s">
        <v>1279</v>
      </c>
      <c r="D331" s="839" t="s">
        <v>160</v>
      </c>
      <c r="E331" s="841">
        <v>77.55</v>
      </c>
      <c r="F331" s="839" t="s">
        <v>1719</v>
      </c>
      <c r="G331" s="839" t="s">
        <v>175</v>
      </c>
    </row>
    <row r="332" spans="1:7" ht="13.5" customHeight="1" x14ac:dyDescent="0.35">
      <c r="A332" s="838">
        <v>44698</v>
      </c>
      <c r="B332" s="839" t="s">
        <v>1690</v>
      </c>
      <c r="C332" s="840" t="s">
        <v>1279</v>
      </c>
      <c r="D332" s="839" t="s">
        <v>160</v>
      </c>
      <c r="E332" s="841">
        <v>51.8</v>
      </c>
      <c r="F332" s="839" t="s">
        <v>1719</v>
      </c>
      <c r="G332" s="839" t="s">
        <v>175</v>
      </c>
    </row>
    <row r="333" spans="1:7" ht="13.5" customHeight="1" x14ac:dyDescent="0.35">
      <c r="A333" s="838">
        <v>44697</v>
      </c>
      <c r="B333" s="839" t="s">
        <v>1720</v>
      </c>
      <c r="C333" s="840" t="s">
        <v>1274</v>
      </c>
      <c r="D333" s="839" t="s">
        <v>159</v>
      </c>
      <c r="E333" s="841">
        <v>75</v>
      </c>
      <c r="F333" s="839" t="s">
        <v>1467</v>
      </c>
      <c r="G333" s="839" t="s">
        <v>174</v>
      </c>
    </row>
    <row r="334" spans="1:7" ht="13.5" customHeight="1" x14ac:dyDescent="0.35">
      <c r="A334" s="838">
        <v>44692</v>
      </c>
      <c r="B334" s="839" t="s">
        <v>1721</v>
      </c>
      <c r="C334" s="840" t="s">
        <v>1274</v>
      </c>
      <c r="D334" s="839" t="s">
        <v>162</v>
      </c>
      <c r="E334" s="841">
        <v>85</v>
      </c>
      <c r="F334" s="839" t="s">
        <v>1722</v>
      </c>
      <c r="G334" s="839" t="s">
        <v>175</v>
      </c>
    </row>
    <row r="335" spans="1:7" ht="13.5" customHeight="1" x14ac:dyDescent="0.35">
      <c r="A335" s="838">
        <v>44692</v>
      </c>
      <c r="B335" s="839" t="s">
        <v>1723</v>
      </c>
      <c r="C335" s="840" t="s">
        <v>1284</v>
      </c>
      <c r="D335" s="839" t="s">
        <v>160</v>
      </c>
      <c r="E335" s="841">
        <v>21</v>
      </c>
      <c r="F335" s="839" t="s">
        <v>1381</v>
      </c>
      <c r="G335" s="839" t="s">
        <v>174</v>
      </c>
    </row>
    <row r="336" spans="1:7" ht="13.5" customHeight="1" x14ac:dyDescent="0.35">
      <c r="A336" s="838">
        <v>44692</v>
      </c>
      <c r="B336" s="839" t="s">
        <v>1724</v>
      </c>
      <c r="C336" s="840" t="s">
        <v>1279</v>
      </c>
      <c r="D336" s="839" t="s">
        <v>159</v>
      </c>
      <c r="E336" s="841">
        <v>75</v>
      </c>
      <c r="F336" s="839" t="s">
        <v>360</v>
      </c>
      <c r="G336" s="839" t="s">
        <v>175</v>
      </c>
    </row>
    <row r="337" spans="1:7" ht="13.5" customHeight="1" x14ac:dyDescent="0.35">
      <c r="A337" s="838">
        <v>44692</v>
      </c>
      <c r="B337" s="839" t="s">
        <v>1724</v>
      </c>
      <c r="C337" s="840" t="s">
        <v>1279</v>
      </c>
      <c r="D337" s="839" t="s">
        <v>159</v>
      </c>
      <c r="E337" s="841">
        <v>75</v>
      </c>
      <c r="F337" s="839" t="s">
        <v>360</v>
      </c>
      <c r="G337" s="839" t="s">
        <v>175</v>
      </c>
    </row>
    <row r="338" spans="1:7" ht="13.5" customHeight="1" x14ac:dyDescent="0.35">
      <c r="A338" s="838">
        <v>44692</v>
      </c>
      <c r="B338" s="839" t="s">
        <v>1724</v>
      </c>
      <c r="C338" s="840" t="s">
        <v>1279</v>
      </c>
      <c r="D338" s="839" t="s">
        <v>159</v>
      </c>
      <c r="E338" s="841">
        <v>75</v>
      </c>
      <c r="F338" s="839" t="s">
        <v>360</v>
      </c>
      <c r="G338" s="839" t="s">
        <v>175</v>
      </c>
    </row>
    <row r="339" spans="1:7" ht="13.5" customHeight="1" x14ac:dyDescent="0.35">
      <c r="A339" s="838">
        <v>44692</v>
      </c>
      <c r="B339" s="839" t="s">
        <v>1525</v>
      </c>
      <c r="C339" s="840" t="s">
        <v>28</v>
      </c>
      <c r="D339" s="839" t="s">
        <v>162</v>
      </c>
      <c r="E339" s="841">
        <v>200</v>
      </c>
      <c r="F339" s="839" t="s">
        <v>1025</v>
      </c>
      <c r="G339" s="839" t="s">
        <v>1311</v>
      </c>
    </row>
    <row r="340" spans="1:7" ht="13.5" customHeight="1" x14ac:dyDescent="0.35">
      <c r="A340" s="838">
        <v>44692</v>
      </c>
      <c r="B340" s="839" t="s">
        <v>1725</v>
      </c>
      <c r="C340" s="840" t="s">
        <v>28</v>
      </c>
      <c r="D340" s="839" t="s">
        <v>162</v>
      </c>
      <c r="E340" s="841">
        <v>200</v>
      </c>
      <c r="F340" s="839" t="s">
        <v>1025</v>
      </c>
      <c r="G340" s="839" t="s">
        <v>1311</v>
      </c>
    </row>
    <row r="341" spans="1:7" ht="13.5" customHeight="1" x14ac:dyDescent="0.35">
      <c r="A341" s="838">
        <v>44690</v>
      </c>
      <c r="B341" s="839" t="s">
        <v>1726</v>
      </c>
      <c r="C341" s="840" t="s">
        <v>1274</v>
      </c>
      <c r="D341" s="839" t="s">
        <v>162</v>
      </c>
      <c r="E341" s="841">
        <v>945</v>
      </c>
      <c r="F341" s="839" t="s">
        <v>1727</v>
      </c>
      <c r="G341" s="839" t="s">
        <v>175</v>
      </c>
    </row>
    <row r="342" spans="1:7" ht="13.5" customHeight="1" x14ac:dyDescent="0.35">
      <c r="A342" s="838">
        <v>44689</v>
      </c>
      <c r="B342" s="839" t="s">
        <v>1728</v>
      </c>
      <c r="C342" s="840" t="s">
        <v>1274</v>
      </c>
      <c r="D342" s="839" t="s">
        <v>159</v>
      </c>
      <c r="E342" s="841">
        <v>-775</v>
      </c>
      <c r="F342" s="839" t="s">
        <v>271</v>
      </c>
      <c r="G342" s="839" t="s">
        <v>174</v>
      </c>
    </row>
    <row r="343" spans="1:7" ht="13.5" customHeight="1" x14ac:dyDescent="0.35">
      <c r="A343" s="838">
        <v>44689</v>
      </c>
      <c r="B343" s="839" t="s">
        <v>1729</v>
      </c>
      <c r="C343" s="840" t="s">
        <v>1274</v>
      </c>
      <c r="D343" s="839" t="s">
        <v>160</v>
      </c>
      <c r="E343" s="841">
        <v>625</v>
      </c>
      <c r="F343" s="839" t="s">
        <v>288</v>
      </c>
      <c r="G343" s="839" t="s">
        <v>174</v>
      </c>
    </row>
    <row r="344" spans="1:7" ht="13.5" customHeight="1" x14ac:dyDescent="0.35">
      <c r="A344" s="838">
        <v>44689</v>
      </c>
      <c r="B344" s="839" t="s">
        <v>1730</v>
      </c>
      <c r="C344" s="840" t="s">
        <v>1284</v>
      </c>
      <c r="D344" s="839" t="s">
        <v>160</v>
      </c>
      <c r="E344" s="841">
        <v>17</v>
      </c>
      <c r="F344" s="839" t="s">
        <v>1381</v>
      </c>
      <c r="G344" s="839" t="s">
        <v>174</v>
      </c>
    </row>
    <row r="345" spans="1:7" ht="13.5" customHeight="1" x14ac:dyDescent="0.35">
      <c r="A345" s="838">
        <v>44687</v>
      </c>
      <c r="B345" s="839" t="s">
        <v>1731</v>
      </c>
      <c r="C345" s="840" t="s">
        <v>1274</v>
      </c>
      <c r="D345" s="839" t="s">
        <v>159</v>
      </c>
      <c r="E345" s="841">
        <v>150</v>
      </c>
      <c r="F345" s="839" t="s">
        <v>1732</v>
      </c>
      <c r="G345" s="839" t="s">
        <v>174</v>
      </c>
    </row>
    <row r="346" spans="1:7" ht="13.5" customHeight="1" x14ac:dyDescent="0.35">
      <c r="A346" s="838">
        <v>44687</v>
      </c>
      <c r="B346" s="839" t="s">
        <v>1733</v>
      </c>
      <c r="C346" s="840" t="s">
        <v>1280</v>
      </c>
      <c r="D346" s="839" t="s">
        <v>159</v>
      </c>
      <c r="E346" s="841">
        <v>150</v>
      </c>
      <c r="F346" s="839" t="s">
        <v>734</v>
      </c>
      <c r="G346" s="839" t="s">
        <v>174</v>
      </c>
    </row>
    <row r="347" spans="1:7" ht="13.5" customHeight="1" x14ac:dyDescent="0.35">
      <c r="A347" s="838">
        <v>44682</v>
      </c>
      <c r="B347" s="839" t="s">
        <v>1200</v>
      </c>
      <c r="C347" s="840" t="s">
        <v>1274</v>
      </c>
      <c r="D347" s="839" t="s">
        <v>159</v>
      </c>
      <c r="E347" s="841">
        <v>35</v>
      </c>
      <c r="F347" s="839" t="s">
        <v>279</v>
      </c>
      <c r="G347" s="839" t="s">
        <v>175</v>
      </c>
    </row>
    <row r="348" spans="1:7" ht="13.5" customHeight="1" x14ac:dyDescent="0.35">
      <c r="A348" s="838">
        <v>44682</v>
      </c>
      <c r="B348" s="839" t="s">
        <v>1077</v>
      </c>
      <c r="C348" s="840" t="s">
        <v>1276</v>
      </c>
      <c r="D348" s="839" t="s">
        <v>161</v>
      </c>
      <c r="E348" s="841">
        <v>250</v>
      </c>
      <c r="F348" s="839" t="s">
        <v>1078</v>
      </c>
      <c r="G348" s="839" t="s">
        <v>175</v>
      </c>
    </row>
    <row r="349" spans="1:7" ht="13.5" customHeight="1" x14ac:dyDescent="0.35">
      <c r="A349" s="838">
        <v>44682</v>
      </c>
      <c r="B349" s="839" t="s">
        <v>292</v>
      </c>
      <c r="C349" s="840" t="s">
        <v>1278</v>
      </c>
      <c r="D349" s="839" t="s">
        <v>161</v>
      </c>
      <c r="E349" s="841">
        <v>60</v>
      </c>
      <c r="F349" s="839" t="s">
        <v>292</v>
      </c>
      <c r="G349" s="839" t="s">
        <v>175</v>
      </c>
    </row>
    <row r="350" spans="1:7" ht="13.5" customHeight="1" x14ac:dyDescent="0.35">
      <c r="A350" s="838"/>
      <c r="B350" s="839"/>
      <c r="C350" s="840"/>
      <c r="D350" s="839"/>
      <c r="E350" s="841"/>
      <c r="F350" s="839"/>
      <c r="G350" s="839"/>
    </row>
    <row r="351" spans="1:7" ht="13.5" customHeight="1" x14ac:dyDescent="0.35">
      <c r="A351" s="838">
        <v>44680</v>
      </c>
      <c r="B351" s="839" t="s">
        <v>1724</v>
      </c>
      <c r="C351" s="840" t="s">
        <v>1279</v>
      </c>
      <c r="D351" s="839" t="s">
        <v>159</v>
      </c>
      <c r="E351" s="841">
        <v>75</v>
      </c>
      <c r="F351" s="839" t="s">
        <v>1734</v>
      </c>
      <c r="G351" s="839" t="s">
        <v>175</v>
      </c>
    </row>
    <row r="352" spans="1:7" ht="13.5" customHeight="1" x14ac:dyDescent="0.35">
      <c r="A352" s="838">
        <v>44680</v>
      </c>
      <c r="B352" s="839" t="s">
        <v>1724</v>
      </c>
      <c r="C352" s="840" t="s">
        <v>1279</v>
      </c>
      <c r="D352" s="839" t="s">
        <v>159</v>
      </c>
      <c r="E352" s="841">
        <v>75</v>
      </c>
      <c r="F352" s="839" t="s">
        <v>1734</v>
      </c>
      <c r="G352" s="839" t="s">
        <v>175</v>
      </c>
    </row>
    <row r="353" spans="1:7" ht="13.5" customHeight="1" x14ac:dyDescent="0.35">
      <c r="A353" s="838">
        <v>44679</v>
      </c>
      <c r="B353" s="839" t="s">
        <v>1735</v>
      </c>
      <c r="C353" s="840" t="s">
        <v>1279</v>
      </c>
      <c r="D353" s="839" t="s">
        <v>159</v>
      </c>
      <c r="E353" s="841">
        <v>225</v>
      </c>
      <c r="F353" s="839" t="s">
        <v>654</v>
      </c>
      <c r="G353" s="839" t="s">
        <v>174</v>
      </c>
    </row>
    <row r="354" spans="1:7" ht="13.5" customHeight="1" x14ac:dyDescent="0.35">
      <c r="A354" s="838">
        <v>44679</v>
      </c>
      <c r="B354" s="839" t="s">
        <v>1736</v>
      </c>
      <c r="C354" s="840" t="s">
        <v>28</v>
      </c>
      <c r="D354" s="839" t="s">
        <v>159</v>
      </c>
      <c r="E354" s="841">
        <v>395</v>
      </c>
      <c r="F354" s="839" t="s">
        <v>1498</v>
      </c>
      <c r="G354" s="839" t="s">
        <v>174</v>
      </c>
    </row>
    <row r="355" spans="1:7" ht="13.5" customHeight="1" x14ac:dyDescent="0.35">
      <c r="A355" s="838">
        <v>44679</v>
      </c>
      <c r="B355" s="839" t="s">
        <v>1466</v>
      </c>
      <c r="C355" s="840" t="s">
        <v>1274</v>
      </c>
      <c r="D355" s="839" t="s">
        <v>166</v>
      </c>
      <c r="E355" s="841">
        <v>50</v>
      </c>
      <c r="F355" s="839" t="s">
        <v>1428</v>
      </c>
      <c r="G355" s="839" t="s">
        <v>175</v>
      </c>
    </row>
    <row r="356" spans="1:7" ht="13.5" customHeight="1" x14ac:dyDescent="0.35">
      <c r="A356" s="838">
        <v>44679</v>
      </c>
      <c r="B356" s="839" t="s">
        <v>1466</v>
      </c>
      <c r="C356" s="840" t="s">
        <v>1277</v>
      </c>
      <c r="D356" s="839" t="s">
        <v>166</v>
      </c>
      <c r="E356" s="841">
        <v>-50</v>
      </c>
      <c r="F356" s="839" t="s">
        <v>1428</v>
      </c>
      <c r="G356" s="839" t="s">
        <v>175</v>
      </c>
    </row>
    <row r="357" spans="1:7" ht="13.5" customHeight="1" x14ac:dyDescent="0.35">
      <c r="A357" s="838">
        <v>44679</v>
      </c>
      <c r="B357" s="839" t="s">
        <v>1690</v>
      </c>
      <c r="C357" s="840" t="s">
        <v>1279</v>
      </c>
      <c r="D357" s="839" t="s">
        <v>160</v>
      </c>
      <c r="E357" s="841">
        <v>51.8</v>
      </c>
      <c r="F357" s="839" t="s">
        <v>1734</v>
      </c>
      <c r="G357" s="839" t="s">
        <v>175</v>
      </c>
    </row>
    <row r="358" spans="1:7" ht="13.5" customHeight="1" x14ac:dyDescent="0.35">
      <c r="A358" s="838">
        <v>44678</v>
      </c>
      <c r="B358" s="839" t="s">
        <v>1724</v>
      </c>
      <c r="C358" s="840" t="s">
        <v>1279</v>
      </c>
      <c r="D358" s="839" t="s">
        <v>159</v>
      </c>
      <c r="E358" s="841">
        <v>50</v>
      </c>
      <c r="F358" s="839" t="s">
        <v>1734</v>
      </c>
      <c r="G358" s="839" t="s">
        <v>175</v>
      </c>
    </row>
    <row r="359" spans="1:7" ht="13.5" customHeight="1" x14ac:dyDescent="0.35">
      <c r="A359" s="838">
        <v>44678</v>
      </c>
      <c r="B359" s="839" t="s">
        <v>1737</v>
      </c>
      <c r="C359" s="840" t="s">
        <v>1274</v>
      </c>
      <c r="D359" s="839" t="s">
        <v>159</v>
      </c>
      <c r="E359" s="841">
        <v>50</v>
      </c>
      <c r="F359" s="839" t="s">
        <v>243</v>
      </c>
      <c r="G359" s="839" t="s">
        <v>174</v>
      </c>
    </row>
    <row r="360" spans="1:7" ht="13.5" customHeight="1" x14ac:dyDescent="0.35">
      <c r="A360" s="838">
        <v>44678</v>
      </c>
      <c r="B360" s="839" t="s">
        <v>1738</v>
      </c>
      <c r="C360" s="840" t="s">
        <v>1274</v>
      </c>
      <c r="D360" s="839" t="s">
        <v>159</v>
      </c>
      <c r="E360" s="841">
        <v>12</v>
      </c>
      <c r="F360" s="839" t="s">
        <v>324</v>
      </c>
      <c r="G360" s="839" t="s">
        <v>175</v>
      </c>
    </row>
    <row r="361" spans="1:7" ht="13.5" customHeight="1" x14ac:dyDescent="0.35">
      <c r="A361" s="838">
        <v>44678</v>
      </c>
      <c r="B361" s="839" t="s">
        <v>1591</v>
      </c>
      <c r="C361" s="840" t="s">
        <v>28</v>
      </c>
      <c r="D361" s="839" t="s">
        <v>160</v>
      </c>
      <c r="E361" s="841">
        <v>30</v>
      </c>
      <c r="F361" s="839" t="s">
        <v>1739</v>
      </c>
      <c r="G361" s="839" t="s">
        <v>174</v>
      </c>
    </row>
    <row r="362" spans="1:7" ht="13.5" customHeight="1" x14ac:dyDescent="0.35">
      <c r="A362" s="838">
        <v>44678</v>
      </c>
      <c r="B362" s="839" t="s">
        <v>1740</v>
      </c>
      <c r="C362" s="840" t="s">
        <v>1279</v>
      </c>
      <c r="D362" s="839" t="s">
        <v>159</v>
      </c>
      <c r="E362" s="841">
        <v>225</v>
      </c>
      <c r="F362" s="839" t="s">
        <v>654</v>
      </c>
      <c r="G362" s="839" t="s">
        <v>174</v>
      </c>
    </row>
    <row r="363" spans="1:7" ht="13.5" customHeight="1" x14ac:dyDescent="0.35">
      <c r="A363" s="838">
        <v>44676</v>
      </c>
      <c r="B363" s="839" t="s">
        <v>1741</v>
      </c>
      <c r="C363" s="840" t="s">
        <v>1284</v>
      </c>
      <c r="D363" s="839" t="s">
        <v>159</v>
      </c>
      <c r="E363" s="841">
        <v>2</v>
      </c>
      <c r="F363" s="839" t="s">
        <v>1254</v>
      </c>
      <c r="G363" s="839" t="s">
        <v>174</v>
      </c>
    </row>
    <row r="364" spans="1:7" ht="13.5" customHeight="1" x14ac:dyDescent="0.35">
      <c r="A364" s="838">
        <v>44675</v>
      </c>
      <c r="B364" s="839" t="s">
        <v>1742</v>
      </c>
      <c r="C364" s="840" t="s">
        <v>1280</v>
      </c>
      <c r="D364" s="839" t="s">
        <v>159</v>
      </c>
      <c r="E364" s="841">
        <v>500</v>
      </c>
      <c r="F364" s="839" t="s">
        <v>734</v>
      </c>
      <c r="G364" s="839" t="s">
        <v>174</v>
      </c>
    </row>
    <row r="365" spans="1:7" ht="13.5" customHeight="1" x14ac:dyDescent="0.35">
      <c r="A365" s="838">
        <v>44675</v>
      </c>
      <c r="B365" s="839" t="s">
        <v>346</v>
      </c>
      <c r="C365" s="840" t="s">
        <v>1274</v>
      </c>
      <c r="D365" s="839" t="s">
        <v>159</v>
      </c>
      <c r="E365" s="841">
        <v>75</v>
      </c>
      <c r="F365" s="839" t="s">
        <v>1467</v>
      </c>
      <c r="G365" s="839" t="s">
        <v>175</v>
      </c>
    </row>
    <row r="366" spans="1:7" ht="13.5" customHeight="1" x14ac:dyDescent="0.35">
      <c r="A366" s="838">
        <v>44674</v>
      </c>
      <c r="B366" s="839" t="s">
        <v>1690</v>
      </c>
      <c r="C366" s="840" t="s">
        <v>1283</v>
      </c>
      <c r="D366" s="839" t="s">
        <v>160</v>
      </c>
      <c r="E366" s="841">
        <v>56</v>
      </c>
      <c r="F366" s="839" t="s">
        <v>1743</v>
      </c>
      <c r="G366" s="839" t="s">
        <v>175</v>
      </c>
    </row>
    <row r="367" spans="1:7" ht="13.5" customHeight="1" x14ac:dyDescent="0.35">
      <c r="A367" s="838">
        <v>44674</v>
      </c>
      <c r="B367" s="839" t="s">
        <v>89</v>
      </c>
      <c r="C367" s="840" t="s">
        <v>1282</v>
      </c>
      <c r="D367" s="839" t="s">
        <v>160</v>
      </c>
      <c r="E367" s="841">
        <v>41.7</v>
      </c>
      <c r="F367" s="839" t="s">
        <v>1026</v>
      </c>
      <c r="G367" s="839" t="s">
        <v>89</v>
      </c>
    </row>
    <row r="368" spans="1:7" ht="13.5" customHeight="1" x14ac:dyDescent="0.35">
      <c r="A368" s="838">
        <v>44674</v>
      </c>
      <c r="B368" s="839" t="s">
        <v>1744</v>
      </c>
      <c r="C368" s="840" t="s">
        <v>1274</v>
      </c>
      <c r="D368" s="839" t="s">
        <v>159</v>
      </c>
      <c r="E368" s="841">
        <v>125</v>
      </c>
      <c r="F368" s="839" t="s">
        <v>230</v>
      </c>
      <c r="G368" s="839" t="s">
        <v>174</v>
      </c>
    </row>
    <row r="369" spans="1:7" ht="13.5" customHeight="1" x14ac:dyDescent="0.35">
      <c r="A369" s="838">
        <v>44673</v>
      </c>
      <c r="B369" s="839" t="s">
        <v>1745</v>
      </c>
      <c r="C369" s="840" t="s">
        <v>1274</v>
      </c>
      <c r="D369" s="839" t="s">
        <v>160</v>
      </c>
      <c r="E369" s="841">
        <v>175</v>
      </c>
      <c r="F369" s="839" t="s">
        <v>230</v>
      </c>
      <c r="G369" s="839" t="s">
        <v>174</v>
      </c>
    </row>
    <row r="370" spans="1:7" ht="13.5" customHeight="1" x14ac:dyDescent="0.35">
      <c r="A370" s="838">
        <v>44672</v>
      </c>
      <c r="B370" s="839" t="s">
        <v>1721</v>
      </c>
      <c r="C370" s="840" t="s">
        <v>1274</v>
      </c>
      <c r="D370" s="839" t="s">
        <v>159</v>
      </c>
      <c r="E370" s="841">
        <v>550</v>
      </c>
      <c r="F370" s="839" t="s">
        <v>467</v>
      </c>
      <c r="G370" s="839" t="s">
        <v>174</v>
      </c>
    </row>
    <row r="371" spans="1:7" ht="13.5" customHeight="1" x14ac:dyDescent="0.35">
      <c r="A371" s="838">
        <v>44671</v>
      </c>
      <c r="B371" s="839" t="s">
        <v>1746</v>
      </c>
      <c r="C371" s="840" t="s">
        <v>28</v>
      </c>
      <c r="D371" s="839" t="s">
        <v>159</v>
      </c>
      <c r="E371" s="841">
        <v>250</v>
      </c>
      <c r="F371" s="839" t="s">
        <v>1180</v>
      </c>
      <c r="G371" s="839" t="s">
        <v>174</v>
      </c>
    </row>
    <row r="372" spans="1:7" ht="13.5" customHeight="1" x14ac:dyDescent="0.35">
      <c r="A372" s="838">
        <v>44671</v>
      </c>
      <c r="B372" s="839" t="s">
        <v>1747</v>
      </c>
      <c r="C372" s="840" t="s">
        <v>1274</v>
      </c>
      <c r="D372" s="839" t="s">
        <v>159</v>
      </c>
      <c r="E372" s="841">
        <v>125</v>
      </c>
      <c r="F372" s="839" t="s">
        <v>230</v>
      </c>
      <c r="G372" s="839" t="s">
        <v>174</v>
      </c>
    </row>
    <row r="373" spans="1:7" ht="13.5" customHeight="1" x14ac:dyDescent="0.35">
      <c r="A373" s="838">
        <v>44670</v>
      </c>
      <c r="B373" s="839" t="s">
        <v>1748</v>
      </c>
      <c r="C373" s="840" t="s">
        <v>1274</v>
      </c>
      <c r="D373" s="839" t="s">
        <v>159</v>
      </c>
      <c r="E373" s="841">
        <v>75</v>
      </c>
      <c r="F373" s="839" t="s">
        <v>501</v>
      </c>
      <c r="G373" s="839" t="s">
        <v>174</v>
      </c>
    </row>
    <row r="374" spans="1:7" ht="13.5" customHeight="1" x14ac:dyDescent="0.35">
      <c r="A374" s="838">
        <v>44669</v>
      </c>
      <c r="B374" s="839" t="s">
        <v>1749</v>
      </c>
      <c r="C374" s="840" t="s">
        <v>1274</v>
      </c>
      <c r="D374" s="839" t="s">
        <v>159</v>
      </c>
      <c r="E374" s="841">
        <v>125</v>
      </c>
      <c r="F374" s="839" t="s">
        <v>230</v>
      </c>
      <c r="G374" s="839" t="s">
        <v>174</v>
      </c>
    </row>
    <row r="375" spans="1:7" ht="13.5" customHeight="1" x14ac:dyDescent="0.35">
      <c r="A375" s="838">
        <v>44669</v>
      </c>
      <c r="B375" s="839" t="s">
        <v>1750</v>
      </c>
      <c r="C375" s="840" t="s">
        <v>1280</v>
      </c>
      <c r="D375" s="839" t="s">
        <v>159</v>
      </c>
      <c r="E375" s="841">
        <v>100</v>
      </c>
      <c r="F375" s="839" t="s">
        <v>734</v>
      </c>
      <c r="G375" s="839" t="s">
        <v>174</v>
      </c>
    </row>
    <row r="376" spans="1:7" ht="13.5" customHeight="1" x14ac:dyDescent="0.35">
      <c r="A376" s="838">
        <v>44669</v>
      </c>
      <c r="B376" s="839" t="s">
        <v>1751</v>
      </c>
      <c r="C376" s="840" t="s">
        <v>1284</v>
      </c>
      <c r="D376" s="839" t="s">
        <v>160</v>
      </c>
      <c r="E376" s="841">
        <v>17</v>
      </c>
      <c r="F376" s="839" t="s">
        <v>1648</v>
      </c>
      <c r="G376" s="839" t="s">
        <v>174</v>
      </c>
    </row>
    <row r="377" spans="1:7" ht="13.5" customHeight="1" x14ac:dyDescent="0.35">
      <c r="A377" s="838">
        <v>44665</v>
      </c>
      <c r="B377" s="839" t="s">
        <v>1502</v>
      </c>
      <c r="C377" s="840" t="s">
        <v>1274</v>
      </c>
      <c r="D377" s="839" t="s">
        <v>159</v>
      </c>
      <c r="E377" s="841">
        <v>125</v>
      </c>
      <c r="F377" s="839" t="s">
        <v>230</v>
      </c>
      <c r="G377" s="839" t="s">
        <v>179</v>
      </c>
    </row>
    <row r="378" spans="1:7" ht="13.5" customHeight="1" x14ac:dyDescent="0.35">
      <c r="A378" s="838">
        <v>44664</v>
      </c>
      <c r="B378" s="839" t="s">
        <v>1724</v>
      </c>
      <c r="C378" s="840" t="s">
        <v>1279</v>
      </c>
      <c r="D378" s="839" t="s">
        <v>159</v>
      </c>
      <c r="E378" s="841">
        <v>95</v>
      </c>
      <c r="F378" s="839" t="s">
        <v>1752</v>
      </c>
      <c r="G378" s="839" t="s">
        <v>175</v>
      </c>
    </row>
    <row r="379" spans="1:7" ht="13.5" customHeight="1" x14ac:dyDescent="0.35">
      <c r="A379" s="838">
        <v>44664</v>
      </c>
      <c r="B379" s="839" t="s">
        <v>1753</v>
      </c>
      <c r="C379" s="840" t="s">
        <v>1274</v>
      </c>
      <c r="D379" s="839" t="s">
        <v>159</v>
      </c>
      <c r="E379" s="841">
        <v>125</v>
      </c>
      <c r="F379" s="839" t="s">
        <v>230</v>
      </c>
      <c r="G379" s="839" t="s">
        <v>174</v>
      </c>
    </row>
    <row r="380" spans="1:7" ht="13.5" customHeight="1" x14ac:dyDescent="0.35">
      <c r="A380" s="838">
        <v>44664</v>
      </c>
      <c r="B380" s="839" t="s">
        <v>1754</v>
      </c>
      <c r="C380" s="840" t="s">
        <v>1274</v>
      </c>
      <c r="D380" s="839" t="s">
        <v>159</v>
      </c>
      <c r="E380" s="841">
        <v>175</v>
      </c>
      <c r="F380" s="839" t="s">
        <v>230</v>
      </c>
      <c r="G380" s="839" t="s">
        <v>179</v>
      </c>
    </row>
    <row r="381" spans="1:7" ht="13.5" customHeight="1" x14ac:dyDescent="0.35">
      <c r="A381" s="838">
        <v>44663</v>
      </c>
      <c r="B381" s="839" t="s">
        <v>1755</v>
      </c>
      <c r="C381" s="840" t="s">
        <v>1274</v>
      </c>
      <c r="D381" s="839" t="s">
        <v>160</v>
      </c>
      <c r="E381" s="841">
        <v>152.94999999999999</v>
      </c>
      <c r="F381" s="839" t="s">
        <v>1756</v>
      </c>
      <c r="G381" s="839" t="s">
        <v>175</v>
      </c>
    </row>
    <row r="382" spans="1:7" ht="13.5" customHeight="1" x14ac:dyDescent="0.35">
      <c r="A382" s="838">
        <v>44662</v>
      </c>
      <c r="B382" s="839" t="s">
        <v>1728</v>
      </c>
      <c r="C382" s="840" t="s">
        <v>1274</v>
      </c>
      <c r="D382" s="839" t="s">
        <v>159</v>
      </c>
      <c r="E382" s="841">
        <v>775</v>
      </c>
      <c r="F382" s="839" t="s">
        <v>271</v>
      </c>
      <c r="G382" s="839" t="s">
        <v>174</v>
      </c>
    </row>
    <row r="383" spans="1:7" ht="13.5" customHeight="1" x14ac:dyDescent="0.35">
      <c r="A383" s="838">
        <v>44658</v>
      </c>
      <c r="B383" s="839" t="s">
        <v>400</v>
      </c>
      <c r="C383" s="840" t="s">
        <v>1274</v>
      </c>
      <c r="D383" s="839" t="s">
        <v>159</v>
      </c>
      <c r="E383" s="841">
        <v>125</v>
      </c>
      <c r="F383" s="839" t="s">
        <v>230</v>
      </c>
      <c r="G383" s="839" t="s">
        <v>179</v>
      </c>
    </row>
    <row r="384" spans="1:7" ht="13.5" customHeight="1" x14ac:dyDescent="0.35">
      <c r="A384" s="838">
        <v>44658</v>
      </c>
      <c r="B384" s="839" t="s">
        <v>1755</v>
      </c>
      <c r="C384" s="840" t="s">
        <v>1274</v>
      </c>
      <c r="D384" s="839" t="s">
        <v>160</v>
      </c>
      <c r="E384" s="841">
        <v>1500</v>
      </c>
      <c r="F384" s="839" t="s">
        <v>1757</v>
      </c>
      <c r="G384" s="839" t="s">
        <v>174</v>
      </c>
    </row>
    <row r="385" spans="1:7" ht="13.5" customHeight="1" x14ac:dyDescent="0.35">
      <c r="A385" s="838">
        <v>44656</v>
      </c>
      <c r="B385" s="839" t="s">
        <v>1758</v>
      </c>
      <c r="C385" s="840" t="s">
        <v>1284</v>
      </c>
      <c r="D385" s="839" t="s">
        <v>160</v>
      </c>
      <c r="E385" s="841">
        <v>21</v>
      </c>
      <c r="F385" s="839" t="s">
        <v>1648</v>
      </c>
      <c r="G385" s="839" t="s">
        <v>174</v>
      </c>
    </row>
    <row r="386" spans="1:7" ht="13.5" customHeight="1" x14ac:dyDescent="0.35">
      <c r="A386" s="838">
        <v>44654</v>
      </c>
      <c r="B386" s="839" t="s">
        <v>1009</v>
      </c>
      <c r="C386" s="840" t="s">
        <v>1276</v>
      </c>
      <c r="D386" s="839" t="s">
        <v>162</v>
      </c>
      <c r="E386" s="841">
        <v>291.5</v>
      </c>
      <c r="F386" s="839" t="s">
        <v>1759</v>
      </c>
      <c r="G386" s="839" t="s">
        <v>175</v>
      </c>
    </row>
    <row r="387" spans="1:7" ht="13.5" customHeight="1" x14ac:dyDescent="0.35">
      <c r="A387" s="838">
        <v>44653</v>
      </c>
      <c r="B387" s="839" t="s">
        <v>1760</v>
      </c>
      <c r="C387" s="840" t="s">
        <v>1274</v>
      </c>
      <c r="D387" s="839" t="s">
        <v>159</v>
      </c>
      <c r="E387" s="841">
        <v>175</v>
      </c>
      <c r="F387" s="839" t="s">
        <v>230</v>
      </c>
      <c r="G387" s="839" t="s">
        <v>174</v>
      </c>
    </row>
    <row r="388" spans="1:7" ht="13.5" customHeight="1" x14ac:dyDescent="0.35">
      <c r="A388" s="838">
        <v>44653</v>
      </c>
      <c r="B388" s="839" t="s">
        <v>89</v>
      </c>
      <c r="C388" s="840" t="s">
        <v>1282</v>
      </c>
      <c r="D388" s="839" t="s">
        <v>160</v>
      </c>
      <c r="E388" s="841">
        <v>185.82</v>
      </c>
      <c r="F388" s="839" t="s">
        <v>1026</v>
      </c>
      <c r="G388" s="839" t="s">
        <v>89</v>
      </c>
    </row>
    <row r="389" spans="1:7" ht="13.5" customHeight="1" x14ac:dyDescent="0.35">
      <c r="A389" s="838">
        <v>44652</v>
      </c>
      <c r="B389" s="839" t="s">
        <v>1077</v>
      </c>
      <c r="C389" s="840" t="s">
        <v>1276</v>
      </c>
      <c r="D389" s="839" t="s">
        <v>161</v>
      </c>
      <c r="E389" s="841">
        <v>250</v>
      </c>
      <c r="F389" s="839" t="s">
        <v>1078</v>
      </c>
      <c r="G389" s="839" t="s">
        <v>175</v>
      </c>
    </row>
    <row r="390" spans="1:7" ht="13.5" customHeight="1" x14ac:dyDescent="0.35">
      <c r="A390" s="838">
        <v>44652</v>
      </c>
      <c r="B390" s="839" t="s">
        <v>292</v>
      </c>
      <c r="C390" s="840" t="s">
        <v>1278</v>
      </c>
      <c r="D390" s="839" t="s">
        <v>161</v>
      </c>
      <c r="E390" s="841">
        <v>60</v>
      </c>
      <c r="F390" s="839" t="s">
        <v>292</v>
      </c>
      <c r="G390" s="839" t="s">
        <v>175</v>
      </c>
    </row>
    <row r="391" spans="1:7" ht="13.5" customHeight="1" x14ac:dyDescent="0.35">
      <c r="A391" s="838"/>
      <c r="B391" s="839"/>
      <c r="C391" s="840"/>
      <c r="D391" s="839"/>
      <c r="E391" s="841"/>
      <c r="F391" s="839"/>
      <c r="G391" s="839"/>
    </row>
    <row r="392" spans="1:7" ht="13.5" customHeight="1" x14ac:dyDescent="0.35">
      <c r="A392" s="838">
        <v>44651</v>
      </c>
      <c r="B392" s="839" t="s">
        <v>1761</v>
      </c>
      <c r="C392" s="840" t="s">
        <v>1274</v>
      </c>
      <c r="D392" s="839" t="s">
        <v>159</v>
      </c>
      <c r="E392" s="841">
        <v>99</v>
      </c>
      <c r="F392" s="839" t="s">
        <v>230</v>
      </c>
      <c r="G392" s="839" t="s">
        <v>175</v>
      </c>
    </row>
    <row r="393" spans="1:7" ht="13.5" customHeight="1" x14ac:dyDescent="0.35">
      <c r="A393" s="838">
        <v>44650</v>
      </c>
      <c r="B393" s="839" t="s">
        <v>1724</v>
      </c>
      <c r="C393" s="840" t="s">
        <v>1279</v>
      </c>
      <c r="D393" s="839" t="s">
        <v>159</v>
      </c>
      <c r="E393" s="841">
        <v>270</v>
      </c>
      <c r="F393" s="839" t="s">
        <v>1762</v>
      </c>
      <c r="G393" s="839" t="s">
        <v>174</v>
      </c>
    </row>
    <row r="394" spans="1:7" ht="13.5" customHeight="1" x14ac:dyDescent="0.35">
      <c r="A394" s="838">
        <v>44650</v>
      </c>
      <c r="B394" s="839" t="s">
        <v>1763</v>
      </c>
      <c r="C394" s="840" t="s">
        <v>1284</v>
      </c>
      <c r="D394" s="839" t="s">
        <v>159</v>
      </c>
      <c r="E394" s="841">
        <v>7</v>
      </c>
      <c r="F394" s="839" t="s">
        <v>1254</v>
      </c>
      <c r="G394" s="839" t="s">
        <v>175</v>
      </c>
    </row>
    <row r="395" spans="1:7" ht="13.5" customHeight="1" x14ac:dyDescent="0.35">
      <c r="A395" s="838">
        <v>44649</v>
      </c>
      <c r="B395" s="839" t="s">
        <v>1764</v>
      </c>
      <c r="C395" s="840" t="s">
        <v>1274</v>
      </c>
      <c r="D395" s="839" t="s">
        <v>159</v>
      </c>
      <c r="E395" s="841">
        <v>99</v>
      </c>
      <c r="F395" s="839" t="s">
        <v>230</v>
      </c>
      <c r="G395" s="839" t="s">
        <v>179</v>
      </c>
    </row>
    <row r="396" spans="1:7" ht="13.5" customHeight="1" x14ac:dyDescent="0.35">
      <c r="A396" s="838">
        <v>44648</v>
      </c>
      <c r="B396" s="839" t="s">
        <v>1765</v>
      </c>
      <c r="C396" s="840" t="s">
        <v>1274</v>
      </c>
      <c r="D396" s="839" t="s">
        <v>159</v>
      </c>
      <c r="E396" s="841">
        <v>198</v>
      </c>
      <c r="F396" s="839" t="s">
        <v>230</v>
      </c>
      <c r="G396" s="839" t="s">
        <v>174</v>
      </c>
    </row>
    <row r="397" spans="1:7" ht="13.5" customHeight="1" x14ac:dyDescent="0.35">
      <c r="A397" s="838">
        <v>44648</v>
      </c>
      <c r="B397" s="839" t="s">
        <v>1690</v>
      </c>
      <c r="C397" s="840" t="s">
        <v>1279</v>
      </c>
      <c r="D397" s="839" t="s">
        <v>159</v>
      </c>
      <c r="E397" s="841"/>
      <c r="F397" s="839" t="s">
        <v>1696</v>
      </c>
      <c r="G397" s="839" t="s">
        <v>175</v>
      </c>
    </row>
    <row r="398" spans="1:7" ht="13.5" customHeight="1" x14ac:dyDescent="0.35">
      <c r="A398" s="838">
        <v>44646</v>
      </c>
      <c r="B398" s="839" t="s">
        <v>1766</v>
      </c>
      <c r="C398" s="840" t="s">
        <v>1279</v>
      </c>
      <c r="D398" s="839" t="s">
        <v>160</v>
      </c>
      <c r="E398" s="841">
        <v>25</v>
      </c>
      <c r="F398" s="839" t="s">
        <v>753</v>
      </c>
      <c r="G398" s="839" t="s">
        <v>175</v>
      </c>
    </row>
    <row r="399" spans="1:7" ht="13.5" customHeight="1" x14ac:dyDescent="0.35">
      <c r="A399" s="838">
        <v>44646</v>
      </c>
      <c r="B399" s="839" t="s">
        <v>1766</v>
      </c>
      <c r="C399" s="840" t="s">
        <v>1279</v>
      </c>
      <c r="D399" s="839" t="s">
        <v>160</v>
      </c>
      <c r="E399" s="841">
        <v>65</v>
      </c>
      <c r="F399" s="839" t="s">
        <v>621</v>
      </c>
      <c r="G399" s="839" t="s">
        <v>175</v>
      </c>
    </row>
    <row r="400" spans="1:7" ht="13.5" customHeight="1" x14ac:dyDescent="0.35">
      <c r="A400" s="838">
        <v>44645</v>
      </c>
      <c r="B400" s="839" t="s">
        <v>1690</v>
      </c>
      <c r="C400" s="840" t="s">
        <v>1279</v>
      </c>
      <c r="D400" s="839" t="s">
        <v>159</v>
      </c>
      <c r="E400" s="841"/>
      <c r="F400" s="839" t="s">
        <v>1696</v>
      </c>
      <c r="G400" s="839" t="s">
        <v>175</v>
      </c>
    </row>
    <row r="401" spans="1:7" ht="13.5" customHeight="1" x14ac:dyDescent="0.35">
      <c r="A401" s="838">
        <v>44639</v>
      </c>
      <c r="B401" s="839" t="s">
        <v>1693</v>
      </c>
      <c r="C401" s="840" t="s">
        <v>1274</v>
      </c>
      <c r="D401" s="839" t="s">
        <v>160</v>
      </c>
      <c r="E401" s="841">
        <v>99</v>
      </c>
      <c r="F401" s="839" t="s">
        <v>230</v>
      </c>
      <c r="G401" s="839" t="s">
        <v>175</v>
      </c>
    </row>
    <row r="402" spans="1:7" ht="13.5" customHeight="1" x14ac:dyDescent="0.35">
      <c r="A402" s="838">
        <v>44637</v>
      </c>
      <c r="B402" s="839" t="s">
        <v>1767</v>
      </c>
      <c r="C402" s="840" t="s">
        <v>1284</v>
      </c>
      <c r="D402" s="839" t="s">
        <v>159</v>
      </c>
      <c r="E402" s="841">
        <v>17</v>
      </c>
      <c r="F402" s="839" t="s">
        <v>1648</v>
      </c>
      <c r="G402" s="839" t="s">
        <v>174</v>
      </c>
    </row>
    <row r="403" spans="1:7" ht="13.5" customHeight="1" x14ac:dyDescent="0.35">
      <c r="A403" s="838">
        <v>44637</v>
      </c>
      <c r="B403" s="839" t="s">
        <v>1560</v>
      </c>
      <c r="C403" s="840" t="s">
        <v>1282</v>
      </c>
      <c r="D403" s="839" t="s">
        <v>162</v>
      </c>
      <c r="E403" s="841">
        <v>106.19</v>
      </c>
      <c r="F403" s="839" t="s">
        <v>1026</v>
      </c>
      <c r="G403" s="839" t="s">
        <v>175</v>
      </c>
    </row>
    <row r="404" spans="1:7" ht="13.5" customHeight="1" x14ac:dyDescent="0.35">
      <c r="A404" s="838">
        <v>44635</v>
      </c>
      <c r="B404" s="839" t="s">
        <v>87</v>
      </c>
      <c r="C404" s="840" t="s">
        <v>1282</v>
      </c>
      <c r="D404" s="839" t="s">
        <v>160</v>
      </c>
      <c r="E404" s="841">
        <v>755.9</v>
      </c>
      <c r="F404" s="839" t="s">
        <v>1026</v>
      </c>
      <c r="G404" s="839" t="s">
        <v>87</v>
      </c>
    </row>
    <row r="405" spans="1:7" ht="13.5" customHeight="1" x14ac:dyDescent="0.35">
      <c r="A405" s="838">
        <v>44634</v>
      </c>
      <c r="B405" s="839" t="s">
        <v>1768</v>
      </c>
      <c r="C405" s="840" t="s">
        <v>1274</v>
      </c>
      <c r="D405" s="839" t="s">
        <v>159</v>
      </c>
      <c r="E405" s="841">
        <v>495</v>
      </c>
      <c r="F405" s="839" t="s">
        <v>467</v>
      </c>
      <c r="G405" s="839" t="s">
        <v>174</v>
      </c>
    </row>
    <row r="406" spans="1:7" ht="13.5" customHeight="1" x14ac:dyDescent="0.35">
      <c r="A406" s="838">
        <v>44634</v>
      </c>
      <c r="B406" s="839" t="s">
        <v>1288</v>
      </c>
      <c r="C406" s="840" t="s">
        <v>1274</v>
      </c>
      <c r="D406" s="839" t="s">
        <v>160</v>
      </c>
      <c r="E406" s="841">
        <v>495</v>
      </c>
      <c r="F406" s="839" t="s">
        <v>467</v>
      </c>
      <c r="G406" s="839" t="s">
        <v>174</v>
      </c>
    </row>
    <row r="407" spans="1:7" ht="13.5" customHeight="1" x14ac:dyDescent="0.35">
      <c r="A407" s="838">
        <v>44628</v>
      </c>
      <c r="B407" s="839" t="s">
        <v>1769</v>
      </c>
      <c r="C407" s="840" t="s">
        <v>1274</v>
      </c>
      <c r="D407" s="839" t="s">
        <v>160</v>
      </c>
      <c r="E407" s="841">
        <v>115.05</v>
      </c>
      <c r="F407" s="839" t="s">
        <v>757</v>
      </c>
      <c r="G407" s="839" t="s">
        <v>175</v>
      </c>
    </row>
    <row r="408" spans="1:7" ht="13.5" customHeight="1" x14ac:dyDescent="0.35">
      <c r="A408" s="838">
        <v>44627</v>
      </c>
      <c r="B408" s="839" t="s">
        <v>1770</v>
      </c>
      <c r="C408" s="840" t="s">
        <v>1279</v>
      </c>
      <c r="D408" s="839" t="s">
        <v>159</v>
      </c>
      <c r="E408" s="841">
        <v>25</v>
      </c>
      <c r="F408" s="848" t="s">
        <v>1771</v>
      </c>
      <c r="G408" s="839" t="s">
        <v>175</v>
      </c>
    </row>
    <row r="409" spans="1:7" ht="13.5" customHeight="1" x14ac:dyDescent="0.35">
      <c r="A409" s="838">
        <v>44627</v>
      </c>
      <c r="B409" s="839" t="s">
        <v>1770</v>
      </c>
      <c r="C409" s="840" t="s">
        <v>1279</v>
      </c>
      <c r="D409" s="839" t="s">
        <v>165</v>
      </c>
      <c r="E409" s="841">
        <v>200</v>
      </c>
      <c r="F409" s="848" t="s">
        <v>1771</v>
      </c>
      <c r="G409" s="839" t="s">
        <v>175</v>
      </c>
    </row>
    <row r="410" spans="1:7" ht="13.5" customHeight="1" x14ac:dyDescent="0.35">
      <c r="A410" s="838">
        <v>44627</v>
      </c>
      <c r="B410" s="839" t="s">
        <v>1770</v>
      </c>
      <c r="C410" s="840" t="s">
        <v>1281</v>
      </c>
      <c r="D410" s="839" t="s">
        <v>165</v>
      </c>
      <c r="E410" s="841">
        <v>-200</v>
      </c>
      <c r="F410" s="848" t="s">
        <v>1771</v>
      </c>
      <c r="G410" s="839" t="s">
        <v>175</v>
      </c>
    </row>
    <row r="411" spans="1:7" ht="13.5" customHeight="1" x14ac:dyDescent="0.35">
      <c r="A411" s="838">
        <v>44627</v>
      </c>
      <c r="B411" s="839" t="s">
        <v>1690</v>
      </c>
      <c r="C411" s="840" t="s">
        <v>1279</v>
      </c>
      <c r="D411" s="839" t="s">
        <v>159</v>
      </c>
      <c r="E411" s="841"/>
      <c r="F411" s="839" t="s">
        <v>1696</v>
      </c>
      <c r="G411" s="839" t="s">
        <v>175</v>
      </c>
    </row>
    <row r="412" spans="1:7" ht="13.5" customHeight="1" x14ac:dyDescent="0.35">
      <c r="A412" s="838">
        <v>44625</v>
      </c>
      <c r="B412" s="839" t="s">
        <v>1690</v>
      </c>
      <c r="C412" s="840" t="s">
        <v>1279</v>
      </c>
      <c r="D412" s="839" t="s">
        <v>159</v>
      </c>
      <c r="E412" s="841">
        <v>1200</v>
      </c>
      <c r="F412" s="839" t="s">
        <v>1772</v>
      </c>
      <c r="G412" s="839" t="s">
        <v>175</v>
      </c>
    </row>
    <row r="413" spans="1:7" ht="13.5" customHeight="1" x14ac:dyDescent="0.35">
      <c r="A413" s="838">
        <v>44625</v>
      </c>
      <c r="B413" s="839" t="s">
        <v>1466</v>
      </c>
      <c r="C413" s="840" t="s">
        <v>1274</v>
      </c>
      <c r="D413" s="839" t="s">
        <v>166</v>
      </c>
      <c r="E413" s="841">
        <v>675</v>
      </c>
      <c r="F413" s="839" t="s">
        <v>463</v>
      </c>
      <c r="G413" s="839" t="s">
        <v>175</v>
      </c>
    </row>
    <row r="414" spans="1:7" ht="13.5" customHeight="1" x14ac:dyDescent="0.35">
      <c r="A414" s="838">
        <v>44625</v>
      </c>
      <c r="B414" s="839" t="s">
        <v>1466</v>
      </c>
      <c r="C414" s="840" t="s">
        <v>1277</v>
      </c>
      <c r="D414" s="839" t="s">
        <v>166</v>
      </c>
      <c r="E414" s="841">
        <v>-675</v>
      </c>
      <c r="F414" s="839" t="s">
        <v>463</v>
      </c>
      <c r="G414" s="839" t="s">
        <v>175</v>
      </c>
    </row>
    <row r="415" spans="1:7" ht="13.5" customHeight="1" x14ac:dyDescent="0.35">
      <c r="A415" s="838">
        <v>44621</v>
      </c>
      <c r="B415" s="839" t="s">
        <v>101</v>
      </c>
      <c r="C415" s="840" t="s">
        <v>1283</v>
      </c>
      <c r="D415" s="839" t="s">
        <v>162</v>
      </c>
      <c r="E415" s="841">
        <v>1200</v>
      </c>
      <c r="F415" s="839" t="s">
        <v>1773</v>
      </c>
      <c r="G415" s="839" t="s">
        <v>175</v>
      </c>
    </row>
    <row r="416" spans="1:7" ht="13.5" customHeight="1" x14ac:dyDescent="0.35">
      <c r="A416" s="838">
        <v>44621</v>
      </c>
      <c r="B416" s="839" t="s">
        <v>1077</v>
      </c>
      <c r="C416" s="840" t="s">
        <v>1276</v>
      </c>
      <c r="D416" s="839" t="s">
        <v>161</v>
      </c>
      <c r="E416" s="841">
        <v>437.5</v>
      </c>
      <c r="F416" s="839" t="s">
        <v>1078</v>
      </c>
      <c r="G416" s="839" t="s">
        <v>175</v>
      </c>
    </row>
    <row r="417" spans="1:7" ht="13.5" customHeight="1" x14ac:dyDescent="0.35">
      <c r="A417" s="838">
        <v>44621</v>
      </c>
      <c r="B417" s="839" t="s">
        <v>292</v>
      </c>
      <c r="C417" s="840" t="s">
        <v>1278</v>
      </c>
      <c r="D417" s="839" t="s">
        <v>161</v>
      </c>
      <c r="E417" s="841">
        <v>60</v>
      </c>
      <c r="F417" s="839" t="s">
        <v>292</v>
      </c>
      <c r="G417" s="839" t="s">
        <v>175</v>
      </c>
    </row>
    <row r="418" spans="1:7" ht="13.5" customHeight="1" x14ac:dyDescent="0.35">
      <c r="A418" s="838"/>
      <c r="B418" s="839"/>
      <c r="C418" s="840"/>
      <c r="D418" s="839"/>
      <c r="E418" s="841"/>
      <c r="F418" s="839"/>
      <c r="G418" s="839"/>
    </row>
    <row r="419" spans="1:7" ht="13.5" customHeight="1" x14ac:dyDescent="0.35">
      <c r="A419" s="838">
        <v>44620</v>
      </c>
      <c r="B419" s="839" t="s">
        <v>1774</v>
      </c>
      <c r="C419" s="840" t="s">
        <v>1274</v>
      </c>
      <c r="D419" s="839" t="s">
        <v>159</v>
      </c>
      <c r="E419" s="841">
        <v>12</v>
      </c>
      <c r="F419" s="839" t="s">
        <v>324</v>
      </c>
      <c r="G419" s="839" t="s">
        <v>174</v>
      </c>
    </row>
    <row r="420" spans="1:7" ht="13.5" customHeight="1" x14ac:dyDescent="0.35">
      <c r="A420" s="838">
        <v>44620</v>
      </c>
      <c r="B420" s="839" t="s">
        <v>1725</v>
      </c>
      <c r="C420" s="840" t="s">
        <v>28</v>
      </c>
      <c r="D420" s="839" t="s">
        <v>162</v>
      </c>
      <c r="E420" s="841">
        <v>50</v>
      </c>
      <c r="F420" s="839" t="s">
        <v>1775</v>
      </c>
      <c r="G420" s="839" t="s">
        <v>1311</v>
      </c>
    </row>
    <row r="421" spans="1:7" ht="13.5" customHeight="1" x14ac:dyDescent="0.35">
      <c r="A421" s="838">
        <v>44620</v>
      </c>
      <c r="B421" s="839" t="s">
        <v>1776</v>
      </c>
      <c r="C421" s="840" t="s">
        <v>1274</v>
      </c>
      <c r="D421" s="839" t="s">
        <v>159</v>
      </c>
      <c r="E421" s="841">
        <v>12</v>
      </c>
      <c r="F421" s="839" t="s">
        <v>324</v>
      </c>
      <c r="G421" s="839" t="s">
        <v>175</v>
      </c>
    </row>
    <row r="422" spans="1:7" ht="13.5" customHeight="1" x14ac:dyDescent="0.35">
      <c r="A422" s="838">
        <v>44620</v>
      </c>
      <c r="B422" s="839" t="s">
        <v>1777</v>
      </c>
      <c r="C422" s="840" t="s">
        <v>1274</v>
      </c>
      <c r="D422" s="839" t="s">
        <v>159</v>
      </c>
      <c r="E422" s="841">
        <v>12</v>
      </c>
      <c r="F422" s="839" t="s">
        <v>324</v>
      </c>
      <c r="G422" s="839" t="s">
        <v>175</v>
      </c>
    </row>
    <row r="423" spans="1:7" ht="13.5" customHeight="1" x14ac:dyDescent="0.35">
      <c r="A423" s="838">
        <v>44618</v>
      </c>
      <c r="B423" s="839" t="s">
        <v>1778</v>
      </c>
      <c r="C423" s="840" t="s">
        <v>1280</v>
      </c>
      <c r="D423" s="839" t="s">
        <v>159</v>
      </c>
      <c r="E423" s="841">
        <v>200</v>
      </c>
      <c r="F423" s="839" t="s">
        <v>734</v>
      </c>
      <c r="G423" s="839" t="s">
        <v>174</v>
      </c>
    </row>
    <row r="424" spans="1:7" ht="13.5" customHeight="1" x14ac:dyDescent="0.35">
      <c r="A424" s="838">
        <v>44615</v>
      </c>
      <c r="B424" s="839" t="s">
        <v>1675</v>
      </c>
      <c r="C424" s="840" t="s">
        <v>1279</v>
      </c>
      <c r="D424" s="839" t="s">
        <v>159</v>
      </c>
      <c r="E424" s="841">
        <v>50</v>
      </c>
      <c r="F424" s="839" t="s">
        <v>1498</v>
      </c>
      <c r="G424" s="839" t="s">
        <v>175</v>
      </c>
    </row>
    <row r="425" spans="1:7" ht="13.5" customHeight="1" x14ac:dyDescent="0.35">
      <c r="A425" s="838">
        <v>44606</v>
      </c>
      <c r="B425" s="839" t="s">
        <v>346</v>
      </c>
      <c r="C425" s="840" t="s">
        <v>1274</v>
      </c>
      <c r="D425" s="839" t="s">
        <v>166</v>
      </c>
      <c r="E425" s="841">
        <v>125</v>
      </c>
      <c r="F425" s="839" t="s">
        <v>230</v>
      </c>
      <c r="G425" s="839" t="s">
        <v>175</v>
      </c>
    </row>
    <row r="426" spans="1:7" ht="13.5" customHeight="1" x14ac:dyDescent="0.35">
      <c r="A426" s="838">
        <v>44606</v>
      </c>
      <c r="B426" s="839" t="s">
        <v>346</v>
      </c>
      <c r="C426" s="840" t="s">
        <v>1277</v>
      </c>
      <c r="D426" s="839" t="s">
        <v>166</v>
      </c>
      <c r="E426" s="841">
        <v>-125</v>
      </c>
      <c r="F426" s="839" t="s">
        <v>230</v>
      </c>
      <c r="G426" s="839" t="s">
        <v>175</v>
      </c>
    </row>
    <row r="427" spans="1:7" ht="13.5" customHeight="1" x14ac:dyDescent="0.35">
      <c r="A427" s="838">
        <v>44608</v>
      </c>
      <c r="B427" s="839" t="s">
        <v>1779</v>
      </c>
      <c r="C427" s="840" t="s">
        <v>1284</v>
      </c>
      <c r="D427" s="839" t="s">
        <v>160</v>
      </c>
      <c r="E427" s="841">
        <v>37</v>
      </c>
      <c r="F427" s="839" t="s">
        <v>1381</v>
      </c>
      <c r="G427" s="839" t="s">
        <v>174</v>
      </c>
    </row>
    <row r="428" spans="1:7" ht="13.5" customHeight="1" x14ac:dyDescent="0.35">
      <c r="A428" s="838">
        <v>44608</v>
      </c>
      <c r="B428" s="839" t="s">
        <v>1780</v>
      </c>
      <c r="C428" s="840" t="s">
        <v>1274</v>
      </c>
      <c r="D428" s="839" t="s">
        <v>159</v>
      </c>
      <c r="E428" s="841">
        <v>300</v>
      </c>
      <c r="F428" s="839" t="s">
        <v>1781</v>
      </c>
      <c r="G428" s="839" t="s">
        <v>174</v>
      </c>
    </row>
    <row r="429" spans="1:7" ht="13.5" customHeight="1" x14ac:dyDescent="0.35">
      <c r="A429" s="838">
        <v>44608</v>
      </c>
      <c r="B429" s="839" t="s">
        <v>1782</v>
      </c>
      <c r="C429" s="840" t="s">
        <v>1284</v>
      </c>
      <c r="D429" s="839" t="s">
        <v>159</v>
      </c>
      <c r="E429" s="841">
        <v>2</v>
      </c>
      <c r="F429" s="839" t="s">
        <v>1254</v>
      </c>
      <c r="G429" s="839" t="s">
        <v>175</v>
      </c>
    </row>
    <row r="430" spans="1:7" ht="13.5" customHeight="1" x14ac:dyDescent="0.35">
      <c r="A430" s="838">
        <v>44608</v>
      </c>
      <c r="B430" s="839" t="s">
        <v>64</v>
      </c>
      <c r="C430" s="840" t="s">
        <v>1279</v>
      </c>
      <c r="D430" s="839" t="s">
        <v>159</v>
      </c>
      <c r="E430" s="841">
        <v>50</v>
      </c>
      <c r="F430" s="839" t="s">
        <v>1783</v>
      </c>
      <c r="G430" s="839" t="s">
        <v>175</v>
      </c>
    </row>
    <row r="431" spans="1:7" ht="13.5" customHeight="1" x14ac:dyDescent="0.35">
      <c r="A431" s="838">
        <v>44609</v>
      </c>
      <c r="B431" s="839" t="s">
        <v>346</v>
      </c>
      <c r="C431" s="840" t="s">
        <v>28</v>
      </c>
      <c r="D431" s="839" t="s">
        <v>159</v>
      </c>
      <c r="E431" s="841">
        <v>250</v>
      </c>
      <c r="F431" s="839" t="s">
        <v>1267</v>
      </c>
      <c r="G431" s="839" t="s">
        <v>175</v>
      </c>
    </row>
    <row r="432" spans="1:7" ht="13.5" customHeight="1" x14ac:dyDescent="0.35">
      <c r="A432" s="838">
        <v>44614</v>
      </c>
      <c r="B432" s="839" t="s">
        <v>64</v>
      </c>
      <c r="C432" s="840" t="s">
        <v>1279</v>
      </c>
      <c r="D432" s="839" t="s">
        <v>159</v>
      </c>
      <c r="E432" s="841">
        <v>50</v>
      </c>
      <c r="F432" s="839" t="s">
        <v>1783</v>
      </c>
      <c r="G432" s="839" t="s">
        <v>175</v>
      </c>
    </row>
    <row r="433" spans="1:7" ht="13.5" customHeight="1" x14ac:dyDescent="0.35">
      <c r="A433" s="838">
        <v>44613</v>
      </c>
      <c r="B433" s="839" t="s">
        <v>1690</v>
      </c>
      <c r="C433" s="840" t="s">
        <v>1279</v>
      </c>
      <c r="D433" s="839" t="s">
        <v>159</v>
      </c>
      <c r="E433" s="841"/>
      <c r="F433" s="839" t="s">
        <v>1696</v>
      </c>
      <c r="G433" s="839" t="s">
        <v>175</v>
      </c>
    </row>
    <row r="434" spans="1:7" ht="13.5" customHeight="1" x14ac:dyDescent="0.35">
      <c r="A434" s="838">
        <v>44605</v>
      </c>
      <c r="B434" s="839" t="s">
        <v>1784</v>
      </c>
      <c r="C434" s="840" t="s">
        <v>1274</v>
      </c>
      <c r="D434" s="839" t="s">
        <v>159</v>
      </c>
      <c r="E434" s="841">
        <v>95</v>
      </c>
      <c r="F434" s="839" t="s">
        <v>1271</v>
      </c>
      <c r="G434" s="839" t="s">
        <v>174</v>
      </c>
    </row>
    <row r="435" spans="1:7" ht="13.5" customHeight="1" x14ac:dyDescent="0.35">
      <c r="A435" s="838">
        <v>44602</v>
      </c>
      <c r="B435" s="839" t="s">
        <v>1675</v>
      </c>
      <c r="C435" s="840" t="s">
        <v>1279</v>
      </c>
      <c r="D435" s="839" t="s">
        <v>159</v>
      </c>
      <c r="E435" s="841">
        <v>50</v>
      </c>
      <c r="F435" s="839" t="s">
        <v>1498</v>
      </c>
      <c r="G435" s="839" t="s">
        <v>175</v>
      </c>
    </row>
    <row r="436" spans="1:7" ht="13.5" customHeight="1" x14ac:dyDescent="0.35">
      <c r="A436" s="838">
        <v>44601</v>
      </c>
      <c r="B436" s="839" t="s">
        <v>1213</v>
      </c>
      <c r="C436" s="840" t="s">
        <v>1278</v>
      </c>
      <c r="D436" s="839" t="s">
        <v>159</v>
      </c>
      <c r="E436" s="841">
        <v>20</v>
      </c>
      <c r="F436" s="839" t="s">
        <v>293</v>
      </c>
      <c r="G436" s="839" t="s">
        <v>175</v>
      </c>
    </row>
    <row r="437" spans="1:7" ht="13.5" customHeight="1" x14ac:dyDescent="0.35">
      <c r="A437" s="838">
        <v>44600</v>
      </c>
      <c r="B437" s="839" t="s">
        <v>1785</v>
      </c>
      <c r="C437" s="840" t="s">
        <v>1274</v>
      </c>
      <c r="D437" s="839" t="s">
        <v>159</v>
      </c>
      <c r="E437" s="841">
        <v>60</v>
      </c>
      <c r="F437" s="839" t="s">
        <v>1703</v>
      </c>
      <c r="G437" s="839" t="s">
        <v>174</v>
      </c>
    </row>
    <row r="438" spans="1:7" ht="13.5" customHeight="1" x14ac:dyDescent="0.35">
      <c r="A438" s="838">
        <v>44600</v>
      </c>
      <c r="B438" s="839" t="s">
        <v>1786</v>
      </c>
      <c r="C438" s="840" t="s">
        <v>1279</v>
      </c>
      <c r="D438" s="839" t="s">
        <v>159</v>
      </c>
      <c r="E438" s="841">
        <v>50</v>
      </c>
      <c r="F438" s="839" t="s">
        <v>360</v>
      </c>
      <c r="G438" s="839" t="s">
        <v>175</v>
      </c>
    </row>
    <row r="439" spans="1:7" ht="13.5" customHeight="1" x14ac:dyDescent="0.35">
      <c r="A439" s="838">
        <v>44600</v>
      </c>
      <c r="B439" s="839" t="s">
        <v>1787</v>
      </c>
      <c r="C439" s="840" t="s">
        <v>1284</v>
      </c>
      <c r="D439" s="839" t="s">
        <v>159</v>
      </c>
      <c r="E439" s="841">
        <v>21</v>
      </c>
      <c r="F439" s="839" t="s">
        <v>1381</v>
      </c>
      <c r="G439" s="839" t="s">
        <v>174</v>
      </c>
    </row>
    <row r="440" spans="1:7" ht="13.5" customHeight="1" x14ac:dyDescent="0.35">
      <c r="A440" s="838">
        <v>44600</v>
      </c>
      <c r="B440" s="839" t="s">
        <v>784</v>
      </c>
      <c r="C440" s="840" t="s">
        <v>1274</v>
      </c>
      <c r="D440" s="839" t="s">
        <v>162</v>
      </c>
      <c r="E440" s="841">
        <v>250</v>
      </c>
      <c r="F440" s="839" t="s">
        <v>504</v>
      </c>
      <c r="G440" s="839" t="s">
        <v>175</v>
      </c>
    </row>
    <row r="441" spans="1:7" ht="13.5" customHeight="1" x14ac:dyDescent="0.35">
      <c r="A441" s="838">
        <v>44600</v>
      </c>
      <c r="B441" s="839" t="s">
        <v>784</v>
      </c>
      <c r="C441" s="840" t="s">
        <v>1274</v>
      </c>
      <c r="D441" s="839" t="s">
        <v>162</v>
      </c>
      <c r="E441" s="841">
        <v>250</v>
      </c>
      <c r="F441" s="839" t="s">
        <v>463</v>
      </c>
      <c r="G441" s="839" t="s">
        <v>175</v>
      </c>
    </row>
    <row r="442" spans="1:7" ht="13.5" customHeight="1" x14ac:dyDescent="0.35">
      <c r="A442" s="838">
        <v>44598</v>
      </c>
      <c r="B442" s="839" t="s">
        <v>1690</v>
      </c>
      <c r="C442" s="840" t="s">
        <v>1279</v>
      </c>
      <c r="D442" s="839" t="s">
        <v>159</v>
      </c>
      <c r="E442" s="841"/>
      <c r="F442" s="839" t="s">
        <v>1696</v>
      </c>
      <c r="G442" s="839" t="s">
        <v>175</v>
      </c>
    </row>
    <row r="443" spans="1:7" ht="13.5" customHeight="1" x14ac:dyDescent="0.35">
      <c r="A443" s="838">
        <v>44597</v>
      </c>
      <c r="B443" s="839" t="s">
        <v>1046</v>
      </c>
      <c r="C443" s="840" t="s">
        <v>1274</v>
      </c>
      <c r="D443" s="839" t="s">
        <v>159</v>
      </c>
      <c r="E443" s="841">
        <v>60</v>
      </c>
      <c r="F443" s="839" t="s">
        <v>1703</v>
      </c>
      <c r="G443" s="839" t="s">
        <v>175</v>
      </c>
    </row>
    <row r="444" spans="1:7" ht="13.5" customHeight="1" x14ac:dyDescent="0.35">
      <c r="A444" s="838">
        <v>44597</v>
      </c>
      <c r="B444" s="839" t="s">
        <v>784</v>
      </c>
      <c r="C444" s="840" t="s">
        <v>1274</v>
      </c>
      <c r="D444" s="839" t="s">
        <v>159</v>
      </c>
      <c r="E444" s="841">
        <v>125</v>
      </c>
      <c r="F444" s="839" t="s">
        <v>224</v>
      </c>
      <c r="G444" s="839" t="s">
        <v>175</v>
      </c>
    </row>
    <row r="445" spans="1:7" ht="13.5" customHeight="1" x14ac:dyDescent="0.35">
      <c r="A445" s="838">
        <v>44596</v>
      </c>
      <c r="B445" s="839" t="s">
        <v>1206</v>
      </c>
      <c r="C445" s="840" t="s">
        <v>1274</v>
      </c>
      <c r="D445" s="839" t="s">
        <v>159</v>
      </c>
      <c r="E445" s="841">
        <v>125</v>
      </c>
      <c r="F445" s="839" t="s">
        <v>230</v>
      </c>
      <c r="G445" s="839" t="s">
        <v>175</v>
      </c>
    </row>
    <row r="446" spans="1:7" ht="13.5" customHeight="1" x14ac:dyDescent="0.35">
      <c r="A446" s="838">
        <v>44595</v>
      </c>
      <c r="B446" s="839" t="s">
        <v>784</v>
      </c>
      <c r="C446" s="840" t="s">
        <v>1274</v>
      </c>
      <c r="D446" s="839" t="s">
        <v>165</v>
      </c>
      <c r="E446" s="841">
        <v>30</v>
      </c>
      <c r="F446" s="839" t="s">
        <v>467</v>
      </c>
      <c r="G446" s="839" t="s">
        <v>175</v>
      </c>
    </row>
    <row r="447" spans="1:7" ht="13.5" customHeight="1" x14ac:dyDescent="0.35">
      <c r="A447" s="838">
        <v>44595</v>
      </c>
      <c r="B447" s="839" t="s">
        <v>784</v>
      </c>
      <c r="C447" s="840" t="s">
        <v>1281</v>
      </c>
      <c r="D447" s="839" t="s">
        <v>165</v>
      </c>
      <c r="E447" s="841">
        <v>-30</v>
      </c>
      <c r="F447" s="839" t="s">
        <v>467</v>
      </c>
      <c r="G447" s="839" t="s">
        <v>175</v>
      </c>
    </row>
    <row r="448" spans="1:7" ht="13.5" customHeight="1" x14ac:dyDescent="0.35">
      <c r="A448" s="838">
        <v>44595</v>
      </c>
      <c r="B448" s="839" t="s">
        <v>784</v>
      </c>
      <c r="C448" s="840" t="s">
        <v>1274</v>
      </c>
      <c r="D448" s="839" t="s">
        <v>159</v>
      </c>
      <c r="E448" s="841">
        <v>465</v>
      </c>
      <c r="F448" s="839" t="s">
        <v>467</v>
      </c>
      <c r="G448" s="839" t="s">
        <v>175</v>
      </c>
    </row>
    <row r="449" spans="1:7" ht="13.5" customHeight="1" x14ac:dyDescent="0.35">
      <c r="A449" s="838">
        <v>44595</v>
      </c>
      <c r="B449" s="839" t="s">
        <v>89</v>
      </c>
      <c r="C449" s="840" t="s">
        <v>1282</v>
      </c>
      <c r="D449" s="839" t="s">
        <v>160</v>
      </c>
      <c r="E449" s="841">
        <v>82.2</v>
      </c>
      <c r="F449" s="839" t="s">
        <v>1026</v>
      </c>
      <c r="G449" s="839" t="s">
        <v>89</v>
      </c>
    </row>
    <row r="450" spans="1:7" ht="13.5" customHeight="1" x14ac:dyDescent="0.35">
      <c r="A450" s="838">
        <v>44593</v>
      </c>
      <c r="B450" s="839" t="s">
        <v>1077</v>
      </c>
      <c r="C450" s="840" t="s">
        <v>1276</v>
      </c>
      <c r="D450" s="839" t="s">
        <v>161</v>
      </c>
      <c r="E450" s="841">
        <v>250</v>
      </c>
      <c r="F450" s="839" t="s">
        <v>1078</v>
      </c>
      <c r="G450" s="839" t="s">
        <v>175</v>
      </c>
    </row>
    <row r="451" spans="1:7" ht="13.5" customHeight="1" x14ac:dyDescent="0.35">
      <c r="A451" s="838">
        <v>44593</v>
      </c>
      <c r="B451" s="839" t="s">
        <v>292</v>
      </c>
      <c r="C451" s="840" t="s">
        <v>1278</v>
      </c>
      <c r="D451" s="839" t="s">
        <v>161</v>
      </c>
      <c r="E451" s="841">
        <v>100</v>
      </c>
      <c r="F451" s="839" t="s">
        <v>292</v>
      </c>
      <c r="G451" s="839" t="s">
        <v>175</v>
      </c>
    </row>
    <row r="452" spans="1:7" ht="13.5" customHeight="1" x14ac:dyDescent="0.35">
      <c r="A452" s="838"/>
      <c r="B452" s="839"/>
      <c r="C452" s="840"/>
      <c r="D452" s="839"/>
      <c r="E452" s="841"/>
      <c r="F452" s="839"/>
      <c r="G452" s="839"/>
    </row>
    <row r="453" spans="1:7" ht="13.5" customHeight="1" x14ac:dyDescent="0.35">
      <c r="A453" s="838">
        <v>44589</v>
      </c>
      <c r="B453" s="839" t="s">
        <v>401</v>
      </c>
      <c r="C453" s="840" t="s">
        <v>1274</v>
      </c>
      <c r="D453" s="839" t="s">
        <v>159</v>
      </c>
      <c r="E453" s="841">
        <v>50</v>
      </c>
      <c r="F453" s="839" t="s">
        <v>1788</v>
      </c>
      <c r="G453" s="839" t="s">
        <v>175</v>
      </c>
    </row>
    <row r="454" spans="1:7" ht="13.5" customHeight="1" x14ac:dyDescent="0.35">
      <c r="A454" s="838">
        <v>44589</v>
      </c>
      <c r="B454" s="839" t="s">
        <v>401</v>
      </c>
      <c r="C454" s="840" t="s">
        <v>1274</v>
      </c>
      <c r="D454" s="839" t="s">
        <v>159</v>
      </c>
      <c r="E454" s="841">
        <v>125</v>
      </c>
      <c r="F454" s="839" t="s">
        <v>230</v>
      </c>
      <c r="G454" s="839" t="s">
        <v>175</v>
      </c>
    </row>
    <row r="455" spans="1:7" ht="13.5" customHeight="1" x14ac:dyDescent="0.35">
      <c r="A455" s="838">
        <v>44589</v>
      </c>
      <c r="B455" s="839" t="s">
        <v>401</v>
      </c>
      <c r="C455" s="840" t="s">
        <v>1274</v>
      </c>
      <c r="D455" s="839" t="s">
        <v>159</v>
      </c>
      <c r="E455" s="841">
        <v>50</v>
      </c>
      <c r="F455" s="839" t="s">
        <v>472</v>
      </c>
      <c r="G455" s="839" t="s">
        <v>175</v>
      </c>
    </row>
    <row r="456" spans="1:7" ht="13.5" customHeight="1" x14ac:dyDescent="0.35">
      <c r="A456" s="838">
        <v>44585</v>
      </c>
      <c r="B456" s="839" t="s">
        <v>1690</v>
      </c>
      <c r="C456" s="840" t="s">
        <v>1283</v>
      </c>
      <c r="D456" s="839" t="s">
        <v>160</v>
      </c>
      <c r="E456" s="841">
        <v>46</v>
      </c>
      <c r="F456" s="839" t="s">
        <v>1789</v>
      </c>
      <c r="G456" s="839" t="s">
        <v>175</v>
      </c>
    </row>
    <row r="457" spans="1:7" ht="13.5" customHeight="1" x14ac:dyDescent="0.35">
      <c r="A457" s="838">
        <v>44585</v>
      </c>
      <c r="B457" s="839" t="s">
        <v>1790</v>
      </c>
      <c r="C457" s="840" t="s">
        <v>1279</v>
      </c>
      <c r="D457" s="839" t="s">
        <v>160</v>
      </c>
      <c r="E457" s="841">
        <v>528</v>
      </c>
      <c r="F457" s="839" t="s">
        <v>1791</v>
      </c>
      <c r="G457" s="839" t="s">
        <v>174</v>
      </c>
    </row>
    <row r="458" spans="1:7" ht="13.5" customHeight="1" x14ac:dyDescent="0.35">
      <c r="A458" s="838">
        <v>44585</v>
      </c>
      <c r="B458" s="839" t="s">
        <v>1792</v>
      </c>
      <c r="C458" s="840" t="s">
        <v>1274</v>
      </c>
      <c r="D458" s="839" t="s">
        <v>159</v>
      </c>
      <c r="E458" s="841">
        <v>475</v>
      </c>
      <c r="F458" s="839" t="s">
        <v>1793</v>
      </c>
      <c r="G458" s="839" t="s">
        <v>175</v>
      </c>
    </row>
    <row r="459" spans="1:7" ht="13.5" customHeight="1" x14ac:dyDescent="0.35">
      <c r="A459" s="838">
        <v>44576</v>
      </c>
      <c r="B459" s="839" t="s">
        <v>87</v>
      </c>
      <c r="C459" s="840" t="s">
        <v>1282</v>
      </c>
      <c r="D459" s="839" t="s">
        <v>160</v>
      </c>
      <c r="E459" s="841">
        <v>564.77</v>
      </c>
      <c r="F459" s="839" t="s">
        <v>1026</v>
      </c>
      <c r="G459" s="839" t="s">
        <v>87</v>
      </c>
    </row>
    <row r="460" spans="1:7" ht="13.5" customHeight="1" x14ac:dyDescent="0.35">
      <c r="A460" s="838">
        <v>44575</v>
      </c>
      <c r="B460" s="839" t="s">
        <v>1794</v>
      </c>
      <c r="C460" s="840" t="s">
        <v>1279</v>
      </c>
      <c r="D460" s="839" t="s">
        <v>159</v>
      </c>
      <c r="E460" s="841">
        <v>255</v>
      </c>
      <c r="F460" s="839" t="s">
        <v>1795</v>
      </c>
      <c r="G460" s="839" t="s">
        <v>175</v>
      </c>
    </row>
    <row r="461" spans="1:7" ht="13.5" customHeight="1" x14ac:dyDescent="0.35">
      <c r="A461" s="838">
        <v>44575</v>
      </c>
      <c r="B461" s="839" t="s">
        <v>1796</v>
      </c>
      <c r="C461" s="840" t="s">
        <v>1284</v>
      </c>
      <c r="D461" s="839" t="s">
        <v>159</v>
      </c>
      <c r="E461" s="841">
        <v>5</v>
      </c>
      <c r="F461" s="839" t="s">
        <v>1254</v>
      </c>
      <c r="G461" s="839" t="s">
        <v>175</v>
      </c>
    </row>
    <row r="462" spans="1:7" ht="13.5" customHeight="1" x14ac:dyDescent="0.35">
      <c r="A462" s="838">
        <v>44573</v>
      </c>
      <c r="B462" s="839" t="s">
        <v>64</v>
      </c>
      <c r="C462" s="840" t="s">
        <v>1279</v>
      </c>
      <c r="D462" s="839" t="s">
        <v>159</v>
      </c>
      <c r="E462" s="841">
        <v>50</v>
      </c>
      <c r="F462" s="839" t="s">
        <v>1783</v>
      </c>
      <c r="G462" s="839" t="s">
        <v>175</v>
      </c>
    </row>
    <row r="463" spans="1:7" ht="13.5" customHeight="1" x14ac:dyDescent="0.35">
      <c r="A463" s="838">
        <v>44573</v>
      </c>
      <c r="B463" s="839" t="s">
        <v>1794</v>
      </c>
      <c r="C463" s="840" t="s">
        <v>1274</v>
      </c>
      <c r="D463" s="839" t="s">
        <v>159</v>
      </c>
      <c r="E463" s="841">
        <v>50</v>
      </c>
      <c r="F463" s="839" t="s">
        <v>1114</v>
      </c>
      <c r="G463" s="839" t="s">
        <v>175</v>
      </c>
    </row>
    <row r="464" spans="1:7" ht="13.5" customHeight="1" x14ac:dyDescent="0.35">
      <c r="A464" s="838">
        <v>44573</v>
      </c>
      <c r="B464" s="839" t="s">
        <v>1797</v>
      </c>
      <c r="C464" s="840" t="s">
        <v>1274</v>
      </c>
      <c r="D464" s="839" t="s">
        <v>159</v>
      </c>
      <c r="E464" s="841">
        <v>50</v>
      </c>
      <c r="F464" s="839" t="s">
        <v>1114</v>
      </c>
      <c r="G464" s="839" t="s">
        <v>176</v>
      </c>
    </row>
    <row r="465" spans="1:7" ht="13.5" customHeight="1" x14ac:dyDescent="0.35">
      <c r="A465" s="838">
        <v>44571</v>
      </c>
      <c r="B465" s="839" t="s">
        <v>1798</v>
      </c>
      <c r="C465" s="840" t="s">
        <v>1279</v>
      </c>
      <c r="D465" s="839" t="s">
        <v>160</v>
      </c>
      <c r="E465" s="841">
        <v>360</v>
      </c>
      <c r="F465" s="839" t="s">
        <v>1062</v>
      </c>
      <c r="G465" s="839" t="s">
        <v>174</v>
      </c>
    </row>
    <row r="466" spans="1:7" ht="13.5" customHeight="1" x14ac:dyDescent="0.35">
      <c r="A466" s="838">
        <v>44570</v>
      </c>
      <c r="B466" s="838" t="s">
        <v>1799</v>
      </c>
      <c r="C466" s="840" t="s">
        <v>1284</v>
      </c>
      <c r="D466" s="839" t="s">
        <v>160</v>
      </c>
      <c r="E466" s="841">
        <v>6</v>
      </c>
      <c r="F466" s="839" t="s">
        <v>1381</v>
      </c>
      <c r="G466" s="839" t="s">
        <v>174</v>
      </c>
    </row>
    <row r="467" spans="1:7" ht="13.5" customHeight="1" x14ac:dyDescent="0.35">
      <c r="A467" s="838">
        <v>44570</v>
      </c>
      <c r="B467" s="838" t="s">
        <v>1799</v>
      </c>
      <c r="C467" s="840" t="s">
        <v>1284</v>
      </c>
      <c r="D467" s="839" t="s">
        <v>159</v>
      </c>
      <c r="E467" s="841">
        <v>15</v>
      </c>
      <c r="F467" s="839" t="s">
        <v>1381</v>
      </c>
      <c r="G467" s="839" t="s">
        <v>174</v>
      </c>
    </row>
    <row r="468" spans="1:7" ht="13.5" customHeight="1" x14ac:dyDescent="0.35">
      <c r="A468" s="838">
        <v>44570</v>
      </c>
      <c r="B468" s="839" t="s">
        <v>1800</v>
      </c>
      <c r="C468" s="840" t="s">
        <v>28</v>
      </c>
      <c r="D468" s="839" t="s">
        <v>159</v>
      </c>
      <c r="E468" s="841">
        <v>250</v>
      </c>
      <c r="F468" s="839" t="s">
        <v>1482</v>
      </c>
      <c r="G468" s="839" t="s">
        <v>174</v>
      </c>
    </row>
    <row r="469" spans="1:7" ht="13.5" customHeight="1" x14ac:dyDescent="0.35">
      <c r="A469" s="838">
        <v>44567</v>
      </c>
      <c r="B469" s="839" t="s">
        <v>1801</v>
      </c>
      <c r="C469" s="840" t="s">
        <v>1274</v>
      </c>
      <c r="D469" s="839" t="s">
        <v>159</v>
      </c>
      <c r="E469" s="841">
        <v>50</v>
      </c>
      <c r="F469" s="839" t="s">
        <v>1212</v>
      </c>
      <c r="G469" s="839" t="s">
        <v>174</v>
      </c>
    </row>
    <row r="470" spans="1:7" ht="13.5" customHeight="1" x14ac:dyDescent="0.35">
      <c r="A470" s="838">
        <v>44567</v>
      </c>
      <c r="B470" s="839" t="s">
        <v>1801</v>
      </c>
      <c r="C470" s="840" t="s">
        <v>1274</v>
      </c>
      <c r="D470" s="839" t="s">
        <v>159</v>
      </c>
      <c r="E470" s="841">
        <v>50</v>
      </c>
      <c r="F470" s="839" t="s">
        <v>472</v>
      </c>
      <c r="G470" s="839" t="s">
        <v>174</v>
      </c>
    </row>
    <row r="471" spans="1:7" ht="13.5" customHeight="1" x14ac:dyDescent="0.35">
      <c r="A471" s="838">
        <v>44566</v>
      </c>
      <c r="B471" s="839" t="s">
        <v>1802</v>
      </c>
      <c r="C471" s="840" t="s">
        <v>1274</v>
      </c>
      <c r="D471" s="839" t="s">
        <v>159</v>
      </c>
      <c r="E471" s="841">
        <v>75</v>
      </c>
      <c r="F471" s="839" t="s">
        <v>1446</v>
      </c>
      <c r="G471" s="839" t="s">
        <v>175</v>
      </c>
    </row>
    <row r="472" spans="1:7" ht="13.5" customHeight="1" x14ac:dyDescent="0.35">
      <c r="A472" s="838">
        <v>44566</v>
      </c>
      <c r="B472" s="839" t="s">
        <v>1802</v>
      </c>
      <c r="C472" s="840" t="s">
        <v>1274</v>
      </c>
      <c r="D472" s="839" t="s">
        <v>159</v>
      </c>
      <c r="E472" s="841">
        <v>125</v>
      </c>
      <c r="F472" s="839" t="s">
        <v>224</v>
      </c>
      <c r="G472" s="839" t="s">
        <v>176</v>
      </c>
    </row>
    <row r="473" spans="1:7" ht="13.5" customHeight="1" x14ac:dyDescent="0.35">
      <c r="A473" s="838">
        <v>44566</v>
      </c>
      <c r="B473" s="839" t="s">
        <v>1466</v>
      </c>
      <c r="C473" s="840" t="s">
        <v>1274</v>
      </c>
      <c r="D473" s="839" t="s">
        <v>166</v>
      </c>
      <c r="E473" s="841">
        <v>12</v>
      </c>
      <c r="F473" s="839" t="s">
        <v>1085</v>
      </c>
      <c r="G473" s="839" t="s">
        <v>175</v>
      </c>
    </row>
    <row r="474" spans="1:7" ht="13.5" customHeight="1" x14ac:dyDescent="0.35">
      <c r="A474" s="838">
        <v>44566</v>
      </c>
      <c r="B474" s="839" t="s">
        <v>1466</v>
      </c>
      <c r="C474" s="840" t="s">
        <v>1277</v>
      </c>
      <c r="D474" s="839" t="s">
        <v>166</v>
      </c>
      <c r="E474" s="841">
        <v>-12</v>
      </c>
      <c r="F474" s="839" t="s">
        <v>1085</v>
      </c>
      <c r="G474" s="839" t="s">
        <v>175</v>
      </c>
    </row>
    <row r="475" spans="1:7" ht="13.5" customHeight="1" x14ac:dyDescent="0.35">
      <c r="A475" s="838">
        <v>44566</v>
      </c>
      <c r="B475" s="839" t="s">
        <v>1466</v>
      </c>
      <c r="C475" s="840" t="s">
        <v>1274</v>
      </c>
      <c r="D475" s="839" t="s">
        <v>166</v>
      </c>
      <c r="E475" s="841">
        <v>425</v>
      </c>
      <c r="F475" s="839" t="s">
        <v>1793</v>
      </c>
      <c r="G475" s="839" t="s">
        <v>175</v>
      </c>
    </row>
    <row r="476" spans="1:7" ht="13.5" customHeight="1" x14ac:dyDescent="0.35">
      <c r="A476" s="838">
        <v>44566</v>
      </c>
      <c r="B476" s="839" t="s">
        <v>1466</v>
      </c>
      <c r="C476" s="840" t="s">
        <v>1277</v>
      </c>
      <c r="D476" s="839" t="s">
        <v>166</v>
      </c>
      <c r="E476" s="841">
        <v>-425</v>
      </c>
      <c r="F476" s="839" t="s">
        <v>1793</v>
      </c>
      <c r="G476" s="839" t="s">
        <v>175</v>
      </c>
    </row>
    <row r="477" spans="1:7" ht="13.5" customHeight="1" x14ac:dyDescent="0.35">
      <c r="A477" s="838">
        <v>44562</v>
      </c>
      <c r="B477" s="839" t="s">
        <v>1077</v>
      </c>
      <c r="C477" s="840" t="s">
        <v>1276</v>
      </c>
      <c r="D477" s="839" t="s">
        <v>161</v>
      </c>
      <c r="E477" s="841">
        <v>250</v>
      </c>
      <c r="F477" s="839" t="s">
        <v>1078</v>
      </c>
      <c r="G477" s="839" t="s">
        <v>175</v>
      </c>
    </row>
    <row r="478" spans="1:7" ht="13.5" customHeight="1" x14ac:dyDescent="0.35">
      <c r="A478" s="838">
        <v>44562</v>
      </c>
      <c r="B478" s="839" t="s">
        <v>292</v>
      </c>
      <c r="C478" s="840" t="s">
        <v>1278</v>
      </c>
      <c r="D478" s="839" t="s">
        <v>161</v>
      </c>
      <c r="E478" s="841">
        <v>100</v>
      </c>
      <c r="F478" s="839" t="s">
        <v>292</v>
      </c>
      <c r="G478" s="839" t="s">
        <v>175</v>
      </c>
    </row>
    <row r="479" spans="1:7" ht="13.5" customHeight="1" x14ac:dyDescent="0.35">
      <c r="A479" s="838">
        <v>44562</v>
      </c>
      <c r="B479" s="839" t="s">
        <v>1690</v>
      </c>
      <c r="C479" s="840" t="s">
        <v>1279</v>
      </c>
      <c r="D479" s="839" t="s">
        <v>159</v>
      </c>
      <c r="E479" s="841">
        <v>11</v>
      </c>
      <c r="F479" s="839" t="s">
        <v>1803</v>
      </c>
      <c r="G479" s="839" t="s">
        <v>175</v>
      </c>
    </row>
    <row r="480" spans="1:7" ht="13.5" customHeight="1" x14ac:dyDescent="0.35">
      <c r="A480" s="838">
        <v>44562</v>
      </c>
      <c r="B480" s="839" t="s">
        <v>1690</v>
      </c>
      <c r="C480" s="840" t="s">
        <v>1279</v>
      </c>
      <c r="D480" s="839" t="s">
        <v>159</v>
      </c>
      <c r="E480" s="841">
        <v>15218</v>
      </c>
      <c r="F480" s="839" t="s">
        <v>1803</v>
      </c>
      <c r="G480" s="839" t="s">
        <v>175</v>
      </c>
    </row>
  </sheetData>
  <conditionalFormatting sqref="E2:E18 E24 E29:E30 E32:E34 E40:E42 E49 E67:E68 E73:E77 E79 E83:E150 E154:E178 E181:E200 E203:E222 E225:E250 E253:E275 E278:E292 E295:E315 E320:E347 E350:E388 E391:E412 E415 E418:E424 E427:E449 E452 E455:E462 E464:E465 E467:E468 E470 E472 E475:E478 E480:E1048576 N20 P20:V20 V143:V559 V580:V708 V710:V982 X6:X17 X33:X38 X97 X106:X116 X128 X133 X142">
    <cfRule type="cellIs" dxfId="3197" priority="679" operator="lessThan">
      <formula>0</formula>
    </cfRule>
  </conditionalFormatting>
  <conditionalFormatting sqref="X31">
    <cfRule type="cellIs" dxfId="3196" priority="678" operator="lessThan">
      <formula>0</formula>
    </cfRule>
  </conditionalFormatting>
  <conditionalFormatting sqref="X6:X17">
    <cfRule type="cellIs" dxfId="3195" priority="574" operator="lessThan">
      <formula>0</formula>
    </cfRule>
    <cfRule type="cellIs" dxfId="3194" priority="575" operator="lessThan">
      <formula>0</formula>
    </cfRule>
    <cfRule type="cellIs" dxfId="3193" priority="576" operator="lessThan">
      <formula>0</formula>
    </cfRule>
    <cfRule type="cellIs" dxfId="3192" priority="577" operator="lessThan">
      <formula>0</formula>
    </cfRule>
    <cfRule type="cellIs" dxfId="3191" priority="578" operator="lessThan">
      <formula>0</formula>
    </cfRule>
    <cfRule type="cellIs" dxfId="3190" priority="579" operator="lessThan">
      <formula>0</formula>
    </cfRule>
    <cfRule type="cellIs" dxfId="3189" priority="580" operator="lessThan">
      <formula>0</formula>
    </cfRule>
    <cfRule type="cellIs" dxfId="3188" priority="581" operator="lessThan">
      <formula>0</formula>
    </cfRule>
    <cfRule type="cellIs" dxfId="3187" priority="582" operator="lessThan">
      <formula>0</formula>
    </cfRule>
    <cfRule type="cellIs" dxfId="3186" priority="583" operator="lessThan">
      <formula>0</formula>
    </cfRule>
    <cfRule type="cellIs" dxfId="3185" priority="584" operator="lessThan">
      <formula>0</formula>
    </cfRule>
    <cfRule type="cellIs" dxfId="3184" priority="585" operator="lessThan">
      <formula>0</formula>
    </cfRule>
    <cfRule type="cellIs" dxfId="3183" priority="586" operator="lessThan">
      <formula>0</formula>
    </cfRule>
    <cfRule type="cellIs" dxfId="3182" priority="587" operator="lessThan">
      <formula>0</formula>
    </cfRule>
    <cfRule type="cellIs" dxfId="3181" priority="588" operator="lessThan">
      <formula>0</formula>
    </cfRule>
    <cfRule type="cellIs" dxfId="3180" priority="589" operator="lessThan">
      <formula>0</formula>
    </cfRule>
    <cfRule type="cellIs" dxfId="3179" priority="590" operator="lessThan">
      <formula>0</formula>
    </cfRule>
    <cfRule type="cellIs" dxfId="3178" priority="594" operator="lessThan">
      <formula>0</formula>
    </cfRule>
    <cfRule type="cellIs" dxfId="3177" priority="651" operator="lessThan">
      <formula>0</formula>
    </cfRule>
    <cfRule type="cellIs" dxfId="3176" priority="652" operator="lessThan">
      <formula>0</formula>
    </cfRule>
    <cfRule type="cellIs" dxfId="3175" priority="655" operator="lessThan">
      <formula>0</formula>
    </cfRule>
    <cfRule type="cellIs" dxfId="3174" priority="661" operator="lessThan">
      <formula>0</formula>
    </cfRule>
    <cfRule type="cellIs" dxfId="3173" priority="662" operator="lessThan">
      <formula>0</formula>
    </cfRule>
    <cfRule type="cellIs" dxfId="3172" priority="663" operator="lessThan">
      <formula>0</formula>
    </cfRule>
    <cfRule type="cellIs" dxfId="3171" priority="664" operator="lessThan">
      <formula>0</formula>
    </cfRule>
    <cfRule type="cellIs" dxfId="3170" priority="667" operator="lessThan">
      <formula>0</formula>
    </cfRule>
    <cfRule type="cellIs" dxfId="3169" priority="674" operator="lessThan">
      <formula>0</formula>
    </cfRule>
    <cfRule type="cellIs" dxfId="3168" priority="675" operator="greaterThan">
      <formula>0</formula>
    </cfRule>
    <cfRule type="cellIs" dxfId="3167" priority="676" operator="lessThan">
      <formula>0</formula>
    </cfRule>
  </conditionalFormatting>
  <conditionalFormatting sqref="X32">
    <cfRule type="cellIs" dxfId="3166" priority="677" operator="lessThan">
      <formula>0</formula>
    </cfRule>
  </conditionalFormatting>
  <conditionalFormatting sqref="J36">
    <cfRule type="cellIs" dxfId="3165" priority="672" operator="greaterThan">
      <formula>0</formula>
    </cfRule>
    <cfRule type="cellIs" dxfId="3164" priority="673" operator="lessThan">
      <formula>0</formula>
    </cfRule>
  </conditionalFormatting>
  <conditionalFormatting sqref="Y6">
    <cfRule type="cellIs" dxfId="3163" priority="670" operator="greaterThan">
      <formula>0</formula>
    </cfRule>
    <cfRule type="cellIs" dxfId="3162" priority="671" operator="lessThan">
      <formula>0</formula>
    </cfRule>
  </conditionalFormatting>
  <conditionalFormatting sqref="Z6">
    <cfRule type="cellIs" dxfId="3161" priority="668" operator="greaterThan">
      <formula>0</formula>
    </cfRule>
    <cfRule type="cellIs" dxfId="3160" priority="669" operator="lessThan">
      <formula>0</formula>
    </cfRule>
  </conditionalFormatting>
  <conditionalFormatting sqref="AB6:AB17">
    <cfRule type="cellIs" dxfId="3159" priority="665" operator="lessThan">
      <formula>0</formula>
    </cfRule>
    <cfRule type="cellIs" dxfId="3158" priority="666" operator="greaterThan">
      <formula>0</formula>
    </cfRule>
  </conditionalFormatting>
  <conditionalFormatting sqref="W18">
    <cfRule type="cellIs" dxfId="3157" priority="658" operator="greaterThan">
      <formula>0.8</formula>
    </cfRule>
    <cfRule type="cellIs" dxfId="3156" priority="659" operator="between">
      <formula>0.51</formula>
      <formula>0.8</formula>
    </cfRule>
    <cfRule type="cellIs" dxfId="3155" priority="660" operator="lessThan">
      <formula>0.5</formula>
    </cfRule>
  </conditionalFormatting>
  <conditionalFormatting sqref="X118">
    <cfRule type="cellIs" dxfId="3154" priority="657" operator="lessThan">
      <formula>0</formula>
    </cfRule>
  </conditionalFormatting>
  <conditionalFormatting sqref="X130:X132">
    <cfRule type="cellIs" dxfId="3153" priority="656" operator="lessThan">
      <formula>0</formula>
    </cfRule>
  </conditionalFormatting>
  <conditionalFormatting sqref="Y28">
    <cfRule type="cellIs" dxfId="3152" priority="653" operator="greaterThan">
      <formula>0</formula>
    </cfRule>
    <cfRule type="cellIs" dxfId="3151" priority="654" operator="lessThan">
      <formula>0</formula>
    </cfRule>
  </conditionalFormatting>
  <conditionalFormatting sqref="X28">
    <cfRule type="cellIs" dxfId="3150" priority="644" operator="lessThan">
      <formula>0</formula>
    </cfRule>
    <cfRule type="cellIs" dxfId="3149" priority="645" operator="lessThan">
      <formula>0</formula>
    </cfRule>
    <cfRule type="cellIs" dxfId="3148" priority="646" operator="lessThan">
      <formula>0</formula>
    </cfRule>
    <cfRule type="cellIs" dxfId="3147" priority="647" operator="lessThan">
      <formula>0</formula>
    </cfRule>
    <cfRule type="cellIs" dxfId="3146" priority="648" operator="lessThan">
      <formula>0</formula>
    </cfRule>
    <cfRule type="cellIs" dxfId="3145" priority="649" operator="greaterThan">
      <formula>0</formula>
    </cfRule>
    <cfRule type="cellIs" dxfId="3144" priority="650" operator="lessThan">
      <formula>0</formula>
    </cfRule>
  </conditionalFormatting>
  <conditionalFormatting sqref="Z83:Z94">
    <cfRule type="cellIs" dxfId="3143" priority="642" operator="lessThan">
      <formula>0</formula>
    </cfRule>
    <cfRule type="cellIs" dxfId="3142" priority="643" operator="greaterThan">
      <formula>0</formula>
    </cfRule>
  </conditionalFormatting>
  <conditionalFormatting sqref="X135:X136">
    <cfRule type="cellIs" dxfId="3141" priority="641" operator="lessThan">
      <formula>0</formula>
    </cfRule>
  </conditionalFormatting>
  <conditionalFormatting sqref="X137:X138">
    <cfRule type="cellIs" dxfId="3140" priority="640" operator="lessThan">
      <formula>0</formula>
    </cfRule>
  </conditionalFormatting>
  <conditionalFormatting sqref="X140:X141">
    <cfRule type="cellIs" dxfId="3139" priority="639" operator="lessThan">
      <formula>0</formula>
    </cfRule>
  </conditionalFormatting>
  <conditionalFormatting sqref="X18:X20">
    <cfRule type="cellIs" dxfId="3138" priority="623" operator="lessThan">
      <formula>0</formula>
    </cfRule>
    <cfRule type="cellIs" dxfId="3137" priority="624" operator="lessThan">
      <formula>0</formula>
    </cfRule>
    <cfRule type="cellIs" dxfId="3136" priority="625" operator="lessThan">
      <formula>0</formula>
    </cfRule>
    <cfRule type="cellIs" dxfId="3135" priority="626" operator="lessThan">
      <formula>0</formula>
    </cfRule>
    <cfRule type="cellIs" dxfId="3134" priority="627" operator="lessThan">
      <formula>0</formula>
    </cfRule>
    <cfRule type="cellIs" dxfId="3133" priority="628" operator="greaterThan">
      <formula>0</formula>
    </cfRule>
    <cfRule type="cellIs" dxfId="3132" priority="629" operator="lessThan">
      <formula>0</formula>
    </cfRule>
  </conditionalFormatting>
  <conditionalFormatting sqref="Y19:Y20">
    <cfRule type="cellIs" dxfId="3131" priority="621" operator="greaterThan">
      <formula>0</formula>
    </cfRule>
    <cfRule type="cellIs" dxfId="3130" priority="622" operator="lessThan">
      <formula>0</formula>
    </cfRule>
  </conditionalFormatting>
  <conditionalFormatting sqref="X25:X27">
    <cfRule type="cellIs" dxfId="3129" priority="632" operator="lessThan">
      <formula>0</formula>
    </cfRule>
    <cfRule type="cellIs" dxfId="3128" priority="633" operator="lessThan">
      <formula>0</formula>
    </cfRule>
    <cfRule type="cellIs" dxfId="3127" priority="634" operator="lessThan">
      <formula>0</formula>
    </cfRule>
    <cfRule type="cellIs" dxfId="3126" priority="635" operator="lessThan">
      <formula>0</formula>
    </cfRule>
    <cfRule type="cellIs" dxfId="3125" priority="636" operator="lessThan">
      <formula>0</formula>
    </cfRule>
    <cfRule type="cellIs" dxfId="3124" priority="637" operator="greaterThan">
      <formula>0</formula>
    </cfRule>
    <cfRule type="cellIs" dxfId="3123" priority="638" operator="lessThan">
      <formula>0</formula>
    </cfRule>
  </conditionalFormatting>
  <conditionalFormatting sqref="Y25:Y27">
    <cfRule type="cellIs" dxfId="3122" priority="630" operator="greaterThan">
      <formula>0</formula>
    </cfRule>
    <cfRule type="cellIs" dxfId="3121" priority="631" operator="lessThan">
      <formula>0</formula>
    </cfRule>
  </conditionalFormatting>
  <conditionalFormatting sqref="K40:V50">
    <cfRule type="cellIs" dxfId="3120" priority="619" operator="lessThan">
      <formula>0</formula>
    </cfRule>
    <cfRule type="cellIs" dxfId="3119" priority="620" operator="greaterThan">
      <formula>0.1</formula>
    </cfRule>
  </conditionalFormatting>
  <conditionalFormatting sqref="K51">
    <cfRule type="cellIs" dxfId="3118" priority="617" operator="lessThan">
      <formula>0</formula>
    </cfRule>
    <cfRule type="cellIs" dxfId="3117" priority="618" operator="greaterThan">
      <formula>0.1</formula>
    </cfRule>
  </conditionalFormatting>
  <conditionalFormatting sqref="W40">
    <cfRule type="cellIs" dxfId="3116" priority="615" operator="lessThan">
      <formula>0</formula>
    </cfRule>
    <cfRule type="cellIs" dxfId="3115" priority="616" operator="greaterThan">
      <formula>0.1</formula>
    </cfRule>
  </conditionalFormatting>
  <conditionalFormatting sqref="E481:E646">
    <cfRule type="cellIs" dxfId="3114" priority="614" operator="lessThan">
      <formula>0</formula>
    </cfRule>
  </conditionalFormatting>
  <conditionalFormatting sqref="L40:V42 L44:V46 L48:V50">
    <cfRule type="cellIs" dxfId="3113" priority="612" operator="lessThan">
      <formula>0</formula>
    </cfRule>
    <cfRule type="cellIs" dxfId="3112" priority="613" operator="greaterThan">
      <formula>0.1</formula>
    </cfRule>
  </conditionalFormatting>
  <conditionalFormatting sqref="K43">
    <cfRule type="cellIs" dxfId="3111" priority="608" operator="lessThan">
      <formula>0</formula>
    </cfRule>
    <cfRule type="cellIs" dxfId="3110" priority="609" operator="greaterThan">
      <formula>0.1</formula>
    </cfRule>
    <cfRule type="cellIs" dxfId="3109" priority="610" operator="lessThan">
      <formula>0</formula>
    </cfRule>
    <cfRule type="cellIs" dxfId="3108" priority="611" operator="greaterThan">
      <formula>0.1</formula>
    </cfRule>
  </conditionalFormatting>
  <conditionalFormatting sqref="L43:V43">
    <cfRule type="cellIs" dxfId="3107" priority="604" operator="lessThan">
      <formula>0</formula>
    </cfRule>
    <cfRule type="cellIs" dxfId="3106" priority="605" operator="greaterThan">
      <formula>0.1</formula>
    </cfRule>
    <cfRule type="cellIs" dxfId="3105" priority="606" operator="lessThan">
      <formula>0</formula>
    </cfRule>
    <cfRule type="cellIs" dxfId="3104" priority="607" operator="greaterThan">
      <formula>0.1</formula>
    </cfRule>
  </conditionalFormatting>
  <conditionalFormatting sqref="L51:W51">
    <cfRule type="cellIs" dxfId="3103" priority="602" operator="lessThan">
      <formula>0</formula>
    </cfRule>
    <cfRule type="cellIs" dxfId="3102" priority="603" operator="greaterThan">
      <formula>0.1</formula>
    </cfRule>
  </conditionalFormatting>
  <conditionalFormatting sqref="E538">
    <cfRule type="cellIs" dxfId="3101" priority="601" operator="lessThan">
      <formula>0</formula>
    </cfRule>
  </conditionalFormatting>
  <conditionalFormatting sqref="E528">
    <cfRule type="cellIs" dxfId="3100" priority="600" operator="lessThan">
      <formula>0</formula>
    </cfRule>
  </conditionalFormatting>
  <conditionalFormatting sqref="E525">
    <cfRule type="cellIs" dxfId="3099" priority="599" operator="lessThan">
      <formula>0</formula>
    </cfRule>
  </conditionalFormatting>
  <conditionalFormatting sqref="E516:E519">
    <cfRule type="cellIs" dxfId="3098" priority="598" operator="lessThan">
      <formula>0</formula>
    </cfRule>
  </conditionalFormatting>
  <conditionalFormatting sqref="E521:E523">
    <cfRule type="cellIs" dxfId="3097" priority="597" operator="lessThan">
      <formula>0</formula>
    </cfRule>
  </conditionalFormatting>
  <conditionalFormatting sqref="E489">
    <cfRule type="cellIs" dxfId="3096" priority="596" operator="lessThan">
      <formula>0</formula>
    </cfRule>
  </conditionalFormatting>
  <conditionalFormatting sqref="E482:E483">
    <cfRule type="cellIs" dxfId="3095" priority="595" operator="lessThan">
      <formula>0</formula>
    </cfRule>
  </conditionalFormatting>
  <conditionalFormatting sqref="Y40">
    <cfRule type="cellIs" dxfId="3094" priority="567" operator="greaterThan">
      <formula>0</formula>
    </cfRule>
    <cfRule type="cellIs" dxfId="3093" priority="568" operator="lessThan">
      <formula>0</formula>
    </cfRule>
  </conditionalFormatting>
  <conditionalFormatting sqref="Z30">
    <cfRule type="cellIs" dxfId="3092" priority="558" operator="greaterThan">
      <formula>0</formula>
    </cfRule>
    <cfRule type="cellIs" dxfId="3091" priority="559" operator="lessThan">
      <formula>0</formula>
    </cfRule>
  </conditionalFormatting>
  <conditionalFormatting sqref="X24">
    <cfRule type="cellIs" dxfId="3090" priority="509" operator="lessThan">
      <formula>0</formula>
    </cfRule>
    <cfRule type="cellIs" dxfId="3089" priority="510" operator="lessThan">
      <formula>0</formula>
    </cfRule>
    <cfRule type="cellIs" dxfId="3088" priority="511" operator="lessThan">
      <formula>0</formula>
    </cfRule>
    <cfRule type="cellIs" dxfId="3087" priority="512" operator="lessThan">
      <formula>0</formula>
    </cfRule>
    <cfRule type="cellIs" dxfId="3086" priority="513" operator="lessThan">
      <formula>0</formula>
    </cfRule>
    <cfRule type="cellIs" dxfId="3085" priority="514" operator="greaterThan">
      <formula>0</formula>
    </cfRule>
    <cfRule type="cellIs" dxfId="3084" priority="515" operator="lessThan">
      <formula>0</formula>
    </cfRule>
  </conditionalFormatting>
  <conditionalFormatting sqref="Z7:Z17">
    <cfRule type="cellIs" dxfId="3083" priority="503" operator="greaterThan">
      <formula>0</formula>
    </cfRule>
    <cfRule type="cellIs" dxfId="3082" priority="504" operator="lessThan">
      <formula>0</formula>
    </cfRule>
  </conditionalFormatting>
  <conditionalFormatting sqref="K18:V18">
    <cfRule type="cellIs" dxfId="3081" priority="524" operator="greaterThan">
      <formula>0.81</formula>
    </cfRule>
    <cfRule type="cellIs" dxfId="3080" priority="525" operator="between">
      <formula>0.301</formula>
      <formula>0.8</formula>
    </cfRule>
    <cfRule type="cellIs" dxfId="3079" priority="526" operator="lessThan">
      <formula>0.3</formula>
    </cfRule>
  </conditionalFormatting>
  <conditionalFormatting sqref="K19:W19">
    <cfRule type="cellIs" dxfId="3078" priority="522" operator="lessThan">
      <formula>0</formula>
    </cfRule>
    <cfRule type="cellIs" dxfId="3077" priority="523" operator="greaterThan">
      <formula>0.0001</formula>
    </cfRule>
  </conditionalFormatting>
  <conditionalFormatting sqref="Q18">
    <cfRule type="cellIs" dxfId="3076" priority="519" operator="greaterThan">
      <formula>0.75</formula>
    </cfRule>
    <cfRule type="cellIs" dxfId="3075" priority="520" operator="between">
      <formula>0.301</formula>
      <formula>0.7499</formula>
    </cfRule>
    <cfRule type="cellIs" dxfId="3074" priority="521" operator="lessThan">
      <formula>0.3</formula>
    </cfRule>
  </conditionalFormatting>
  <conditionalFormatting sqref="Y30">
    <cfRule type="cellIs" dxfId="3073" priority="517" operator="lessThan">
      <formula>0</formula>
    </cfRule>
    <cfRule type="cellIs" dxfId="3072" priority="518" operator="greaterThan">
      <formula>0</formula>
    </cfRule>
  </conditionalFormatting>
  <conditionalFormatting sqref="X23">
    <cfRule type="cellIs" dxfId="3071" priority="488" operator="lessThan">
      <formula>0</formula>
    </cfRule>
    <cfRule type="cellIs" dxfId="3070" priority="489" operator="lessThan">
      <formula>0</formula>
    </cfRule>
    <cfRule type="cellIs" dxfId="3069" priority="490" operator="lessThan">
      <formula>0</formula>
    </cfRule>
    <cfRule type="cellIs" dxfId="3068" priority="491" operator="lessThan">
      <formula>0</formula>
    </cfRule>
    <cfRule type="cellIs" dxfId="3067" priority="492" operator="lessThan">
      <formula>0</formula>
    </cfRule>
    <cfRule type="cellIs" dxfId="3066" priority="493" operator="greaterThan">
      <formula>0</formula>
    </cfRule>
    <cfRule type="cellIs" dxfId="3065" priority="494" operator="lessThan">
      <formula>0</formula>
    </cfRule>
  </conditionalFormatting>
  <conditionalFormatting sqref="X119:X127">
    <cfRule type="cellIs" dxfId="3064" priority="516" operator="lessThan">
      <formula>0</formula>
    </cfRule>
  </conditionalFormatting>
  <conditionalFormatting sqref="Y24">
    <cfRule type="cellIs" dxfId="3063" priority="507" operator="greaterThan">
      <formula>0</formula>
    </cfRule>
    <cfRule type="cellIs" dxfId="3062" priority="508" operator="lessThan">
      <formula>0</formula>
    </cfRule>
  </conditionalFormatting>
  <conditionalFormatting sqref="X98:X105">
    <cfRule type="cellIs" dxfId="3061" priority="506" operator="lessThan">
      <formula>0</formula>
    </cfRule>
  </conditionalFormatting>
  <conditionalFormatting sqref="K6:V17">
    <cfRule type="cellIs" dxfId="3060" priority="505" operator="lessThan">
      <formula>0</formula>
    </cfRule>
  </conditionalFormatting>
  <conditionalFormatting sqref="K21:V29">
    <cfRule type="aboveAverage" dxfId="3059" priority="495"/>
    <cfRule type="aboveAverage" dxfId="3058" priority="501"/>
  </conditionalFormatting>
  <conditionalFormatting sqref="E69">
    <cfRule type="cellIs" dxfId="3057" priority="500" operator="lessThan">
      <formula>0</formula>
    </cfRule>
  </conditionalFormatting>
  <conditionalFormatting sqref="E70">
    <cfRule type="cellIs" dxfId="3056" priority="499" operator="lessThan">
      <formula>0</formula>
    </cfRule>
  </conditionalFormatting>
  <conditionalFormatting sqref="X40">
    <cfRule type="cellIs" dxfId="3055" priority="496" operator="greaterThan">
      <formula>0</formula>
    </cfRule>
    <cfRule type="cellIs" dxfId="3054" priority="497" operator="greaterThan">
      <formula>0</formula>
    </cfRule>
    <cfRule type="cellIs" dxfId="3053" priority="498" operator="lessThan">
      <formula>0</formula>
    </cfRule>
  </conditionalFormatting>
  <conditionalFormatting sqref="Y23">
    <cfRule type="cellIs" dxfId="3052" priority="486" operator="greaterThan">
      <formula>0</formula>
    </cfRule>
    <cfRule type="cellIs" dxfId="3051" priority="487" operator="lessThan">
      <formula>0</formula>
    </cfRule>
  </conditionalFormatting>
  <conditionalFormatting sqref="L136:V136">
    <cfRule type="cellIs" dxfId="3050" priority="480" operator="lessThan">
      <formula>0</formula>
    </cfRule>
  </conditionalFormatting>
  <conditionalFormatting sqref="K47:V47">
    <cfRule type="cellIs" dxfId="3049" priority="484" operator="lessThan">
      <formula>0</formula>
    </cfRule>
    <cfRule type="cellIs" dxfId="3048" priority="485" operator="greaterThan">
      <formula>0.1</formula>
    </cfRule>
  </conditionalFormatting>
  <conditionalFormatting sqref="K54">
    <cfRule type="cellIs" dxfId="3047" priority="482" operator="lessThan">
      <formula>0</formula>
    </cfRule>
  </conditionalFormatting>
  <conditionalFormatting sqref="L54:V54">
    <cfRule type="cellIs" dxfId="3046" priority="481" operator="lessThan">
      <formula>0</formula>
    </cfRule>
  </conditionalFormatting>
  <conditionalFormatting sqref="E28">
    <cfRule type="cellIs" dxfId="3045" priority="479" operator="lessThan">
      <formula>0</formula>
    </cfRule>
  </conditionalFormatting>
  <conditionalFormatting sqref="Y18">
    <cfRule type="cellIs" dxfId="3044" priority="477" operator="greaterThan">
      <formula>0</formula>
    </cfRule>
    <cfRule type="cellIs" dxfId="3043" priority="478" operator="lessThan">
      <formula>0</formula>
    </cfRule>
  </conditionalFormatting>
  <conditionalFormatting sqref="E35:E37">
    <cfRule type="cellIs" dxfId="3042" priority="476" operator="lessThan">
      <formula>0</formula>
    </cfRule>
  </conditionalFormatting>
  <conditionalFormatting sqref="X22">
    <cfRule type="cellIs" dxfId="3041" priority="464" operator="lessThan">
      <formula>0</formula>
    </cfRule>
    <cfRule type="cellIs" dxfId="3040" priority="465" operator="lessThan">
      <formula>0</formula>
    </cfRule>
    <cfRule type="cellIs" dxfId="3039" priority="466" operator="lessThan">
      <formula>0</formula>
    </cfRule>
    <cfRule type="cellIs" dxfId="3038" priority="467" operator="lessThan">
      <formula>0</formula>
    </cfRule>
    <cfRule type="cellIs" dxfId="3037" priority="468" operator="lessThan">
      <formula>0</formula>
    </cfRule>
    <cfRule type="cellIs" dxfId="3036" priority="469" operator="greaterThan">
      <formula>0</formula>
    </cfRule>
    <cfRule type="cellIs" dxfId="3035" priority="470" operator="lessThan">
      <formula>0</formula>
    </cfRule>
  </conditionalFormatting>
  <conditionalFormatting sqref="Y7:Y17">
    <cfRule type="cellIs" dxfId="3034" priority="473" operator="greaterThan">
      <formula>0</formula>
    </cfRule>
    <cfRule type="cellIs" dxfId="3033" priority="474" operator="lessThan">
      <formula>0</formula>
    </cfRule>
  </conditionalFormatting>
  <conditionalFormatting sqref="W41:W50">
    <cfRule type="cellIs" dxfId="3032" priority="471" operator="lessThan">
      <formula>0</formula>
    </cfRule>
    <cfRule type="cellIs" dxfId="3031" priority="472" operator="greaterThan">
      <formula>0.1</formula>
    </cfRule>
  </conditionalFormatting>
  <conditionalFormatting sqref="Y22">
    <cfRule type="cellIs" dxfId="3030" priority="462" operator="greaterThan">
      <formula>0</formula>
    </cfRule>
    <cfRule type="cellIs" dxfId="3029" priority="463" operator="lessThan">
      <formula>0</formula>
    </cfRule>
  </conditionalFormatting>
  <conditionalFormatting sqref="K97">
    <cfRule type="cellIs" dxfId="3028" priority="448" operator="lessThan">
      <formula>0</formula>
    </cfRule>
  </conditionalFormatting>
  <conditionalFormatting sqref="L97:V97">
    <cfRule type="cellIs" dxfId="3027" priority="446" operator="lessThan">
      <formula>0</formula>
    </cfRule>
  </conditionalFormatting>
  <conditionalFormatting sqref="K118:K126">
    <cfRule type="cellIs" dxfId="3026" priority="444" operator="lessThan">
      <formula>0</formula>
    </cfRule>
  </conditionalFormatting>
  <conditionalFormatting sqref="L118:V118">
    <cfRule type="cellIs" dxfId="3025" priority="443" operator="lessThan">
      <formula>0</formula>
    </cfRule>
  </conditionalFormatting>
  <conditionalFormatting sqref="E45">
    <cfRule type="cellIs" dxfId="3024" priority="419" operator="lessThan">
      <formula>0</formula>
    </cfRule>
  </conditionalFormatting>
  <conditionalFormatting sqref="E25">
    <cfRule type="cellIs" dxfId="3023" priority="377" operator="lessThan">
      <formula>0</formula>
    </cfRule>
  </conditionalFormatting>
  <conditionalFormatting sqref="E44">
    <cfRule type="cellIs" dxfId="3022" priority="335" operator="lessThan">
      <formula>0</formula>
    </cfRule>
  </conditionalFormatting>
  <conditionalFormatting sqref="E43">
    <cfRule type="cellIs" dxfId="3021" priority="329" operator="lessThan">
      <formula>0</formula>
    </cfRule>
  </conditionalFormatting>
  <conditionalFormatting sqref="X41:X51">
    <cfRule type="cellIs" dxfId="3020" priority="323" operator="greaterThan">
      <formula>0</formula>
    </cfRule>
    <cfRule type="cellIs" dxfId="3019" priority="324" operator="greaterThan">
      <formula>0</formula>
    </cfRule>
    <cfRule type="cellIs" dxfId="3018" priority="325" operator="lessThan">
      <formula>0</formula>
    </cfRule>
  </conditionalFormatting>
  <conditionalFormatting sqref="Y41:Y51">
    <cfRule type="cellIs" dxfId="3017" priority="321" operator="greaterThan">
      <formula>0</formula>
    </cfRule>
    <cfRule type="cellIs" dxfId="3016" priority="322" operator="lessThan">
      <formula>0</formula>
    </cfRule>
  </conditionalFormatting>
  <conditionalFormatting sqref="S21">
    <cfRule type="aboveAverage" dxfId="3015" priority="293"/>
    <cfRule type="aboveAverage" dxfId="3014" priority="294"/>
  </conditionalFormatting>
  <conditionalFormatting sqref="T21">
    <cfRule type="aboveAverage" dxfId="3013" priority="291"/>
    <cfRule type="aboveAverage" dxfId="3012" priority="292"/>
  </conditionalFormatting>
  <conditionalFormatting sqref="U21">
    <cfRule type="aboveAverage" dxfId="3011" priority="272"/>
    <cfRule type="aboveAverage" dxfId="3010" priority="273"/>
    <cfRule type="aboveAverage" dxfId="3009" priority="284"/>
    <cfRule type="aboveAverage" dxfId="3008" priority="285"/>
  </conditionalFormatting>
  <conditionalFormatting sqref="W20">
    <cfRule type="cellIs" dxfId="3007" priority="205" operator="lessThan">
      <formula>0</formula>
    </cfRule>
  </conditionalFormatting>
  <conditionalFormatting sqref="V20:V21">
    <cfRule type="cellIs" dxfId="3006" priority="204" operator="lessThan">
      <formula>0</formula>
    </cfRule>
  </conditionalFormatting>
  <conditionalFormatting sqref="E47">
    <cfRule type="cellIs" dxfId="3005" priority="201" operator="lessThan">
      <formula>0</formula>
    </cfRule>
  </conditionalFormatting>
  <conditionalFormatting sqref="K21:R21">
    <cfRule type="aboveAverage" dxfId="3004" priority="191"/>
    <cfRule type="aboveAverage" dxfId="3003" priority="192"/>
  </conditionalFormatting>
  <conditionalFormatting sqref="X21">
    <cfRule type="cellIs" dxfId="3002" priority="184" operator="lessThan">
      <formula>0</formula>
    </cfRule>
    <cfRule type="cellIs" dxfId="3001" priority="185" operator="lessThan">
      <formula>0</formula>
    </cfRule>
    <cfRule type="cellIs" dxfId="3000" priority="186" operator="lessThan">
      <formula>0</formula>
    </cfRule>
    <cfRule type="cellIs" dxfId="2999" priority="187" operator="lessThan">
      <formula>0</formula>
    </cfRule>
    <cfRule type="cellIs" dxfId="2998" priority="188" operator="lessThan">
      <formula>0</formula>
    </cfRule>
    <cfRule type="cellIs" dxfId="2997" priority="189" operator="greaterThan">
      <formula>0</formula>
    </cfRule>
    <cfRule type="cellIs" dxfId="2996" priority="190" operator="lessThan">
      <formula>0</formula>
    </cfRule>
  </conditionalFormatting>
  <conditionalFormatting sqref="Y21">
    <cfRule type="cellIs" dxfId="2995" priority="182" operator="greaterThan">
      <formula>0</formula>
    </cfRule>
    <cfRule type="cellIs" dxfId="2994" priority="183" operator="lessThan">
      <formula>0</formula>
    </cfRule>
  </conditionalFormatting>
  <conditionalFormatting sqref="K55:K64">
    <cfRule type="cellIs" dxfId="2993" priority="181" operator="lessThan">
      <formula>0</formula>
    </cfRule>
  </conditionalFormatting>
  <conditionalFormatting sqref="L55:L64">
    <cfRule type="cellIs" dxfId="2992" priority="180" operator="lessThan">
      <formula>0</formula>
    </cfRule>
  </conditionalFormatting>
  <conditionalFormatting sqref="M55:M64">
    <cfRule type="cellIs" dxfId="2991" priority="179" operator="lessThan">
      <formula>0</formula>
    </cfRule>
  </conditionalFormatting>
  <conditionalFormatting sqref="N55:N64">
    <cfRule type="cellIs" dxfId="2990" priority="178" operator="lessThan">
      <formula>0</formula>
    </cfRule>
  </conditionalFormatting>
  <conditionalFormatting sqref="O55:O64">
    <cfRule type="cellIs" dxfId="2989" priority="177" operator="lessThan">
      <formula>0</formula>
    </cfRule>
  </conditionalFormatting>
  <conditionalFormatting sqref="P55:P64">
    <cfRule type="cellIs" dxfId="2988" priority="176" operator="lessThan">
      <formula>0</formula>
    </cfRule>
  </conditionalFormatting>
  <conditionalFormatting sqref="Q55:Q64">
    <cfRule type="cellIs" dxfId="2987" priority="175" operator="lessThan">
      <formula>0</formula>
    </cfRule>
  </conditionalFormatting>
  <conditionalFormatting sqref="R55:R64">
    <cfRule type="cellIs" dxfId="2986" priority="174" operator="lessThan">
      <formula>0</formula>
    </cfRule>
  </conditionalFormatting>
  <conditionalFormatting sqref="S55:S64">
    <cfRule type="cellIs" dxfId="2985" priority="173" operator="lessThan">
      <formula>0</formula>
    </cfRule>
  </conditionalFormatting>
  <conditionalFormatting sqref="T55:T64">
    <cfRule type="cellIs" dxfId="2984" priority="172" operator="lessThan">
      <formula>0</formula>
    </cfRule>
  </conditionalFormatting>
  <conditionalFormatting sqref="U55:U64">
    <cfRule type="cellIs" dxfId="2983" priority="171" operator="lessThan">
      <formula>0</formula>
    </cfRule>
  </conditionalFormatting>
  <conditionalFormatting sqref="V55:V64">
    <cfRule type="cellIs" dxfId="2982" priority="170" operator="lessThan">
      <formula>0</formula>
    </cfRule>
  </conditionalFormatting>
  <conditionalFormatting sqref="K98:K105">
    <cfRule type="cellIs" dxfId="2981" priority="169" operator="lessThan">
      <formula>0</formula>
    </cfRule>
  </conditionalFormatting>
  <conditionalFormatting sqref="L98:L105">
    <cfRule type="cellIs" dxfId="2980" priority="168" operator="lessThan">
      <formula>0</formula>
    </cfRule>
  </conditionalFormatting>
  <conditionalFormatting sqref="M98:M105">
    <cfRule type="cellIs" dxfId="2979" priority="167" operator="lessThan">
      <formula>0</formula>
    </cfRule>
  </conditionalFormatting>
  <conditionalFormatting sqref="N98:N105">
    <cfRule type="cellIs" dxfId="2978" priority="166" operator="lessThan">
      <formula>0</formula>
    </cfRule>
  </conditionalFormatting>
  <conditionalFormatting sqref="O98:O105">
    <cfRule type="cellIs" dxfId="2977" priority="165" operator="lessThan">
      <formula>0</formula>
    </cfRule>
  </conditionalFormatting>
  <conditionalFormatting sqref="P98:P105">
    <cfRule type="cellIs" dxfId="2976" priority="164" operator="lessThan">
      <formula>0</formula>
    </cfRule>
  </conditionalFormatting>
  <conditionalFormatting sqref="Q98:Q105">
    <cfRule type="cellIs" dxfId="2975" priority="163" operator="lessThan">
      <formula>0</formula>
    </cfRule>
  </conditionalFormatting>
  <conditionalFormatting sqref="R98:R105">
    <cfRule type="cellIs" dxfId="2974" priority="162" operator="lessThan">
      <formula>0</formula>
    </cfRule>
  </conditionalFormatting>
  <conditionalFormatting sqref="S98:S105">
    <cfRule type="cellIs" dxfId="2973" priority="161" operator="lessThan">
      <formula>0</formula>
    </cfRule>
  </conditionalFormatting>
  <conditionalFormatting sqref="T98:T105">
    <cfRule type="cellIs" dxfId="2972" priority="160" operator="lessThan">
      <formula>0</formula>
    </cfRule>
  </conditionalFormatting>
  <conditionalFormatting sqref="U98:U105">
    <cfRule type="cellIs" dxfId="2971" priority="159" operator="lessThan">
      <formula>0</formula>
    </cfRule>
  </conditionalFormatting>
  <conditionalFormatting sqref="V98:V105">
    <cfRule type="cellIs" dxfId="2970" priority="158" operator="lessThan">
      <formula>0</formula>
    </cfRule>
  </conditionalFormatting>
  <conditionalFormatting sqref="K119:K126">
    <cfRule type="cellIs" dxfId="2969" priority="157" operator="lessThan">
      <formula>0</formula>
    </cfRule>
  </conditionalFormatting>
  <conditionalFormatting sqref="L119:L126">
    <cfRule type="cellIs" dxfId="2968" priority="156" operator="lessThan">
      <formula>0</formula>
    </cfRule>
  </conditionalFormatting>
  <conditionalFormatting sqref="M119:M126">
    <cfRule type="cellIs" dxfId="2967" priority="155" operator="lessThan">
      <formula>0</formula>
    </cfRule>
  </conditionalFormatting>
  <conditionalFormatting sqref="N119:N126">
    <cfRule type="cellIs" dxfId="2966" priority="154" operator="lessThan">
      <formula>0</formula>
    </cfRule>
  </conditionalFormatting>
  <conditionalFormatting sqref="O119:O126">
    <cfRule type="cellIs" dxfId="2965" priority="153" operator="lessThan">
      <formula>0</formula>
    </cfRule>
  </conditionalFormatting>
  <conditionalFormatting sqref="P119:P126">
    <cfRule type="cellIs" dxfId="2964" priority="152" operator="lessThan">
      <formula>0</formula>
    </cfRule>
  </conditionalFormatting>
  <conditionalFormatting sqref="Q119:Q126">
    <cfRule type="cellIs" dxfId="2963" priority="151" operator="lessThan">
      <formula>0</formula>
    </cfRule>
  </conditionalFormatting>
  <conditionalFormatting sqref="R119:R126">
    <cfRule type="cellIs" dxfId="2962" priority="150" operator="lessThan">
      <formula>0</formula>
    </cfRule>
  </conditionalFormatting>
  <conditionalFormatting sqref="S119:S126">
    <cfRule type="cellIs" dxfId="2961" priority="149" operator="lessThan">
      <formula>0</formula>
    </cfRule>
  </conditionalFormatting>
  <conditionalFormatting sqref="T119:T126">
    <cfRule type="cellIs" dxfId="2960" priority="148" operator="lessThan">
      <formula>0</formula>
    </cfRule>
  </conditionalFormatting>
  <conditionalFormatting sqref="U119:U126">
    <cfRule type="cellIs" dxfId="2959" priority="147" operator="lessThan">
      <formula>0</formula>
    </cfRule>
  </conditionalFormatting>
  <conditionalFormatting sqref="V119:V126">
    <cfRule type="cellIs" dxfId="2958" priority="146" operator="lessThan">
      <formula>0</formula>
    </cfRule>
  </conditionalFormatting>
  <conditionalFormatting sqref="E473:E474">
    <cfRule type="cellIs" dxfId="2957" priority="115" operator="lessThan">
      <formula>0</formula>
    </cfRule>
  </conditionalFormatting>
  <conditionalFormatting sqref="E479">
    <cfRule type="cellIs" dxfId="2956" priority="114" operator="lessThan">
      <formula>0</formula>
    </cfRule>
  </conditionalFormatting>
  <conditionalFormatting sqref="E471">
    <cfRule type="cellIs" dxfId="2955" priority="113" operator="lessThan">
      <formula>0</formula>
    </cfRule>
  </conditionalFormatting>
  <conditionalFormatting sqref="E469">
    <cfRule type="cellIs" dxfId="2954" priority="112" operator="lessThan">
      <formula>0</formula>
    </cfRule>
  </conditionalFormatting>
  <conditionalFormatting sqref="E466">
    <cfRule type="cellIs" dxfId="2953" priority="50" operator="lessThan">
      <formula>0</formula>
    </cfRule>
  </conditionalFormatting>
  <conditionalFormatting sqref="E463">
    <cfRule type="cellIs" dxfId="2952" priority="49" operator="lessThan">
      <formula>0</formula>
    </cfRule>
  </conditionalFormatting>
  <conditionalFormatting sqref="E454">
    <cfRule type="cellIs" dxfId="2951" priority="48" operator="lessThan">
      <formula>0</formula>
    </cfRule>
  </conditionalFormatting>
  <conditionalFormatting sqref="E453">
    <cfRule type="cellIs" dxfId="2950" priority="47" operator="lessThan">
      <formula>0</formula>
    </cfRule>
  </conditionalFormatting>
  <conditionalFormatting sqref="E450:E451">
    <cfRule type="cellIs" dxfId="2949" priority="46" operator="lessThan">
      <formula>0</formula>
    </cfRule>
  </conditionalFormatting>
  <conditionalFormatting sqref="E425:E426">
    <cfRule type="cellIs" dxfId="2948" priority="12" operator="lessThan">
      <formula>0</formula>
    </cfRule>
  </conditionalFormatting>
  <conditionalFormatting sqref="E416:E417">
    <cfRule type="cellIs" dxfId="2947" priority="11" operator="lessThan">
      <formula>0</formula>
    </cfRule>
  </conditionalFormatting>
  <conditionalFormatting sqref="E413:E414">
    <cfRule type="cellIs" dxfId="2946" priority="10" operator="lessThan">
      <formula>0</formula>
    </cfRule>
  </conditionalFormatting>
  <conditionalFormatting sqref="E389:E390">
    <cfRule type="cellIs" dxfId="2945" priority="9" operator="lessThan">
      <formula>0</formula>
    </cfRule>
  </conditionalFormatting>
  <conditionalFormatting sqref="E348:E349">
    <cfRule type="cellIs" dxfId="2944" priority="8" operator="lessThan">
      <formula>0</formula>
    </cfRule>
  </conditionalFormatting>
  <conditionalFormatting sqref="E316:E319">
    <cfRule type="cellIs" dxfId="2943" priority="7" operator="lessThan">
      <formula>0</formula>
    </cfRule>
  </conditionalFormatting>
  <conditionalFormatting sqref="E293:E294">
    <cfRule type="cellIs" dxfId="2942" priority="6" operator="lessThan">
      <formula>0</formula>
    </cfRule>
  </conditionalFormatting>
  <conditionalFormatting sqref="E276:E277">
    <cfRule type="cellIs" dxfId="2941" priority="5" operator="lessThan">
      <formula>0</formula>
    </cfRule>
  </conditionalFormatting>
  <conditionalFormatting sqref="E251:E252">
    <cfRule type="cellIs" dxfId="2940" priority="4" operator="lessThan">
      <formula>0</formula>
    </cfRule>
  </conditionalFormatting>
  <conditionalFormatting sqref="E223:E224">
    <cfRule type="cellIs" dxfId="2939" priority="3" operator="lessThan">
      <formula>0</formula>
    </cfRule>
  </conditionalFormatting>
  <conditionalFormatting sqref="E201:E202">
    <cfRule type="cellIs" dxfId="2938" priority="2" operator="lessThan">
      <formula>0</formula>
    </cfRule>
  </conditionalFormatting>
  <conditionalFormatting sqref="E179:E180">
    <cfRule type="cellIs" dxfId="2937" priority="1" operator="lessThan">
      <formula>0</formula>
    </cfRule>
  </conditionalFormatting>
  <dataValidations count="3">
    <dataValidation type="list" allowBlank="1" showInputMessage="1" showErrorMessage="1" sqref="C154:C483 C485:C554" xr:uid="{00000000-0002-0000-0900-000000000000}">
      <formula1>$I$5:$I$31</formula1>
    </dataValidation>
    <dataValidation type="list" allowBlank="1" showInputMessage="1" showErrorMessage="1" sqref="C3:C18 C24 C40 C46 C48 C50 C56:C57 C67:C68 C70:C77 C555:C590 C592:C637 C639:C697 C700 C702:C757 C764:C795 C798:C823 C825:C833 C835:C862 C864:C867 C870:C874 C876 C878:C879 C881:C903 C905:C939 C942:C953 C955:C984 C986:C1038 C1041:C1075" xr:uid="{00000000-0002-0000-0900-000001000000}">
      <formula1>$I$5:$I$32</formula1>
    </dataValidation>
    <dataValidation type="list" allowBlank="1" showInputMessage="1" showErrorMessage="1" sqref="C23 C25:C30 C32:C37 C39 C41 C43:C45 C47 C49 C51:C53 C55" xr:uid="{00000000-0002-0000-0900-000002000000}">
      <formula1>$I$4:$I$29</formula1>
    </dataValidation>
  </dataValidations>
  <pageMargins left="0.25" right="0.25" top="0.75" bottom="0.75" header="0.3" footer="0.3"/>
  <pageSetup paperSize="9" scale="10"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pageSetUpPr fitToPage="1"/>
  </sheetPr>
  <dimension ref="A1:AI635"/>
  <sheetViews>
    <sheetView showZeros="0"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5.46484375" style="426" bestFit="1" customWidth="1"/>
    <col min="5" max="5" width="11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8.86328125" style="426" customWidth="1"/>
    <col min="12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7.86328125" style="426" bestFit="1" customWidth="1"/>
    <col min="27" max="27" width="11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5" width="9.1328125" style="426" customWidth="1"/>
    <col min="36" max="16384" width="9.1328125" style="426"/>
  </cols>
  <sheetData>
    <row r="1" spans="1:34" x14ac:dyDescent="0.35">
      <c r="J1" s="45" t="s">
        <v>1</v>
      </c>
      <c r="K1" s="567">
        <v>-4.4999999999999998E-2</v>
      </c>
      <c r="L1" s="567">
        <v>-4.4999999999999998E-2</v>
      </c>
      <c r="M1" s="567">
        <v>-0.02</v>
      </c>
      <c r="N1" s="567">
        <v>0.01</v>
      </c>
      <c r="O1" s="567">
        <v>0.01</v>
      </c>
      <c r="P1" s="567">
        <v>0.01</v>
      </c>
      <c r="Q1" s="567">
        <v>0.02</v>
      </c>
      <c r="R1" s="567">
        <v>0.01</v>
      </c>
      <c r="S1" s="567">
        <v>0.02</v>
      </c>
      <c r="T1" s="567">
        <v>0.02</v>
      </c>
      <c r="U1" s="567">
        <v>0.01</v>
      </c>
      <c r="V1" s="567">
        <v>0</v>
      </c>
      <c r="W1" s="837">
        <f>SUM(K1:V1)</f>
        <v>-8.6736173798840355E-18</v>
      </c>
    </row>
    <row r="2" spans="1:34" ht="13.15" customHeight="1" x14ac:dyDescent="0.4">
      <c r="A2" s="418" t="s">
        <v>187</v>
      </c>
      <c r="B2" s="418" t="s">
        <v>1568</v>
      </c>
      <c r="C2" s="418" t="s">
        <v>189</v>
      </c>
      <c r="D2" s="418" t="s">
        <v>191</v>
      </c>
      <c r="E2" s="419" t="s">
        <v>1569</v>
      </c>
      <c r="F2" s="418" t="s">
        <v>1570</v>
      </c>
      <c r="J2" s="45" t="s">
        <v>3</v>
      </c>
      <c r="K2" s="800">
        <f t="shared" ref="K2:V2" si="0">SUM(K30/$W30)</f>
        <v>8.4212318733460176E-2</v>
      </c>
      <c r="L2" s="800">
        <f t="shared" si="0"/>
        <v>8.3242693422257485E-2</v>
      </c>
      <c r="M2" s="800">
        <f t="shared" si="0"/>
        <v>8.8397384897792156E-2</v>
      </c>
      <c r="N2" s="800">
        <f t="shared" si="0"/>
        <v>6.6774463362245268E-2</v>
      </c>
      <c r="O2" s="800">
        <f t="shared" si="0"/>
        <v>6.7931999212084787E-2</v>
      </c>
      <c r="P2" s="800">
        <f t="shared" si="0"/>
        <v>6.902605099123206E-2</v>
      </c>
      <c r="Q2" s="800">
        <f t="shared" si="0"/>
        <v>5.3152884448807766E-2</v>
      </c>
      <c r="R2" s="800">
        <f t="shared" si="0"/>
        <v>0.10085914756487029</v>
      </c>
      <c r="S2" s="800">
        <f t="shared" si="0"/>
        <v>0.10620858454772232</v>
      </c>
      <c r="T2" s="800">
        <f t="shared" si="0"/>
        <v>9.1395989013405066E-2</v>
      </c>
      <c r="U2" s="800">
        <f t="shared" si="0"/>
        <v>9.1113216290154203E-2</v>
      </c>
      <c r="V2" s="800">
        <f t="shared" si="0"/>
        <v>9.768526751596851E-2</v>
      </c>
      <c r="W2" s="836">
        <f>SUM(K2:V2)</f>
        <v>1</v>
      </c>
      <c r="AD2" s="46" t="s">
        <v>4</v>
      </c>
      <c r="AE2" s="45" t="s">
        <v>5</v>
      </c>
      <c r="AF2" s="45" t="s">
        <v>6</v>
      </c>
      <c r="AG2" s="45" t="s">
        <v>7</v>
      </c>
      <c r="AH2" s="45" t="s">
        <v>8</v>
      </c>
    </row>
    <row r="3" spans="1:34" ht="13.9" customHeight="1" x14ac:dyDescent="0.4">
      <c r="A3" s="427"/>
      <c r="B3" s="701"/>
      <c r="C3" s="427"/>
      <c r="D3" s="427"/>
      <c r="E3" s="695"/>
      <c r="F3" s="427"/>
      <c r="I3"/>
      <c r="J3" s="647" t="s">
        <v>12</v>
      </c>
      <c r="K3" s="737">
        <f t="shared" ref="K3:V3" si="1">SUM(K2+K1)*$J18</f>
        <v>2446.8486889679152</v>
      </c>
      <c r="L3" s="737">
        <f t="shared" si="1"/>
        <v>2386.3440695488671</v>
      </c>
      <c r="M3" s="737">
        <f t="shared" si="1"/>
        <v>4267.9968176222301</v>
      </c>
      <c r="N3" s="737">
        <f t="shared" si="1"/>
        <v>4790.7265138041048</v>
      </c>
      <c r="O3" s="737">
        <f t="shared" si="1"/>
        <v>4862.9567508340906</v>
      </c>
      <c r="P3" s="737">
        <f t="shared" si="1"/>
        <v>4931.2255818528802</v>
      </c>
      <c r="Q3" s="737">
        <f t="shared" si="1"/>
        <v>4564.7399896056049</v>
      </c>
      <c r="R3" s="737">
        <f t="shared" si="1"/>
        <v>6917.6108080479053</v>
      </c>
      <c r="S3" s="737">
        <f t="shared" si="1"/>
        <v>7875.4156757778728</v>
      </c>
      <c r="T3" s="737">
        <f t="shared" si="1"/>
        <v>6951.1097144364767</v>
      </c>
      <c r="U3" s="737">
        <f t="shared" si="1"/>
        <v>6309.4646965056218</v>
      </c>
      <c r="V3" s="737">
        <f t="shared" si="1"/>
        <v>6095.5606929964351</v>
      </c>
      <c r="W3" s="801">
        <f>SUM(K3:V3)</f>
        <v>62400</v>
      </c>
      <c r="AA3" s="559" t="s">
        <v>13</v>
      </c>
      <c r="AB3" s="816">
        <v>12</v>
      </c>
    </row>
    <row r="4" spans="1:34" ht="13.9" customHeight="1" x14ac:dyDescent="0.4">
      <c r="A4" s="427"/>
      <c r="B4" s="701"/>
      <c r="C4" s="427"/>
      <c r="D4" s="427"/>
      <c r="E4" s="695"/>
      <c r="F4" s="427"/>
      <c r="I4"/>
      <c r="J4" s="647"/>
      <c r="K4" s="737"/>
      <c r="L4" s="737"/>
      <c r="M4" s="737"/>
      <c r="N4" s="737"/>
      <c r="O4" s="737"/>
      <c r="P4" s="737"/>
      <c r="Q4" s="737"/>
      <c r="R4" s="737"/>
      <c r="S4" s="737"/>
      <c r="T4" s="737"/>
      <c r="U4" s="737"/>
      <c r="V4" s="737"/>
      <c r="W4" s="801"/>
      <c r="AD4" s="48" t="s">
        <v>1804</v>
      </c>
      <c r="AE4" s="683">
        <f t="shared" ref="AE4:AE12" si="2">AF4+AG4</f>
        <v>46094.1</v>
      </c>
      <c r="AF4" s="443">
        <f>SUM(N17:V17)</f>
        <v>46094.1</v>
      </c>
      <c r="AH4" s="445">
        <f t="shared" ref="AH4:AH11" si="3">SUM(AE4-AE5)/AE5</f>
        <v>-0.24547880006933973</v>
      </c>
    </row>
    <row r="5" spans="1:34" ht="13.9" customHeight="1" x14ac:dyDescent="0.4">
      <c r="A5" s="463"/>
      <c r="B5" s="464"/>
      <c r="C5" s="464"/>
      <c r="D5" s="49"/>
      <c r="E5" s="695"/>
      <c r="F5" s="49"/>
      <c r="I5" s="420" t="s">
        <v>140</v>
      </c>
      <c r="J5" s="421" t="s">
        <v>18</v>
      </c>
      <c r="K5" s="577" t="s">
        <v>142</v>
      </c>
      <c r="L5" s="577" t="s">
        <v>143</v>
      </c>
      <c r="M5" s="577" t="s">
        <v>144</v>
      </c>
      <c r="N5" s="577" t="s">
        <v>145</v>
      </c>
      <c r="O5" s="577" t="s">
        <v>146</v>
      </c>
      <c r="P5" s="577" t="s">
        <v>147</v>
      </c>
      <c r="Q5" s="577" t="s">
        <v>148</v>
      </c>
      <c r="R5" s="577" t="s">
        <v>149</v>
      </c>
      <c r="S5" s="577" t="s">
        <v>150</v>
      </c>
      <c r="T5" s="577" t="s">
        <v>151</v>
      </c>
      <c r="U5" s="577" t="s">
        <v>152</v>
      </c>
      <c r="V5" s="577" t="s">
        <v>153</v>
      </c>
      <c r="W5" s="423" t="s">
        <v>19</v>
      </c>
      <c r="X5" s="812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1572</v>
      </c>
      <c r="AE5" s="683">
        <f t="shared" si="2"/>
        <v>61090.53</v>
      </c>
      <c r="AF5" s="443">
        <f>SUM(N21:V21)</f>
        <v>37518.659999999996</v>
      </c>
      <c r="AG5" s="443">
        <f>SUM(K17:M17)</f>
        <v>23571.870000000003</v>
      </c>
      <c r="AH5" s="445">
        <f t="shared" si="3"/>
        <v>-0.12252847628215617</v>
      </c>
    </row>
    <row r="6" spans="1:34" ht="13.5" customHeight="1" x14ac:dyDescent="0.35">
      <c r="A6" s="463"/>
      <c r="B6" s="464"/>
      <c r="C6" s="464"/>
      <c r="D6" s="49"/>
      <c r="E6" s="695"/>
      <c r="F6" s="49"/>
      <c r="I6" s="581" t="s">
        <v>28</v>
      </c>
      <c r="J6" s="431">
        <v>750</v>
      </c>
      <c r="K6" s="432">
        <f t="shared" ref="K6:K16" si="4">SUMIFS($E$150:$E$635,$A$150:$A$635,"&gt;31/12/2020",$A$150:$A$635,"&lt;1/2/2021",$C$150:$C$635,$I6)</f>
        <v>271</v>
      </c>
      <c r="L6" s="432">
        <f t="shared" ref="L6:L16" si="5">SUMIFS($E$150:$E$635,$A$150:$A$635,"&gt;31/1/2021",$A$150:$A$635,"&lt;1/3/2021",$C$150:$C$635,$I6)</f>
        <v>1570</v>
      </c>
      <c r="M6" s="432">
        <f t="shared" ref="M6:M16" si="6">SUMIFS($E$150:$E$635,$A$150:$A$635,"&gt;28/2/2021",$A$150:$A$635,"&lt;1/4/2021",$C$150:$C$635,$I6)</f>
        <v>1045</v>
      </c>
      <c r="N6" s="432">
        <f t="shared" ref="N6:N16" si="7">SUMIFS($E$150:$E$635,$A$150:$A$635,"&gt;31/3/2021",$A$150:$A$635,"&lt;1/5/2021",$C$150:$C$635,$I6)</f>
        <v>330</v>
      </c>
      <c r="O6" s="432">
        <f t="shared" ref="O6:O16" si="8">SUMIFS($E$150:$E$635,$A$150:$A$635,"&gt;30/4/2021",$A$150:$A$635,"&lt;1/6/2021",$C$150:$C$635,$I6)</f>
        <v>1277.5</v>
      </c>
      <c r="P6" s="432">
        <f t="shared" ref="P6:P16" si="9">SUMIFS($E$150:$E$635,$A$150:$A$635,"&gt;31/5/2021",$A$150:$A$635,"&lt;1/7/2021",$C$150:$C$635,$I6)</f>
        <v>0</v>
      </c>
      <c r="Q6" s="432">
        <f t="shared" ref="Q6:Q16" si="10">SUMIFS($E$150:$E$635,$A$150:$A$635,"&gt;30/6/2021",$A$150:$A$635,"&lt;1/8/2021",$C$150:$C$635,$I6)</f>
        <v>250</v>
      </c>
      <c r="R6" s="432">
        <f t="shared" ref="R6:R16" si="11">SUMIFS($E$150:$E$635,$A$150:$A$635,"&gt;31/7/2021",$A$150:$A$635,"&lt;1/9/2021",$C$150:$C$635,$I6)</f>
        <v>565</v>
      </c>
      <c r="S6" s="432">
        <f t="shared" ref="S6:S16" si="12">SUMIFS($E$150:$E$635,$A$150:$A$635,"&gt;31/8/2021",$A$150:$A$635,"&lt;1/10/2021",$C$150:$C$635,$I6)</f>
        <v>670</v>
      </c>
      <c r="T6" s="432">
        <f t="shared" ref="T6:T16" si="13">SUMIFS($E$150:$E$635,$A$150:$A$635,"&gt;30/9/2021",$A$150:$A$635,"&lt;1/11/2021",$C$150:$C$635,$I6)</f>
        <v>310</v>
      </c>
      <c r="U6" s="432">
        <f t="shared" ref="U6:U16" si="14">SUMIFS($E$150:$E$635,$A$150:$A$635,"&gt;31/10/2021",$A$150:$A$635,"&lt;1/12/2021",$C$150:$C$635,$I6)</f>
        <v>0</v>
      </c>
      <c r="V6" s="432">
        <f t="shared" ref="V6:V16" si="15">SUMIFS($E$150:$E$635,$A$150:$A$635,"&gt;30/11/2021",$A$150:$A$635,"&lt;1/1/2022",$C$150:$C$635,$I6)</f>
        <v>250</v>
      </c>
      <c r="W6" s="431">
        <f t="shared" ref="W6:W16" si="16">SUM(K6:V6)</f>
        <v>6538.5</v>
      </c>
      <c r="X6" s="432">
        <f t="shared" ref="X6:X17" si="17">SUM(V6-(J6*12)*(V$2+V$1))</f>
        <v>-629.16740764371661</v>
      </c>
      <c r="Y6" s="432">
        <f t="shared" ref="Y6:Y17" si="18">W6-AA6</f>
        <v>-2461.5</v>
      </c>
      <c r="Z6" s="433">
        <f t="shared" ref="Z6:Z17" si="19">Y6/AA6</f>
        <v>-0.27350000000000002</v>
      </c>
      <c r="AA6" s="814">
        <f t="shared" ref="AA6:AA16" si="20">SUM(J6*12)*((K$2+K$1)+(L$2+L$1)+(M$2+M$1)+(N$2+N$1)+(O$1+O$2)+(P$2+P$1)+(Q$2+Q$1)+(R$2+R$1)+(S$2+S$1)+(T$2+T$1)+(U$2+U$1)+(V$2+V$1))</f>
        <v>9000</v>
      </c>
      <c r="AB6" s="813">
        <f t="shared" ref="AB6:AB17" si="21">W6/$AB$3</f>
        <v>544.875</v>
      </c>
      <c r="AD6" s="48" t="s">
        <v>1573</v>
      </c>
      <c r="AE6" s="683">
        <f t="shared" si="2"/>
        <v>69621.096923076926</v>
      </c>
      <c r="AF6" s="443">
        <f>SUM(N22:V22)</f>
        <v>52137.860000000008</v>
      </c>
      <c r="AG6" s="443">
        <f t="shared" ref="AG6:AG12" si="22">SUM(K21:M21)</f>
        <v>17483.236923076925</v>
      </c>
      <c r="AH6" s="445">
        <f t="shared" si="3"/>
        <v>6.8087870905418305E-2</v>
      </c>
    </row>
    <row r="7" spans="1:34" ht="13.5" customHeight="1" x14ac:dyDescent="0.35">
      <c r="A7" s="693"/>
      <c r="B7" s="693"/>
      <c r="C7" s="693"/>
      <c r="D7" s="49"/>
      <c r="E7" s="695"/>
      <c r="F7" s="49"/>
      <c r="I7" s="581" t="s">
        <v>1274</v>
      </c>
      <c r="J7" s="431">
        <v>2000</v>
      </c>
      <c r="K7" s="432">
        <f t="shared" si="4"/>
        <v>357</v>
      </c>
      <c r="L7" s="432">
        <f t="shared" si="5"/>
        <v>398</v>
      </c>
      <c r="M7" s="432">
        <f t="shared" si="6"/>
        <v>5828.5</v>
      </c>
      <c r="N7" s="432">
        <f t="shared" si="7"/>
        <v>1862</v>
      </c>
      <c r="O7" s="432">
        <f t="shared" si="8"/>
        <v>879.9</v>
      </c>
      <c r="P7" s="432">
        <f t="shared" si="9"/>
        <v>1563</v>
      </c>
      <c r="Q7" s="432">
        <f t="shared" si="10"/>
        <v>3200</v>
      </c>
      <c r="R7" s="432">
        <f t="shared" si="11"/>
        <v>5135</v>
      </c>
      <c r="S7" s="432">
        <f t="shared" si="12"/>
        <v>3704</v>
      </c>
      <c r="T7" s="432">
        <f t="shared" si="13"/>
        <v>4467</v>
      </c>
      <c r="U7" s="432">
        <f t="shared" si="14"/>
        <v>1769</v>
      </c>
      <c r="V7" s="432">
        <f t="shared" si="15"/>
        <v>2463</v>
      </c>
      <c r="W7" s="431">
        <f t="shared" si="16"/>
        <v>31626.400000000001</v>
      </c>
      <c r="X7" s="432">
        <f t="shared" si="17"/>
        <v>118.55357961675554</v>
      </c>
      <c r="Y7" s="432">
        <f t="shared" si="18"/>
        <v>7626.4000000000015</v>
      </c>
      <c r="Z7" s="433">
        <f t="shared" si="19"/>
        <v>0.31776666666666675</v>
      </c>
      <c r="AA7" s="814">
        <f t="shared" si="20"/>
        <v>24000</v>
      </c>
      <c r="AB7" s="813">
        <f t="shared" si="21"/>
        <v>2635.5333333333333</v>
      </c>
      <c r="AD7" s="48" t="s">
        <v>1574</v>
      </c>
      <c r="AE7" s="683">
        <f t="shared" si="2"/>
        <v>65182.930000000008</v>
      </c>
      <c r="AF7" s="443">
        <f t="shared" ref="AF7:AF12" si="23">SUM(N22:V22)</f>
        <v>52137.860000000008</v>
      </c>
      <c r="AG7" s="443">
        <f t="shared" si="22"/>
        <v>13045.07</v>
      </c>
      <c r="AH7" s="445">
        <f t="shared" si="3"/>
        <v>-4.9835547162181727E-2</v>
      </c>
    </row>
    <row r="8" spans="1:34" ht="13.5" customHeight="1" x14ac:dyDescent="0.35">
      <c r="A8" s="693"/>
      <c r="B8" s="693"/>
      <c r="C8" s="693"/>
      <c r="D8" s="49"/>
      <c r="E8" s="695"/>
      <c r="F8" s="49"/>
      <c r="I8" s="581" t="s">
        <v>1276</v>
      </c>
      <c r="J8" s="431">
        <v>750</v>
      </c>
      <c r="K8" s="432">
        <f t="shared" si="4"/>
        <v>70</v>
      </c>
      <c r="L8" s="432">
        <f t="shared" si="5"/>
        <v>0</v>
      </c>
      <c r="M8" s="432">
        <f t="shared" si="6"/>
        <v>375</v>
      </c>
      <c r="N8" s="432">
        <f t="shared" si="7"/>
        <v>0</v>
      </c>
      <c r="O8" s="432">
        <f t="shared" si="8"/>
        <v>75</v>
      </c>
      <c r="P8" s="432">
        <f t="shared" si="9"/>
        <v>450</v>
      </c>
      <c r="Q8" s="432">
        <f t="shared" si="10"/>
        <v>75</v>
      </c>
      <c r="R8" s="432">
        <f t="shared" si="11"/>
        <v>175</v>
      </c>
      <c r="S8" s="432">
        <f t="shared" si="12"/>
        <v>550</v>
      </c>
      <c r="T8" s="432">
        <f t="shared" si="13"/>
        <v>175</v>
      </c>
      <c r="U8" s="432">
        <f t="shared" si="14"/>
        <v>293</v>
      </c>
      <c r="V8" s="432">
        <f t="shared" si="15"/>
        <v>625</v>
      </c>
      <c r="W8" s="431">
        <f t="shared" si="16"/>
        <v>2863</v>
      </c>
      <c r="X8" s="432">
        <f t="shared" si="17"/>
        <v>-254.16740764371661</v>
      </c>
      <c r="Y8" s="432">
        <f t="shared" si="18"/>
        <v>-6137</v>
      </c>
      <c r="Z8" s="433">
        <f t="shared" si="19"/>
        <v>-0.68188888888888888</v>
      </c>
      <c r="AA8" s="814">
        <f t="shared" si="20"/>
        <v>9000</v>
      </c>
      <c r="AB8" s="813">
        <f t="shared" si="21"/>
        <v>238.58333333333334</v>
      </c>
      <c r="AD8" s="48" t="s">
        <v>1575</v>
      </c>
      <c r="AE8" s="683">
        <f t="shared" si="2"/>
        <v>68601.735000000001</v>
      </c>
      <c r="AF8" s="443">
        <f t="shared" si="23"/>
        <v>42562.105000000003</v>
      </c>
      <c r="AG8" s="443">
        <f t="shared" si="22"/>
        <v>26039.63</v>
      </c>
      <c r="AH8" s="445">
        <f t="shared" si="3"/>
        <v>-0.10521230648912056</v>
      </c>
    </row>
    <row r="9" spans="1:34" ht="13.5" customHeight="1" x14ac:dyDescent="0.35">
      <c r="A9" s="693"/>
      <c r="B9" s="693"/>
      <c r="C9" s="464"/>
      <c r="D9" s="49"/>
      <c r="E9" s="695"/>
      <c r="F9" s="49"/>
      <c r="I9" s="581" t="s">
        <v>1277</v>
      </c>
      <c r="J9" s="431">
        <v>-750</v>
      </c>
      <c r="K9" s="432">
        <f t="shared" si="4"/>
        <v>0</v>
      </c>
      <c r="L9" s="432">
        <f t="shared" si="5"/>
        <v>0</v>
      </c>
      <c r="M9" s="432">
        <f t="shared" si="6"/>
        <v>-2224.5</v>
      </c>
      <c r="N9" s="432">
        <f t="shared" si="7"/>
        <v>-24</v>
      </c>
      <c r="O9" s="432">
        <f t="shared" si="8"/>
        <v>-665</v>
      </c>
      <c r="P9" s="432">
        <f t="shared" si="9"/>
        <v>0</v>
      </c>
      <c r="Q9" s="432">
        <f t="shared" si="10"/>
        <v>-435</v>
      </c>
      <c r="R9" s="432">
        <f t="shared" si="11"/>
        <v>-870</v>
      </c>
      <c r="S9" s="432">
        <f t="shared" si="12"/>
        <v>-924</v>
      </c>
      <c r="T9" s="432">
        <f t="shared" si="13"/>
        <v>-135</v>
      </c>
      <c r="U9" s="432">
        <f t="shared" si="14"/>
        <v>-225</v>
      </c>
      <c r="V9" s="432">
        <f t="shared" si="15"/>
        <v>0</v>
      </c>
      <c r="W9" s="704">
        <f t="shared" si="16"/>
        <v>-5502.5</v>
      </c>
      <c r="X9" s="432">
        <f t="shared" si="17"/>
        <v>879.16740764371661</v>
      </c>
      <c r="Y9" s="432">
        <f t="shared" si="18"/>
        <v>3497.5</v>
      </c>
      <c r="Z9" s="433">
        <f t="shared" si="19"/>
        <v>-0.38861111111111113</v>
      </c>
      <c r="AA9" s="814">
        <f t="shared" si="20"/>
        <v>-9000</v>
      </c>
      <c r="AB9" s="813">
        <f t="shared" si="21"/>
        <v>-458.54166666666669</v>
      </c>
      <c r="AD9" s="48" t="s">
        <v>1576</v>
      </c>
      <c r="AE9" s="683">
        <f t="shared" si="2"/>
        <v>76668.17</v>
      </c>
      <c r="AF9" s="443">
        <f t="shared" si="23"/>
        <v>60536.84</v>
      </c>
      <c r="AG9" s="443">
        <f t="shared" si="22"/>
        <v>16131.33</v>
      </c>
      <c r="AH9" s="445">
        <f t="shared" si="3"/>
        <v>0.3301209229701596</v>
      </c>
    </row>
    <row r="10" spans="1:34" ht="13.5" customHeight="1" x14ac:dyDescent="0.35">
      <c r="A10" s="693"/>
      <c r="B10" s="693"/>
      <c r="C10" s="693"/>
      <c r="D10" s="693"/>
      <c r="E10" s="695"/>
      <c r="F10" s="693"/>
      <c r="I10" s="581" t="s">
        <v>1278</v>
      </c>
      <c r="J10" s="431">
        <v>100</v>
      </c>
      <c r="K10" s="432">
        <f t="shared" si="4"/>
        <v>80</v>
      </c>
      <c r="L10" s="432">
        <f t="shared" si="5"/>
        <v>80</v>
      </c>
      <c r="M10" s="432">
        <f t="shared" si="6"/>
        <v>140</v>
      </c>
      <c r="N10" s="432">
        <f t="shared" si="7"/>
        <v>80</v>
      </c>
      <c r="O10" s="432">
        <f t="shared" si="8"/>
        <v>100</v>
      </c>
      <c r="P10" s="432">
        <f t="shared" si="9"/>
        <v>120</v>
      </c>
      <c r="Q10" s="432">
        <f t="shared" si="10"/>
        <v>140</v>
      </c>
      <c r="R10" s="432">
        <f t="shared" si="11"/>
        <v>660</v>
      </c>
      <c r="S10" s="432">
        <f t="shared" si="12"/>
        <v>60</v>
      </c>
      <c r="T10" s="432">
        <f t="shared" si="13"/>
        <v>240</v>
      </c>
      <c r="U10" s="432">
        <f t="shared" si="14"/>
        <v>100</v>
      </c>
      <c r="V10" s="432">
        <f t="shared" si="15"/>
        <v>120</v>
      </c>
      <c r="W10" s="431">
        <f t="shared" si="16"/>
        <v>1920</v>
      </c>
      <c r="X10" s="432">
        <f t="shared" si="17"/>
        <v>2.7776789808377913</v>
      </c>
      <c r="Y10" s="432">
        <f t="shared" si="18"/>
        <v>720</v>
      </c>
      <c r="Z10" s="433">
        <f t="shared" si="19"/>
        <v>0.6</v>
      </c>
      <c r="AA10" s="814">
        <f t="shared" si="20"/>
        <v>1200</v>
      </c>
      <c r="AB10" s="813">
        <f t="shared" si="21"/>
        <v>160</v>
      </c>
      <c r="AD10" s="48" t="s">
        <v>1577</v>
      </c>
      <c r="AE10" s="683">
        <f t="shared" si="2"/>
        <v>57640</v>
      </c>
      <c r="AF10" s="443">
        <f t="shared" si="23"/>
        <v>45062</v>
      </c>
      <c r="AG10" s="443">
        <f t="shared" si="22"/>
        <v>12578</v>
      </c>
      <c r="AH10" s="445">
        <f t="shared" si="3"/>
        <v>-2.4192046589581677E-2</v>
      </c>
    </row>
    <row r="11" spans="1:34" ht="13.5" customHeight="1" x14ac:dyDescent="0.35">
      <c r="A11" s="463"/>
      <c r="B11" s="464"/>
      <c r="C11" s="464"/>
      <c r="D11" s="463"/>
      <c r="E11" s="465"/>
      <c r="F11" s="45"/>
      <c r="I11" s="582" t="s">
        <v>1279</v>
      </c>
      <c r="J11" s="431">
        <v>1750</v>
      </c>
      <c r="K11" s="432">
        <f t="shared" si="4"/>
        <v>755</v>
      </c>
      <c r="L11" s="432">
        <f t="shared" si="5"/>
        <v>1007.5</v>
      </c>
      <c r="M11" s="432">
        <f t="shared" si="6"/>
        <v>12866</v>
      </c>
      <c r="N11" s="432">
        <f t="shared" si="7"/>
        <v>1510</v>
      </c>
      <c r="O11" s="432">
        <f t="shared" si="8"/>
        <v>1344.5</v>
      </c>
      <c r="P11" s="432">
        <f t="shared" si="9"/>
        <v>1911.25</v>
      </c>
      <c r="Q11" s="432">
        <f t="shared" si="10"/>
        <v>665</v>
      </c>
      <c r="R11" s="432">
        <f t="shared" si="11"/>
        <v>2000</v>
      </c>
      <c r="S11" s="432">
        <f t="shared" si="12"/>
        <v>590</v>
      </c>
      <c r="T11" s="432">
        <f t="shared" si="13"/>
        <v>410</v>
      </c>
      <c r="U11" s="432">
        <f t="shared" si="14"/>
        <v>563</v>
      </c>
      <c r="V11" s="432">
        <f t="shared" si="15"/>
        <v>2520</v>
      </c>
      <c r="W11" s="431">
        <f t="shared" si="16"/>
        <v>26142.25</v>
      </c>
      <c r="X11" s="432">
        <f t="shared" si="17"/>
        <v>468.60938216466138</v>
      </c>
      <c r="Y11" s="432">
        <f t="shared" si="18"/>
        <v>5142.25</v>
      </c>
      <c r="Z11" s="433">
        <f t="shared" si="19"/>
        <v>0.24486904761904763</v>
      </c>
      <c r="AA11" s="814">
        <f t="shared" si="20"/>
        <v>21000</v>
      </c>
      <c r="AB11" s="813">
        <f t="shared" si="21"/>
        <v>2178.5208333333335</v>
      </c>
      <c r="AD11" s="48" t="s">
        <v>1578</v>
      </c>
      <c r="AE11" s="683">
        <f t="shared" si="2"/>
        <v>59069</v>
      </c>
      <c r="AF11" s="443">
        <f t="shared" si="23"/>
        <v>44496</v>
      </c>
      <c r="AG11" s="443">
        <f t="shared" si="22"/>
        <v>14573</v>
      </c>
      <c r="AH11" s="445">
        <f t="shared" si="3"/>
        <v>0.16686420923709058</v>
      </c>
    </row>
    <row r="12" spans="1:34" ht="13.5" customHeight="1" x14ac:dyDescent="0.35">
      <c r="A12" s="463"/>
      <c r="B12" s="464"/>
      <c r="C12" s="464"/>
      <c r="D12" s="463"/>
      <c r="E12" s="465"/>
      <c r="F12" s="45"/>
      <c r="I12" s="582" t="s">
        <v>1280</v>
      </c>
      <c r="J12" s="431">
        <v>300</v>
      </c>
      <c r="K12" s="432">
        <f t="shared" si="4"/>
        <v>100</v>
      </c>
      <c r="L12" s="432">
        <f t="shared" si="5"/>
        <v>50</v>
      </c>
      <c r="M12" s="432">
        <f t="shared" si="6"/>
        <v>50</v>
      </c>
      <c r="N12" s="432">
        <f t="shared" si="7"/>
        <v>25</v>
      </c>
      <c r="O12" s="432">
        <f t="shared" si="8"/>
        <v>0</v>
      </c>
      <c r="P12" s="432">
        <f t="shared" si="9"/>
        <v>50</v>
      </c>
      <c r="Q12" s="432">
        <f t="shared" si="10"/>
        <v>0</v>
      </c>
      <c r="R12" s="432">
        <f t="shared" si="11"/>
        <v>0</v>
      </c>
      <c r="S12" s="432">
        <f t="shared" si="12"/>
        <v>75</v>
      </c>
      <c r="T12" s="432">
        <f t="shared" si="13"/>
        <v>50</v>
      </c>
      <c r="U12" s="432">
        <f t="shared" si="14"/>
        <v>30</v>
      </c>
      <c r="V12" s="432">
        <f t="shared" si="15"/>
        <v>955</v>
      </c>
      <c r="W12" s="431">
        <f t="shared" si="16"/>
        <v>1385</v>
      </c>
      <c r="X12" s="432">
        <f t="shared" si="17"/>
        <v>603.33303694251344</v>
      </c>
      <c r="Y12" s="432">
        <f t="shared" si="18"/>
        <v>-2215</v>
      </c>
      <c r="Z12" s="433">
        <f t="shared" si="19"/>
        <v>-0.61527777777777781</v>
      </c>
      <c r="AA12" s="814">
        <f t="shared" si="20"/>
        <v>3600</v>
      </c>
      <c r="AB12" s="813">
        <f t="shared" si="21"/>
        <v>115.41666666666667</v>
      </c>
      <c r="AD12" s="48" t="s">
        <v>1579</v>
      </c>
      <c r="AE12" s="683">
        <f t="shared" si="2"/>
        <v>50622</v>
      </c>
      <c r="AF12" s="443">
        <f t="shared" si="23"/>
        <v>39743</v>
      </c>
      <c r="AG12" s="443">
        <f t="shared" si="22"/>
        <v>10879</v>
      </c>
      <c r="AH12" s="445"/>
    </row>
    <row r="13" spans="1:34" ht="13.5" customHeight="1" x14ac:dyDescent="0.35">
      <c r="A13" s="463"/>
      <c r="B13" s="464"/>
      <c r="C13" s="464"/>
      <c r="D13" s="463"/>
      <c r="E13" s="465"/>
      <c r="F13" s="45"/>
      <c r="I13" s="582" t="s">
        <v>1281</v>
      </c>
      <c r="J13" s="431">
        <v>-200</v>
      </c>
      <c r="K13" s="432">
        <f t="shared" si="4"/>
        <v>0</v>
      </c>
      <c r="L13" s="432">
        <f t="shared" si="5"/>
        <v>-150</v>
      </c>
      <c r="M13" s="432">
        <f t="shared" si="6"/>
        <v>0</v>
      </c>
      <c r="N13" s="432">
        <f t="shared" si="7"/>
        <v>0</v>
      </c>
      <c r="O13" s="432">
        <f t="shared" si="8"/>
        <v>0</v>
      </c>
      <c r="P13" s="432">
        <f t="shared" si="9"/>
        <v>-480</v>
      </c>
      <c r="Q13" s="432">
        <f t="shared" si="10"/>
        <v>-300</v>
      </c>
      <c r="R13" s="432">
        <f t="shared" si="11"/>
        <v>-360</v>
      </c>
      <c r="S13" s="432">
        <f t="shared" si="12"/>
        <v>-95</v>
      </c>
      <c r="T13" s="432">
        <f t="shared" si="13"/>
        <v>-500</v>
      </c>
      <c r="U13" s="432">
        <f t="shared" si="14"/>
        <v>0</v>
      </c>
      <c r="V13" s="432">
        <f t="shared" si="15"/>
        <v>-400</v>
      </c>
      <c r="W13" s="431">
        <f t="shared" si="16"/>
        <v>-2285</v>
      </c>
      <c r="X13" s="432">
        <f t="shared" si="17"/>
        <v>-165.55535796167558</v>
      </c>
      <c r="Y13" s="432">
        <f t="shared" si="18"/>
        <v>115</v>
      </c>
      <c r="Z13" s="433">
        <f t="shared" si="19"/>
        <v>-4.791666666666667E-2</v>
      </c>
      <c r="AA13" s="814">
        <f t="shared" si="20"/>
        <v>-2400</v>
      </c>
      <c r="AB13" s="813">
        <f t="shared" si="21"/>
        <v>-190.41666666666666</v>
      </c>
    </row>
    <row r="14" spans="1:34" ht="13.5" customHeight="1" x14ac:dyDescent="0.35">
      <c r="A14" s="463"/>
      <c r="B14" s="464"/>
      <c r="C14" s="464"/>
      <c r="D14" s="463"/>
      <c r="E14" s="465"/>
      <c r="F14" s="45"/>
      <c r="I14" s="582" t="s">
        <v>1282</v>
      </c>
      <c r="J14" s="431">
        <f>3000/12</f>
        <v>250</v>
      </c>
      <c r="K14" s="432">
        <f t="shared" si="4"/>
        <v>0</v>
      </c>
      <c r="L14" s="432">
        <f t="shared" si="5"/>
        <v>774.69</v>
      </c>
      <c r="M14" s="432">
        <f t="shared" si="6"/>
        <v>128.68</v>
      </c>
      <c r="N14" s="432">
        <f t="shared" si="7"/>
        <v>0</v>
      </c>
      <c r="O14" s="432">
        <f t="shared" si="8"/>
        <v>389.88000000000005</v>
      </c>
      <c r="P14" s="432">
        <f t="shared" si="9"/>
        <v>1213.8499999999999</v>
      </c>
      <c r="Q14" s="432">
        <f t="shared" si="10"/>
        <v>131.35</v>
      </c>
      <c r="R14" s="432">
        <f t="shared" si="11"/>
        <v>86.76</v>
      </c>
      <c r="S14" s="432">
        <f t="shared" si="12"/>
        <v>225.23</v>
      </c>
      <c r="T14" s="432">
        <f t="shared" si="13"/>
        <v>0</v>
      </c>
      <c r="U14" s="432">
        <f t="shared" si="14"/>
        <v>494.04</v>
      </c>
      <c r="V14" s="432">
        <f t="shared" si="15"/>
        <v>1073.76</v>
      </c>
      <c r="W14" s="431">
        <f t="shared" si="16"/>
        <v>4518.2400000000007</v>
      </c>
      <c r="X14" s="432">
        <f t="shared" si="17"/>
        <v>780.70419745209438</v>
      </c>
      <c r="Y14" s="432">
        <f t="shared" si="18"/>
        <v>1518.2400000000007</v>
      </c>
      <c r="Z14" s="433">
        <f t="shared" si="19"/>
        <v>0.5060800000000002</v>
      </c>
      <c r="AA14" s="814">
        <f t="shared" si="20"/>
        <v>3000</v>
      </c>
      <c r="AB14" s="813">
        <f t="shared" si="21"/>
        <v>376.52000000000004</v>
      </c>
    </row>
    <row r="15" spans="1:34" ht="13.5" customHeight="1" x14ac:dyDescent="0.35">
      <c r="A15" s="463"/>
      <c r="B15" s="464"/>
      <c r="C15" s="464"/>
      <c r="D15" s="463"/>
      <c r="E15" s="465"/>
      <c r="F15" s="45"/>
      <c r="I15" s="582" t="s">
        <v>1283</v>
      </c>
      <c r="J15" s="431">
        <v>200</v>
      </c>
      <c r="K15" s="432">
        <f t="shared" si="4"/>
        <v>0</v>
      </c>
      <c r="L15" s="432">
        <f t="shared" si="5"/>
        <v>0</v>
      </c>
      <c r="M15" s="432">
        <f t="shared" si="6"/>
        <v>0</v>
      </c>
      <c r="N15" s="432">
        <f t="shared" si="7"/>
        <v>0</v>
      </c>
      <c r="O15" s="432">
        <f t="shared" si="8"/>
        <v>315</v>
      </c>
      <c r="P15" s="432">
        <f t="shared" si="9"/>
        <v>0</v>
      </c>
      <c r="Q15" s="432">
        <f t="shared" si="10"/>
        <v>0</v>
      </c>
      <c r="R15" s="432">
        <f t="shared" si="11"/>
        <v>0</v>
      </c>
      <c r="S15" s="432">
        <f t="shared" si="12"/>
        <v>500</v>
      </c>
      <c r="T15" s="432">
        <f t="shared" si="13"/>
        <v>150</v>
      </c>
      <c r="U15" s="432">
        <f t="shared" si="14"/>
        <v>1293.9800000000005</v>
      </c>
      <c r="V15" s="432">
        <f t="shared" si="15"/>
        <v>0</v>
      </c>
      <c r="W15" s="431">
        <f t="shared" si="16"/>
        <v>2258.9800000000005</v>
      </c>
      <c r="X15" s="432">
        <f t="shared" si="17"/>
        <v>-234.44464203832442</v>
      </c>
      <c r="Y15" s="432">
        <f t="shared" si="18"/>
        <v>-141.01999999999953</v>
      </c>
      <c r="Z15" s="433">
        <f t="shared" si="19"/>
        <v>-5.8758333333333135E-2</v>
      </c>
      <c r="AA15" s="814">
        <f t="shared" si="20"/>
        <v>2400</v>
      </c>
      <c r="AB15" s="813">
        <f t="shared" si="21"/>
        <v>188.24833333333336</v>
      </c>
    </row>
    <row r="16" spans="1:34" ht="13.5" customHeight="1" x14ac:dyDescent="0.35">
      <c r="A16" s="463">
        <v>43647</v>
      </c>
      <c r="B16" s="464" t="s">
        <v>1805</v>
      </c>
      <c r="C16" s="464" t="s">
        <v>123</v>
      </c>
      <c r="E16" s="465">
        <v>0</v>
      </c>
      <c r="F16" s="49"/>
      <c r="I16" s="582" t="s">
        <v>1284</v>
      </c>
      <c r="J16" s="431">
        <v>50</v>
      </c>
      <c r="K16" s="432">
        <f t="shared" si="4"/>
        <v>0</v>
      </c>
      <c r="L16" s="432">
        <f t="shared" si="5"/>
        <v>0</v>
      </c>
      <c r="M16" s="432">
        <f t="shared" si="6"/>
        <v>0</v>
      </c>
      <c r="N16" s="432">
        <f t="shared" si="7"/>
        <v>0</v>
      </c>
      <c r="O16" s="432">
        <f t="shared" si="8"/>
        <v>33.6</v>
      </c>
      <c r="P16" s="432">
        <f t="shared" si="9"/>
        <v>30.5</v>
      </c>
      <c r="Q16" s="432">
        <f t="shared" si="10"/>
        <v>59</v>
      </c>
      <c r="R16" s="432">
        <f t="shared" si="11"/>
        <v>0</v>
      </c>
      <c r="S16" s="432">
        <f t="shared" si="12"/>
        <v>0</v>
      </c>
      <c r="T16" s="432">
        <f t="shared" si="13"/>
        <v>34</v>
      </c>
      <c r="U16" s="432">
        <f t="shared" si="14"/>
        <v>22</v>
      </c>
      <c r="V16" s="432">
        <f t="shared" si="15"/>
        <v>22</v>
      </c>
      <c r="W16" s="431">
        <f t="shared" si="16"/>
        <v>201.1</v>
      </c>
      <c r="X16" s="432">
        <f t="shared" si="17"/>
        <v>-36.611160509581104</v>
      </c>
      <c r="Y16" s="432">
        <f t="shared" si="18"/>
        <v>-398.9</v>
      </c>
      <c r="Z16" s="433">
        <f t="shared" si="19"/>
        <v>-0.66483333333333328</v>
      </c>
      <c r="AA16" s="814">
        <f t="shared" si="20"/>
        <v>600</v>
      </c>
      <c r="AB16" s="813">
        <f t="shared" si="21"/>
        <v>16.758333333333333</v>
      </c>
    </row>
    <row r="17" spans="2:35" ht="15.75" customHeight="1" thickBot="1" x14ac:dyDescent="0.45">
      <c r="B17" s="427"/>
      <c r="C17" s="427"/>
      <c r="E17" s="751"/>
      <c r="F17" s="763"/>
      <c r="I17" s="437" t="s">
        <v>63</v>
      </c>
      <c r="J17" s="778">
        <f t="shared" ref="J17:W17" si="24">SUM(J6:J16)</f>
        <v>5200</v>
      </c>
      <c r="K17" s="439">
        <f t="shared" si="24"/>
        <v>1633</v>
      </c>
      <c r="L17" s="439">
        <f t="shared" si="24"/>
        <v>3730.19</v>
      </c>
      <c r="M17" s="439">
        <f t="shared" si="24"/>
        <v>18208.68</v>
      </c>
      <c r="N17" s="439">
        <f t="shared" si="24"/>
        <v>3783</v>
      </c>
      <c r="O17" s="439">
        <f t="shared" si="24"/>
        <v>3750.38</v>
      </c>
      <c r="P17" s="439">
        <f t="shared" si="24"/>
        <v>4858.6000000000004</v>
      </c>
      <c r="Q17" s="439">
        <f t="shared" si="24"/>
        <v>3785.35</v>
      </c>
      <c r="R17" s="439">
        <f t="shared" si="24"/>
        <v>7391.76</v>
      </c>
      <c r="S17" s="439">
        <f t="shared" si="24"/>
        <v>5355.23</v>
      </c>
      <c r="T17" s="439">
        <f t="shared" si="24"/>
        <v>5201</v>
      </c>
      <c r="U17" s="439">
        <f t="shared" si="24"/>
        <v>4340.0200000000004</v>
      </c>
      <c r="V17" s="439">
        <f t="shared" si="24"/>
        <v>7628.76</v>
      </c>
      <c r="W17" s="438">
        <f t="shared" si="24"/>
        <v>69665.97</v>
      </c>
      <c r="X17" s="432">
        <f t="shared" si="17"/>
        <v>1533.1993070035651</v>
      </c>
      <c r="Y17" s="820">
        <f t="shared" si="18"/>
        <v>7265.9700000000012</v>
      </c>
      <c r="Z17" s="833">
        <f t="shared" si="19"/>
        <v>0.11644182692307695</v>
      </c>
      <c r="AA17" s="820">
        <f>SUM(AA6:AA16)</f>
        <v>62400</v>
      </c>
      <c r="AB17" s="834">
        <f t="shared" si="21"/>
        <v>5805.4975000000004</v>
      </c>
      <c r="AD17" s="469" t="s">
        <v>70</v>
      </c>
      <c r="AE17" s="469" t="s">
        <v>71</v>
      </c>
      <c r="AF17" s="469" t="s">
        <v>72</v>
      </c>
      <c r="AG17" s="469" t="s">
        <v>73</v>
      </c>
      <c r="AH17" s="469" t="s">
        <v>74</v>
      </c>
      <c r="AI17" s="469" t="s">
        <v>75</v>
      </c>
    </row>
    <row r="18" spans="2:35" ht="13.9" customHeight="1" x14ac:dyDescent="0.4">
      <c r="B18" s="427"/>
      <c r="C18" s="427"/>
      <c r="D18" s="463"/>
      <c r="E18" s="751"/>
      <c r="F18" s="763"/>
      <c r="I18" s="46" t="s">
        <v>18</v>
      </c>
      <c r="J18" s="441">
        <f>J17*12</f>
        <v>62400</v>
      </c>
      <c r="K18" s="671">
        <f t="shared" ref="K18:V18" si="25">K17/K3</f>
        <v>0.66738904099901741</v>
      </c>
      <c r="L18" s="671">
        <f t="shared" si="25"/>
        <v>1.5631400549482304</v>
      </c>
      <c r="M18" s="671">
        <f t="shared" si="25"/>
        <v>4.266329329210782</v>
      </c>
      <c r="N18" s="671">
        <f t="shared" si="25"/>
        <v>0.78965058621058426</v>
      </c>
      <c r="O18" s="671">
        <f t="shared" si="25"/>
        <v>0.77121393262581206</v>
      </c>
      <c r="P18" s="671">
        <f t="shared" si="25"/>
        <v>0.98527230591110149</v>
      </c>
      <c r="Q18" s="671">
        <f t="shared" si="25"/>
        <v>0.82925862340892176</v>
      </c>
      <c r="R18" s="671">
        <f t="shared" si="25"/>
        <v>1.0685423342117588</v>
      </c>
      <c r="S18" s="671">
        <f t="shared" si="25"/>
        <v>0.67999331342863389</v>
      </c>
      <c r="T18" s="671">
        <f t="shared" si="25"/>
        <v>0.74822585366452421</v>
      </c>
      <c r="U18" s="671">
        <f t="shared" si="25"/>
        <v>0.68785867086373254</v>
      </c>
      <c r="V18" s="671">
        <f t="shared" si="25"/>
        <v>1.2515271989277625</v>
      </c>
      <c r="W18" s="671">
        <f>W17/AA17</f>
        <v>1.1164418269230769</v>
      </c>
      <c r="X18" s="583"/>
      <c r="Y18" s="832"/>
      <c r="AB18" s="445"/>
    </row>
    <row r="19" spans="2:35" ht="13.15" customHeight="1" x14ac:dyDescent="0.4">
      <c r="I19" s="446" t="s">
        <v>82</v>
      </c>
      <c r="J19" s="850" t="s">
        <v>1806</v>
      </c>
      <c r="K19" s="671">
        <f t="shared" ref="K19:W19" si="26">IFERROR((K17-K21)/K21,0)</f>
        <v>-0.7864759376818321</v>
      </c>
      <c r="L19" s="671">
        <f t="shared" si="26"/>
        <v>-0.26158831587365688</v>
      </c>
      <c r="M19" s="671">
        <f t="shared" si="26"/>
        <v>2.8063635666345226</v>
      </c>
      <c r="N19" s="671">
        <f t="shared" si="26"/>
        <v>1.3668157787718587</v>
      </c>
      <c r="O19" s="671">
        <f t="shared" si="26"/>
        <v>1.0991011160489403</v>
      </c>
      <c r="P19" s="671">
        <f t="shared" si="26"/>
        <v>-0.29119338489952756</v>
      </c>
      <c r="Q19" s="671">
        <f t="shared" si="26"/>
        <v>0.41932883389576298</v>
      </c>
      <c r="R19" s="671">
        <f t="shared" si="26"/>
        <v>-0.36790527164622749</v>
      </c>
      <c r="S19" s="671">
        <f t="shared" si="26"/>
        <v>0.29772792260978709</v>
      </c>
      <c r="T19" s="671">
        <f t="shared" si="26"/>
        <v>1.1459014973036981</v>
      </c>
      <c r="U19" s="671">
        <f t="shared" si="26"/>
        <v>0.30230031987229128</v>
      </c>
      <c r="V19" s="671">
        <f t="shared" si="26"/>
        <v>1.5135367553301902</v>
      </c>
      <c r="W19" s="671">
        <f t="shared" si="26"/>
        <v>0.26661031523024664</v>
      </c>
      <c r="X19" s="583"/>
      <c r="Y19" s="585"/>
      <c r="Z19" s="45" t="s">
        <v>84</v>
      </c>
      <c r="AB19" s="817">
        <f>SUM(+Q17+R17+S17+T17+U17+V17)/6</f>
        <v>5617.02</v>
      </c>
    </row>
    <row r="20" spans="2:35" ht="13.15" customHeight="1" x14ac:dyDescent="0.4">
      <c r="I20" s="446"/>
      <c r="J20" s="441"/>
      <c r="K20" s="671"/>
      <c r="L20" s="671"/>
      <c r="M20" s="671"/>
      <c r="N20" s="671"/>
      <c r="O20" s="671"/>
      <c r="P20" s="671"/>
      <c r="Q20" s="671"/>
      <c r="R20" s="671"/>
      <c r="S20" s="558"/>
      <c r="T20" s="558"/>
      <c r="U20" s="558"/>
      <c r="V20" s="432">
        <v>6729</v>
      </c>
      <c r="W20" s="432">
        <f>V17-V20</f>
        <v>899.76000000000022</v>
      </c>
      <c r="X20" s="583"/>
      <c r="Y20" s="585"/>
      <c r="Z20" s="45"/>
      <c r="AB20" s="817"/>
    </row>
    <row r="21" spans="2:35" ht="13.15" customHeight="1" x14ac:dyDescent="0.4">
      <c r="I21" s="541" t="s">
        <v>108</v>
      </c>
      <c r="J21" s="584" t="s">
        <v>39</v>
      </c>
      <c r="K21" s="558">
        <v>7647.85</v>
      </c>
      <c r="L21" s="558">
        <v>5051.6400000000003</v>
      </c>
      <c r="M21" s="558">
        <v>4783.7469230769229</v>
      </c>
      <c r="N21" s="558">
        <v>1598.35</v>
      </c>
      <c r="O21" s="558">
        <v>1786.66</v>
      </c>
      <c r="P21" s="558">
        <v>6854.62</v>
      </c>
      <c r="Q21" s="558">
        <v>2667</v>
      </c>
      <c r="R21" s="558">
        <v>11694.07</v>
      </c>
      <c r="S21" s="558">
        <v>4126.62</v>
      </c>
      <c r="T21" s="558">
        <v>2423.69</v>
      </c>
      <c r="U21" s="558">
        <v>3332.58</v>
      </c>
      <c r="V21" s="558">
        <v>3035.07</v>
      </c>
      <c r="W21" s="431">
        <f t="shared" ref="W21:W28" si="27">SUM(K21:V21)</f>
        <v>55001.896923076929</v>
      </c>
      <c r="X21" s="583">
        <f t="shared" ref="X21:X27" si="28">W21-W22</f>
        <v>-10181.033076923071</v>
      </c>
      <c r="Y21" s="585">
        <f t="shared" ref="Y21:Y27" si="29">X21/W22</f>
        <v>-0.15619170658519141</v>
      </c>
      <c r="Z21" s="45"/>
      <c r="AB21" s="817"/>
    </row>
    <row r="22" spans="2:35" ht="13.9" customHeight="1" x14ac:dyDescent="0.4">
      <c r="B22" s="427"/>
      <c r="C22" s="427"/>
      <c r="E22" s="751"/>
      <c r="F22" s="763"/>
      <c r="G22" s="427"/>
      <c r="I22" s="541" t="s">
        <v>109</v>
      </c>
      <c r="J22" s="584" t="s">
        <v>43</v>
      </c>
      <c r="K22" s="558">
        <v>5891.07</v>
      </c>
      <c r="L22" s="558">
        <v>2739.5</v>
      </c>
      <c r="M22" s="558">
        <v>4414.5</v>
      </c>
      <c r="N22" s="558">
        <v>5147.5</v>
      </c>
      <c r="O22" s="558">
        <v>6878</v>
      </c>
      <c r="P22" s="558">
        <v>4875.34</v>
      </c>
      <c r="Q22" s="558">
        <v>5769.97</v>
      </c>
      <c r="R22" s="558">
        <v>7463.89</v>
      </c>
      <c r="S22" s="558">
        <v>6034.39</v>
      </c>
      <c r="T22" s="558">
        <v>4573.58</v>
      </c>
      <c r="U22" s="558">
        <v>5973.75</v>
      </c>
      <c r="V22" s="558">
        <v>5421.4400000000014</v>
      </c>
      <c r="W22" s="431">
        <f t="shared" si="27"/>
        <v>65182.93</v>
      </c>
      <c r="X22" s="583">
        <f t="shared" si="28"/>
        <v>-3418.8049999999857</v>
      </c>
      <c r="Y22" s="585">
        <f t="shared" si="29"/>
        <v>-4.983554716218163E-2</v>
      </c>
      <c r="Z22" s="45" t="s">
        <v>110</v>
      </c>
      <c r="AB22" s="817">
        <f>SUM(K17+L17+M17+N17+O17+P17)/6</f>
        <v>5993.9750000000013</v>
      </c>
    </row>
    <row r="23" spans="2:35" ht="13.9" customHeight="1" x14ac:dyDescent="0.4">
      <c r="B23" s="427"/>
      <c r="C23" s="427"/>
      <c r="E23" s="751"/>
      <c r="F23" s="763"/>
      <c r="I23" s="541" t="s">
        <v>115</v>
      </c>
      <c r="J23" s="45" t="s">
        <v>46</v>
      </c>
      <c r="K23" s="558">
        <v>8277.4700000000012</v>
      </c>
      <c r="L23" s="558">
        <v>10607.11</v>
      </c>
      <c r="M23" s="558">
        <v>7155.05</v>
      </c>
      <c r="N23" s="558">
        <v>4371.0150000000003</v>
      </c>
      <c r="O23" s="558">
        <v>4002.63</v>
      </c>
      <c r="P23" s="558">
        <v>3243.6</v>
      </c>
      <c r="Q23" s="558">
        <v>2859.03</v>
      </c>
      <c r="R23" s="558">
        <v>4792.59</v>
      </c>
      <c r="S23" s="558">
        <v>6443.88</v>
      </c>
      <c r="T23" s="558">
        <v>3908.03</v>
      </c>
      <c r="U23" s="558">
        <v>8299.08</v>
      </c>
      <c r="V23" s="558">
        <v>4642.25</v>
      </c>
      <c r="W23" s="431">
        <f t="shared" si="27"/>
        <v>68601.734999999986</v>
      </c>
      <c r="X23" s="583">
        <f t="shared" si="28"/>
        <v>-8066.4350000000122</v>
      </c>
      <c r="Y23" s="585">
        <f t="shared" si="29"/>
        <v>-0.10521230648912075</v>
      </c>
      <c r="AB23" s="445">
        <f>SUM(AB19-AB22)/AB19</f>
        <v>-6.7109428130930779E-2</v>
      </c>
      <c r="AD23" s="470">
        <v>42937</v>
      </c>
      <c r="AE23" s="471" t="s">
        <v>1807</v>
      </c>
      <c r="AF23" s="471" t="s">
        <v>1808</v>
      </c>
      <c r="AG23" s="472">
        <v>146746</v>
      </c>
      <c r="AH23" s="473">
        <v>200</v>
      </c>
      <c r="AI23" s="474" t="s">
        <v>1775</v>
      </c>
    </row>
    <row r="24" spans="2:35" ht="13.9" customHeight="1" x14ac:dyDescent="0.4">
      <c r="B24" s="427"/>
      <c r="C24" s="427"/>
      <c r="D24" s="463"/>
      <c r="E24" s="751"/>
      <c r="F24" s="763"/>
      <c r="I24" s="440" t="s">
        <v>116</v>
      </c>
      <c r="J24" s="45" t="s">
        <v>49</v>
      </c>
      <c r="K24" s="558">
        <v>3203.5</v>
      </c>
      <c r="L24" s="558">
        <v>6685</v>
      </c>
      <c r="M24" s="558">
        <v>6242.83</v>
      </c>
      <c r="N24" s="558">
        <v>6063.17</v>
      </c>
      <c r="O24" s="558">
        <v>5851.71</v>
      </c>
      <c r="P24" s="558">
        <v>5479.93</v>
      </c>
      <c r="Q24" s="558">
        <v>3603.81</v>
      </c>
      <c r="R24" s="558">
        <v>4658.8500000000004</v>
      </c>
      <c r="S24" s="558">
        <v>10821.67</v>
      </c>
      <c r="T24" s="558">
        <v>9224.58</v>
      </c>
      <c r="U24" s="558">
        <v>10504.09</v>
      </c>
      <c r="V24" s="558">
        <v>4329.0300000000007</v>
      </c>
      <c r="W24" s="431">
        <f t="shared" si="27"/>
        <v>76668.17</v>
      </c>
      <c r="X24" s="583">
        <f t="shared" si="28"/>
        <v>19028.169999999998</v>
      </c>
      <c r="Y24" s="585">
        <f t="shared" si="29"/>
        <v>0.3301209229701596</v>
      </c>
      <c r="AA24" s="559" t="s">
        <v>1038</v>
      </c>
      <c r="AB24" s="831">
        <f>SUM(K17:U17)+(AB17*1)</f>
        <v>67842.707500000004</v>
      </c>
      <c r="AD24" s="470">
        <v>42941</v>
      </c>
      <c r="AE24" s="471" t="s">
        <v>1809</v>
      </c>
      <c r="AF24" s="471" t="s">
        <v>1810</v>
      </c>
      <c r="AG24" s="472">
        <v>146833</v>
      </c>
      <c r="AH24" s="473">
        <v>200</v>
      </c>
      <c r="AI24" s="474" t="s">
        <v>1775</v>
      </c>
    </row>
    <row r="25" spans="2:35" ht="13.9" customHeight="1" x14ac:dyDescent="0.4">
      <c r="B25" s="427"/>
      <c r="C25" s="427"/>
      <c r="E25" s="751"/>
      <c r="F25" s="763"/>
      <c r="I25" s="440" t="s">
        <v>117</v>
      </c>
      <c r="J25" s="584" t="s">
        <v>52</v>
      </c>
      <c r="K25" s="558">
        <v>4537</v>
      </c>
      <c r="L25" s="558">
        <f>4583-264</f>
        <v>4319</v>
      </c>
      <c r="M25" s="558">
        <f>3935-213</f>
        <v>3722</v>
      </c>
      <c r="N25" s="558">
        <f>4947-396</f>
        <v>4551</v>
      </c>
      <c r="O25" s="558">
        <f>3911-293</f>
        <v>3618</v>
      </c>
      <c r="P25" s="558">
        <f>2992-213</f>
        <v>2779</v>
      </c>
      <c r="Q25" s="558">
        <f>2927-218</f>
        <v>2709</v>
      </c>
      <c r="R25" s="558">
        <f>7466-213</f>
        <v>7253</v>
      </c>
      <c r="S25" s="558">
        <f>4218-425</f>
        <v>3793</v>
      </c>
      <c r="T25" s="558">
        <f>10697-213</f>
        <v>10484</v>
      </c>
      <c r="U25" s="558">
        <f>5081-213</f>
        <v>4868</v>
      </c>
      <c r="V25" s="558">
        <f>5220-213</f>
        <v>5007</v>
      </c>
      <c r="W25" s="431">
        <f t="shared" si="27"/>
        <v>57640</v>
      </c>
      <c r="X25" s="583">
        <f t="shared" si="28"/>
        <v>-1429</v>
      </c>
      <c r="Y25" s="585">
        <f t="shared" si="29"/>
        <v>-2.4192046589581677E-2</v>
      </c>
      <c r="Z25" s="445"/>
      <c r="AA25" s="771"/>
      <c r="AB25" s="799"/>
      <c r="AD25" s="470">
        <v>42947</v>
      </c>
      <c r="AE25" s="471" t="s">
        <v>1811</v>
      </c>
      <c r="AF25" s="471" t="s">
        <v>1812</v>
      </c>
      <c r="AG25" s="472">
        <v>146978</v>
      </c>
      <c r="AH25" s="473">
        <v>135</v>
      </c>
      <c r="AI25" s="474" t="s">
        <v>1375</v>
      </c>
    </row>
    <row r="26" spans="2:35" ht="13.9" customHeight="1" x14ac:dyDescent="0.4">
      <c r="B26" s="427" t="s">
        <v>64</v>
      </c>
      <c r="C26" s="427" t="s">
        <v>65</v>
      </c>
      <c r="E26" s="751">
        <f>1195-250</f>
        <v>945</v>
      </c>
      <c r="F26" s="763" t="s">
        <v>67</v>
      </c>
      <c r="I26" s="440" t="s">
        <v>118</v>
      </c>
      <c r="J26" s="45" t="s">
        <v>55</v>
      </c>
      <c r="K26" s="558">
        <v>3710</v>
      </c>
      <c r="L26" s="558">
        <v>3750</v>
      </c>
      <c r="M26" s="558">
        <v>7113</v>
      </c>
      <c r="N26" s="558">
        <f>3928-213</f>
        <v>3715</v>
      </c>
      <c r="O26" s="558">
        <f>2501-213</f>
        <v>2288</v>
      </c>
      <c r="P26" s="558">
        <f>3468-213</f>
        <v>3255</v>
      </c>
      <c r="Q26" s="558">
        <f>1986-224</f>
        <v>1762</v>
      </c>
      <c r="R26" s="558">
        <f>4145-212</f>
        <v>3933</v>
      </c>
      <c r="S26" s="558">
        <f>8518-212</f>
        <v>8306</v>
      </c>
      <c r="T26" s="558">
        <f>5829-424</f>
        <v>5405</v>
      </c>
      <c r="U26" s="558">
        <f>3816-212</f>
        <v>3604</v>
      </c>
      <c r="V26" s="558">
        <f>12440-212</f>
        <v>12228</v>
      </c>
      <c r="W26" s="431">
        <f t="shared" si="27"/>
        <v>59069</v>
      </c>
      <c r="X26" s="583">
        <f t="shared" si="28"/>
        <v>8447</v>
      </c>
      <c r="Y26" s="585">
        <f t="shared" si="29"/>
        <v>0.16686420923709058</v>
      </c>
      <c r="Z26" s="445"/>
      <c r="AA26" s="445"/>
      <c r="AB26" s="45" t="s">
        <v>119</v>
      </c>
      <c r="AD26" s="470">
        <v>42969</v>
      </c>
      <c r="AE26" s="471" t="s">
        <v>1813</v>
      </c>
      <c r="AF26" s="471" t="s">
        <v>1814</v>
      </c>
      <c r="AG26" s="472">
        <v>147703</v>
      </c>
      <c r="AH26" s="473">
        <v>200</v>
      </c>
      <c r="AI26" s="474" t="s">
        <v>1775</v>
      </c>
    </row>
    <row r="27" spans="2:35" ht="13.9" customHeight="1" x14ac:dyDescent="0.4">
      <c r="B27" s="427"/>
      <c r="C27" s="427"/>
      <c r="D27" s="463"/>
      <c r="E27" s="751"/>
      <c r="F27" s="462"/>
      <c r="I27" s="440" t="s">
        <v>120</v>
      </c>
      <c r="J27" s="45" t="s">
        <v>58</v>
      </c>
      <c r="K27" s="558">
        <f>4439-1260</f>
        <v>3179</v>
      </c>
      <c r="L27" s="558">
        <f>3071-197</f>
        <v>2874</v>
      </c>
      <c r="M27" s="558">
        <f>4958-132</f>
        <v>4826</v>
      </c>
      <c r="N27" s="558">
        <f>3585-132</f>
        <v>3453</v>
      </c>
      <c r="O27" s="558">
        <f>5008-33</f>
        <v>4975</v>
      </c>
      <c r="P27" s="558">
        <v>3386</v>
      </c>
      <c r="Q27" s="558">
        <v>3633</v>
      </c>
      <c r="R27" s="558">
        <v>3855</v>
      </c>
      <c r="S27" s="558">
        <v>6440</v>
      </c>
      <c r="T27" s="558">
        <v>3536</v>
      </c>
      <c r="U27" s="558">
        <v>2851</v>
      </c>
      <c r="V27" s="558">
        <v>7614</v>
      </c>
      <c r="W27" s="431">
        <f t="shared" si="27"/>
        <v>50622</v>
      </c>
      <c r="X27" s="583">
        <f t="shared" si="28"/>
        <v>41228</v>
      </c>
      <c r="Y27" s="585">
        <f t="shared" si="29"/>
        <v>4.3887587822014051</v>
      </c>
      <c r="AD27" s="470">
        <v>42970</v>
      </c>
      <c r="AE27" s="471" t="s">
        <v>1815</v>
      </c>
      <c r="AF27" s="471" t="s">
        <v>1816</v>
      </c>
      <c r="AG27" s="472">
        <v>147671</v>
      </c>
      <c r="AH27" s="473">
        <v>200</v>
      </c>
      <c r="AI27" s="474" t="s">
        <v>1775</v>
      </c>
    </row>
    <row r="28" spans="2:35" ht="13.9" customHeight="1" x14ac:dyDescent="0.4">
      <c r="B28" s="427" t="s">
        <v>87</v>
      </c>
      <c r="C28" s="427" t="s">
        <v>65</v>
      </c>
      <c r="E28" s="751">
        <f>850*0.7</f>
        <v>595</v>
      </c>
      <c r="F28" s="763"/>
      <c r="I28" s="541" t="s">
        <v>121</v>
      </c>
      <c r="J28" s="45" t="s">
        <v>61</v>
      </c>
      <c r="K28" s="558"/>
      <c r="L28" s="558"/>
      <c r="M28" s="558"/>
      <c r="N28" s="558"/>
      <c r="O28" s="558"/>
      <c r="P28" s="558"/>
      <c r="Q28" s="558"/>
      <c r="R28" s="558"/>
      <c r="S28" s="558"/>
      <c r="T28" s="558"/>
      <c r="U28" s="558">
        <f>3346-338</f>
        <v>3008</v>
      </c>
      <c r="V28" s="558">
        <f>6776-390</f>
        <v>6386</v>
      </c>
      <c r="W28" s="431">
        <f t="shared" si="27"/>
        <v>9394</v>
      </c>
      <c r="AD28" s="470">
        <v>42970</v>
      </c>
      <c r="AE28" s="471" t="s">
        <v>1817</v>
      </c>
      <c r="AF28" s="471" t="s">
        <v>1818</v>
      </c>
      <c r="AG28" s="472">
        <v>147844</v>
      </c>
      <c r="AH28" s="473">
        <v>200</v>
      </c>
      <c r="AI28" s="474" t="s">
        <v>1819</v>
      </c>
    </row>
    <row r="29" spans="2:35" ht="13.9" customHeight="1" x14ac:dyDescent="0.4">
      <c r="B29" s="464"/>
      <c r="C29" s="464"/>
      <c r="E29" s="751"/>
      <c r="F29" s="763"/>
      <c r="X29" s="45" t="s">
        <v>122</v>
      </c>
      <c r="Y29" s="688">
        <f>W17-K21-L21-M21-N21-O21-P21-Q21-R21-S21-T21-U21-V21</f>
        <v>14664.073076923079</v>
      </c>
      <c r="Z29" s="835">
        <f>Y29/W17</f>
        <v>0.21049119214048234</v>
      </c>
      <c r="AD29" s="470">
        <v>42976</v>
      </c>
      <c r="AE29" s="471" t="s">
        <v>1820</v>
      </c>
      <c r="AF29" s="471" t="s">
        <v>1821</v>
      </c>
      <c r="AG29" s="472">
        <v>148062</v>
      </c>
      <c r="AH29" s="473">
        <v>65</v>
      </c>
      <c r="AI29" s="474" t="s">
        <v>1375</v>
      </c>
    </row>
    <row r="30" spans="2:35" ht="15" customHeight="1" x14ac:dyDescent="0.4">
      <c r="B30" s="427" t="s">
        <v>89</v>
      </c>
      <c r="C30" s="427" t="s">
        <v>65</v>
      </c>
      <c r="E30" s="751">
        <v>100</v>
      </c>
      <c r="F30" s="763"/>
      <c r="I30" s="447" t="s">
        <v>123</v>
      </c>
      <c r="J30" s="448">
        <f ca="1">SUMIF($C2:E98,I30,$E2:$E68)</f>
        <v>0</v>
      </c>
      <c r="K30" s="558">
        <f t="shared" ref="K30:V30" si="30">AVERAGE(K21:K27)</f>
        <v>5206.5557142857142</v>
      </c>
      <c r="L30" s="558">
        <f t="shared" si="30"/>
        <v>5146.6071428571431</v>
      </c>
      <c r="M30" s="558">
        <f t="shared" si="30"/>
        <v>5465.3038461538463</v>
      </c>
      <c r="N30" s="558">
        <f t="shared" si="30"/>
        <v>4128.4335714285717</v>
      </c>
      <c r="O30" s="558">
        <f t="shared" si="30"/>
        <v>4200</v>
      </c>
      <c r="P30" s="558">
        <f t="shared" si="30"/>
        <v>4267.6414285714282</v>
      </c>
      <c r="Q30" s="558">
        <f t="shared" si="30"/>
        <v>3286.2585714285715</v>
      </c>
      <c r="R30" s="558">
        <f t="shared" si="30"/>
        <v>6235.7714285714292</v>
      </c>
      <c r="S30" s="558">
        <f t="shared" si="30"/>
        <v>6566.5085714285715</v>
      </c>
      <c r="T30" s="558">
        <f t="shared" si="30"/>
        <v>5650.6971428571433</v>
      </c>
      <c r="U30" s="558">
        <f t="shared" si="30"/>
        <v>5633.2142857142853</v>
      </c>
      <c r="V30" s="558">
        <f t="shared" si="30"/>
        <v>6039.5414285714287</v>
      </c>
      <c r="W30" s="449">
        <f>SUM(K30:V30)</f>
        <v>61826.533131868127</v>
      </c>
      <c r="X30" s="449" t="s">
        <v>1039</v>
      </c>
      <c r="AD30" s="470">
        <v>42978</v>
      </c>
      <c r="AE30" s="471" t="s">
        <v>1822</v>
      </c>
      <c r="AF30" s="471" t="s">
        <v>1823</v>
      </c>
      <c r="AG30" s="472">
        <v>148222</v>
      </c>
      <c r="AH30" s="473">
        <v>200</v>
      </c>
      <c r="AI30" s="474" t="s">
        <v>1775</v>
      </c>
    </row>
    <row r="31" spans="2:35" ht="15" customHeight="1" x14ac:dyDescent="0.4">
      <c r="B31" s="427"/>
      <c r="C31" s="427"/>
      <c r="E31" s="751"/>
      <c r="F31" s="763"/>
      <c r="I31" s="450" t="s">
        <v>65</v>
      </c>
      <c r="J31" s="451">
        <f ca="1">SUMIF($C2:E68,I31,$E2:$E68)</f>
        <v>2890</v>
      </c>
      <c r="L31" s="449"/>
      <c r="M31" s="449"/>
      <c r="N31" s="449"/>
      <c r="O31" s="449"/>
      <c r="P31" s="449"/>
      <c r="Q31" s="449"/>
      <c r="R31" s="449"/>
      <c r="S31" s="449"/>
      <c r="T31" s="449"/>
      <c r="U31" s="449"/>
      <c r="V31" s="449"/>
      <c r="W31" s="449"/>
      <c r="X31" s="449"/>
      <c r="AD31" s="470">
        <v>42978</v>
      </c>
      <c r="AE31" s="471" t="s">
        <v>1824</v>
      </c>
      <c r="AF31" s="471" t="s">
        <v>1825</v>
      </c>
      <c r="AG31" s="472">
        <v>148235</v>
      </c>
      <c r="AH31" s="473">
        <v>200</v>
      </c>
      <c r="AI31" s="474" t="s">
        <v>1775</v>
      </c>
    </row>
    <row r="32" spans="2:35" ht="15.4" customHeight="1" thickBot="1" x14ac:dyDescent="0.45">
      <c r="B32" s="427"/>
      <c r="C32" s="427"/>
      <c r="D32" s="463"/>
      <c r="E32" s="751"/>
      <c r="F32" s="763"/>
      <c r="I32" s="452" t="s">
        <v>1289</v>
      </c>
      <c r="J32" s="453">
        <f ca="1">SUM(J30:J31)</f>
        <v>2890</v>
      </c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795" t="s">
        <v>132</v>
      </c>
      <c r="V32" s="796"/>
      <c r="W32" s="688">
        <f>SUM(W21:W28)+W17</f>
        <v>511845.70192307688</v>
      </c>
      <c r="X32" s="454"/>
      <c r="AD32" s="470">
        <v>42978</v>
      </c>
      <c r="AE32" s="471" t="s">
        <v>1826</v>
      </c>
      <c r="AF32" s="471" t="s">
        <v>1827</v>
      </c>
      <c r="AG32" s="472">
        <v>148256</v>
      </c>
      <c r="AH32" s="473">
        <v>41</v>
      </c>
      <c r="AI32" s="474" t="s">
        <v>1375</v>
      </c>
    </row>
    <row r="33" spans="2:35" ht="13.9" customHeight="1" thickBot="1" x14ac:dyDescent="0.4">
      <c r="B33" s="427"/>
      <c r="C33" s="427"/>
      <c r="D33" s="463"/>
      <c r="E33" s="751"/>
      <c r="F33" s="763"/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795" t="s">
        <v>133</v>
      </c>
      <c r="V33" s="796"/>
      <c r="W33" s="558">
        <f>SUM(W21:W27)/7</f>
        <v>61826.533131868127</v>
      </c>
      <c r="X33" s="454"/>
      <c r="AD33" s="470">
        <v>42982</v>
      </c>
      <c r="AE33" s="471" t="s">
        <v>1828</v>
      </c>
      <c r="AF33" s="471" t="s">
        <v>1829</v>
      </c>
      <c r="AG33" s="472">
        <v>148035</v>
      </c>
      <c r="AH33" s="476">
        <v>200</v>
      </c>
      <c r="AI33" s="474" t="s">
        <v>1775</v>
      </c>
    </row>
    <row r="34" spans="2:35" ht="13.9" customHeight="1" x14ac:dyDescent="0.4">
      <c r="B34" s="427" t="s">
        <v>1712</v>
      </c>
      <c r="C34" s="427" t="s">
        <v>65</v>
      </c>
      <c r="E34" s="751">
        <f>445*2</f>
        <v>890</v>
      </c>
      <c r="F34" s="763" t="s">
        <v>504</v>
      </c>
      <c r="I34" s="455" t="s">
        <v>134</v>
      </c>
      <c r="J34" s="456">
        <f>W17</f>
        <v>69665.97</v>
      </c>
      <c r="K34" s="454">
        <f>SUM(E150:E1078)-J34</f>
        <v>0</v>
      </c>
      <c r="L34" s="454"/>
      <c r="M34" s="454"/>
      <c r="N34" s="454"/>
      <c r="O34" s="454"/>
      <c r="P34" s="454"/>
      <c r="Q34" s="454"/>
      <c r="R34" s="454"/>
      <c r="S34" s="454"/>
      <c r="T34" s="454"/>
      <c r="U34" s="454"/>
      <c r="V34" s="454"/>
      <c r="W34" s="454"/>
      <c r="X34" s="454"/>
      <c r="AD34" s="470">
        <v>42998</v>
      </c>
      <c r="AE34" s="526" t="s">
        <v>1830</v>
      </c>
      <c r="AF34" s="471" t="s">
        <v>1831</v>
      </c>
      <c r="AG34" s="472" t="s">
        <v>1832</v>
      </c>
      <c r="AH34" s="476">
        <v>200</v>
      </c>
      <c r="AI34" s="49" t="s">
        <v>1775</v>
      </c>
    </row>
    <row r="35" spans="2:35" ht="14.25" customHeight="1" thickBot="1" x14ac:dyDescent="0.45">
      <c r="B35" s="427"/>
      <c r="C35" s="427"/>
      <c r="D35" s="463"/>
      <c r="E35" s="751"/>
      <c r="F35" s="763"/>
      <c r="I35" s="457" t="s">
        <v>135</v>
      </c>
      <c r="J35" s="458">
        <f>J34-AA17</f>
        <v>7265.9700000000012</v>
      </c>
      <c r="K35" s="454"/>
      <c r="L35" s="454"/>
      <c r="M35" s="454"/>
      <c r="N35" s="454"/>
      <c r="O35" s="454"/>
      <c r="P35" s="454"/>
      <c r="Q35" s="454"/>
      <c r="R35" s="454"/>
      <c r="S35" s="454"/>
      <c r="T35" s="454"/>
      <c r="U35" s="454"/>
      <c r="V35" s="454"/>
      <c r="W35" s="454"/>
      <c r="X35" s="454"/>
      <c r="AD35" s="470">
        <v>42998</v>
      </c>
      <c r="AE35" s="471" t="s">
        <v>1833</v>
      </c>
      <c r="AF35" s="471" t="s">
        <v>1834</v>
      </c>
      <c r="AG35" s="472" t="s">
        <v>1835</v>
      </c>
      <c r="AH35" s="476">
        <v>200</v>
      </c>
      <c r="AI35" s="474" t="s">
        <v>1836</v>
      </c>
    </row>
    <row r="36" spans="2:35" ht="13.5" customHeight="1" x14ac:dyDescent="0.35">
      <c r="B36" s="427"/>
      <c r="C36" s="427"/>
      <c r="D36" s="463"/>
      <c r="E36" s="751"/>
      <c r="F36" s="763"/>
      <c r="J36" s="454"/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  <c r="V36" s="454"/>
      <c r="W36" s="454"/>
      <c r="X36" s="454"/>
      <c r="AD36" s="470">
        <v>43018</v>
      </c>
      <c r="AE36" s="474" t="s">
        <v>1837</v>
      </c>
      <c r="AF36" s="474" t="s">
        <v>1838</v>
      </c>
      <c r="AG36" s="477" t="s">
        <v>1839</v>
      </c>
      <c r="AH36" s="476">
        <v>200</v>
      </c>
      <c r="AI36" s="474" t="s">
        <v>1775</v>
      </c>
    </row>
    <row r="37" spans="2:35" x14ac:dyDescent="0.35"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  <c r="AD37" s="470">
        <v>43018</v>
      </c>
      <c r="AE37" s="474" t="s">
        <v>1840</v>
      </c>
      <c r="AF37" s="474" t="s">
        <v>1841</v>
      </c>
      <c r="AG37" s="477"/>
      <c r="AH37" s="540">
        <v>200</v>
      </c>
      <c r="AI37" s="474" t="s">
        <v>1775</v>
      </c>
    </row>
    <row r="38" spans="2:35" ht="13.9" customHeight="1" x14ac:dyDescent="0.4">
      <c r="B38" s="427"/>
      <c r="C38" s="427"/>
      <c r="D38" s="463"/>
      <c r="E38" s="751"/>
      <c r="F38" s="763"/>
      <c r="G38" s="287"/>
      <c r="I38" s="420" t="s">
        <v>140</v>
      </c>
      <c r="J38" s="557" t="s">
        <v>1842</v>
      </c>
      <c r="K38" s="577" t="s">
        <v>142</v>
      </c>
      <c r="L38" s="577" t="s">
        <v>143</v>
      </c>
      <c r="M38" s="577" t="s">
        <v>144</v>
      </c>
      <c r="N38" s="577" t="s">
        <v>145</v>
      </c>
      <c r="O38" s="577" t="s">
        <v>146</v>
      </c>
      <c r="P38" s="577" t="s">
        <v>147</v>
      </c>
      <c r="Q38" s="577" t="s">
        <v>148</v>
      </c>
      <c r="R38" s="577" t="s">
        <v>149</v>
      </c>
      <c r="S38" s="577" t="s">
        <v>150</v>
      </c>
      <c r="T38" s="577" t="s">
        <v>151</v>
      </c>
      <c r="U38" s="577" t="s">
        <v>152</v>
      </c>
      <c r="V38" s="577" t="s">
        <v>153</v>
      </c>
      <c r="W38" s="423" t="s">
        <v>19</v>
      </c>
      <c r="Y38" s="579" t="s">
        <v>21</v>
      </c>
      <c r="AD38" s="470">
        <v>43018</v>
      </c>
      <c r="AE38" s="474" t="s">
        <v>1843</v>
      </c>
      <c r="AF38" s="474" t="s">
        <v>1844</v>
      </c>
      <c r="AG38" s="477"/>
      <c r="AH38" s="476">
        <v>200</v>
      </c>
      <c r="AI38" s="474" t="s">
        <v>1775</v>
      </c>
    </row>
    <row r="39" spans="2:35" ht="13.5" customHeight="1" x14ac:dyDescent="0.35">
      <c r="B39" s="427"/>
      <c r="C39" s="427"/>
      <c r="D39" s="463"/>
      <c r="E39" s="751"/>
      <c r="F39" s="763"/>
      <c r="G39" s="287"/>
      <c r="I39" s="581" t="s">
        <v>28</v>
      </c>
      <c r="J39" s="431"/>
      <c r="K39" s="432">
        <f>K6-'Sales 2020'!K5</f>
        <v>-2255</v>
      </c>
      <c r="L39" s="432">
        <f>L6-'Sales 2020'!L5</f>
        <v>220</v>
      </c>
      <c r="M39" s="432">
        <f>M6-'Sales 2020'!M5</f>
        <v>399</v>
      </c>
      <c r="N39" s="432">
        <f>N6-'Sales 2020'!N5</f>
        <v>67.5</v>
      </c>
      <c r="O39" s="432">
        <f>O6-'Sales 2020'!O5</f>
        <v>1147.7</v>
      </c>
      <c r="P39" s="432">
        <f>P6-'Sales 2020'!P5</f>
        <v>-103.2</v>
      </c>
      <c r="Q39" s="432">
        <f>Q6-'Sales 2020'!Q5</f>
        <v>-500</v>
      </c>
      <c r="R39" s="432">
        <f>R6-'Sales 2020'!R5</f>
        <v>-85</v>
      </c>
      <c r="S39" s="432">
        <f>S6-'Sales 2020'!S5</f>
        <v>315</v>
      </c>
      <c r="T39" s="432">
        <f>T6-'Sales 2020'!T5</f>
        <v>-175</v>
      </c>
      <c r="U39" s="432">
        <f>U6-'Sales 2020'!U5</f>
        <v>-549.25</v>
      </c>
      <c r="V39" s="432">
        <f>V6-'Sales 2020'!V5</f>
        <v>-327.5</v>
      </c>
      <c r="W39" s="788">
        <f t="shared" ref="W39:W49" si="31">SUM(K39:V39)</f>
        <v>-1845.75</v>
      </c>
      <c r="X39" s="445">
        <f>W39/'Sales 2020'!W5</f>
        <v>-0.22014491457196531</v>
      </c>
      <c r="Y39" s="790">
        <f t="shared" ref="Y39:Y50" si="32">SUM(K39:P39)</f>
        <v>-524</v>
      </c>
      <c r="Z39" s="445"/>
      <c r="AD39" s="470">
        <v>43018</v>
      </c>
      <c r="AE39" s="426" t="s">
        <v>1845</v>
      </c>
      <c r="AF39" s="474" t="s">
        <v>1846</v>
      </c>
      <c r="AG39" s="477" t="s">
        <v>1847</v>
      </c>
      <c r="AH39" s="476">
        <v>200</v>
      </c>
      <c r="AI39" s="474" t="s">
        <v>1775</v>
      </c>
    </row>
    <row r="40" spans="2:35" ht="13.5" customHeight="1" x14ac:dyDescent="0.35">
      <c r="B40" s="427" t="s">
        <v>78</v>
      </c>
      <c r="C40" s="427" t="s">
        <v>65</v>
      </c>
      <c r="E40" s="751"/>
      <c r="F40" s="763"/>
      <c r="G40" s="287"/>
      <c r="I40" s="581" t="s">
        <v>1274</v>
      </c>
      <c r="J40" s="431"/>
      <c r="K40" s="432">
        <f>K7-'Sales 2020'!K6</f>
        <v>-3739.6000000000004</v>
      </c>
      <c r="L40" s="432">
        <f>L7-'Sales 2020'!L6</f>
        <v>-1568</v>
      </c>
      <c r="M40" s="432">
        <f>M7-'Sales 2020'!M6</f>
        <v>5277.5</v>
      </c>
      <c r="N40" s="432">
        <f>N7-'Sales 2020'!N6</f>
        <v>1862</v>
      </c>
      <c r="O40" s="432">
        <f>O7-'Sales 2020'!O6</f>
        <v>879.9</v>
      </c>
      <c r="P40" s="432">
        <f>P7-'Sales 2020'!P6</f>
        <v>-430.75</v>
      </c>
      <c r="Q40" s="432">
        <f>Q7-'Sales 2020'!Q6</f>
        <v>2013</v>
      </c>
      <c r="R40" s="432">
        <f>R7-'Sales 2020'!R6</f>
        <v>2827</v>
      </c>
      <c r="S40" s="432">
        <f>S7-'Sales 2020'!S6</f>
        <v>1466</v>
      </c>
      <c r="T40" s="432">
        <f>T7-'Sales 2020'!T6</f>
        <v>2784</v>
      </c>
      <c r="U40" s="432">
        <f>U7-'Sales 2020'!U6</f>
        <v>903</v>
      </c>
      <c r="V40" s="432">
        <f>V7-'Sales 2020'!V6</f>
        <v>2214</v>
      </c>
      <c r="W40" s="788">
        <f t="shared" si="31"/>
        <v>14488.05</v>
      </c>
      <c r="X40" s="445">
        <f>W40/'Sales 2020'!W6</f>
        <v>0.84535850884128283</v>
      </c>
      <c r="Y40" s="790">
        <f t="shared" si="32"/>
        <v>2281.0499999999997</v>
      </c>
      <c r="Z40" s="445"/>
      <c r="AD40" s="470">
        <v>43024</v>
      </c>
      <c r="AE40" s="426" t="s">
        <v>1848</v>
      </c>
      <c r="AF40" s="426" t="s">
        <v>1849</v>
      </c>
      <c r="AG40" s="477" t="s">
        <v>1850</v>
      </c>
      <c r="AH40" s="476">
        <v>200</v>
      </c>
      <c r="AI40" s="474" t="s">
        <v>1775</v>
      </c>
    </row>
    <row r="41" spans="2:35" ht="13.5" customHeight="1" x14ac:dyDescent="0.35">
      <c r="E41" s="751"/>
      <c r="F41" s="763"/>
      <c r="I41" s="581" t="s">
        <v>1276</v>
      </c>
      <c r="J41" s="431"/>
      <c r="K41" s="432">
        <f>K8-'Sales 2020'!K7</f>
        <v>-704.85</v>
      </c>
      <c r="L41" s="432">
        <f>L8-'Sales 2020'!L7</f>
        <v>-633.75</v>
      </c>
      <c r="M41" s="432">
        <f>M8-'Sales 2020'!M7</f>
        <v>-2383.75</v>
      </c>
      <c r="N41" s="432">
        <f>N8-'Sales 2020'!N7</f>
        <v>-283.75</v>
      </c>
      <c r="O41" s="432">
        <f>O8-'Sales 2020'!O7</f>
        <v>-458.75</v>
      </c>
      <c r="P41" s="432">
        <f>P8-'Sales 2020'!P7</f>
        <v>-390</v>
      </c>
      <c r="Q41" s="432">
        <f>Q8-'Sales 2020'!Q7</f>
        <v>75</v>
      </c>
      <c r="R41" s="432">
        <f>R8-'Sales 2020'!R7</f>
        <v>-512.5</v>
      </c>
      <c r="S41" s="432">
        <f>S8-'Sales 2020'!S7</f>
        <v>550</v>
      </c>
      <c r="T41" s="432">
        <f>T8-'Sales 2020'!T7</f>
        <v>175</v>
      </c>
      <c r="U41" s="432">
        <f>U8-'Sales 2020'!U7</f>
        <v>-172</v>
      </c>
      <c r="V41" s="432">
        <f>V8-'Sales 2020'!V7</f>
        <v>437.5</v>
      </c>
      <c r="W41" s="788">
        <f t="shared" si="31"/>
        <v>-4301.8500000000004</v>
      </c>
      <c r="X41" s="445">
        <f>W41/'Sales 2020'!W7</f>
        <v>-0.60041033657368958</v>
      </c>
      <c r="Y41" s="790">
        <f t="shared" si="32"/>
        <v>-4854.8500000000004</v>
      </c>
      <c r="Z41" s="445"/>
      <c r="AD41" s="470">
        <v>43025</v>
      </c>
      <c r="AE41" s="426" t="s">
        <v>1851</v>
      </c>
      <c r="AF41" s="426" t="s">
        <v>1852</v>
      </c>
      <c r="AH41" s="476">
        <v>200</v>
      </c>
      <c r="AI41" s="426" t="s">
        <v>1853</v>
      </c>
    </row>
    <row r="42" spans="2:35" ht="13.5" customHeight="1" x14ac:dyDescent="0.35">
      <c r="B42" s="427" t="s">
        <v>92</v>
      </c>
      <c r="C42" s="427" t="s">
        <v>65</v>
      </c>
      <c r="D42" s="463"/>
      <c r="E42" s="751"/>
      <c r="F42" s="763"/>
      <c r="I42" s="581" t="s">
        <v>1277</v>
      </c>
      <c r="J42" s="431"/>
      <c r="K42" s="432">
        <f>K9-'Sales 2020'!K8</f>
        <v>1154.0999999999999</v>
      </c>
      <c r="L42" s="432">
        <f>L9-'Sales 2020'!L8</f>
        <v>0</v>
      </c>
      <c r="M42" s="432">
        <f>M9-'Sales 2020'!M8</f>
        <v>-2224.5</v>
      </c>
      <c r="N42" s="432">
        <f>N9-'Sales 2020'!N8</f>
        <v>-24</v>
      </c>
      <c r="O42" s="432">
        <f>O9-'Sales 2020'!O8</f>
        <v>-665</v>
      </c>
      <c r="P42" s="432">
        <f>P9-'Sales 2020'!P8</f>
        <v>1443.75</v>
      </c>
      <c r="Q42" s="432">
        <f>Q9-'Sales 2020'!Q8</f>
        <v>-435</v>
      </c>
      <c r="R42" s="432">
        <f>R9-'Sales 2020'!R8</f>
        <v>-70</v>
      </c>
      <c r="S42" s="432">
        <f>S9-'Sales 2020'!S8</f>
        <v>-924</v>
      </c>
      <c r="T42" s="432">
        <f>T9-'Sales 2020'!T8</f>
        <v>-135</v>
      </c>
      <c r="U42" s="432">
        <f>U9-'Sales 2020'!U8</f>
        <v>-225</v>
      </c>
      <c r="V42" s="432">
        <f>V9-'Sales 2020'!V8</f>
        <v>0</v>
      </c>
      <c r="W42" s="788">
        <f t="shared" si="31"/>
        <v>-2104.65</v>
      </c>
      <c r="X42" s="445">
        <f>W42/'Sales 2020'!W8</f>
        <v>0.61940638933443215</v>
      </c>
      <c r="Y42" s="790">
        <f t="shared" si="32"/>
        <v>-315.65000000000009</v>
      </c>
      <c r="Z42" s="445"/>
      <c r="AD42" s="470">
        <v>43027</v>
      </c>
      <c r="AE42" s="426" t="s">
        <v>1854</v>
      </c>
      <c r="AF42" s="426" t="s">
        <v>1855</v>
      </c>
      <c r="AG42" s="478" t="s">
        <v>1856</v>
      </c>
      <c r="AH42" s="476">
        <v>150</v>
      </c>
      <c r="AI42" s="474" t="s">
        <v>1775</v>
      </c>
    </row>
    <row r="43" spans="2:35" ht="13.5" customHeight="1" x14ac:dyDescent="0.35">
      <c r="B43" s="464"/>
      <c r="C43" s="427"/>
      <c r="E43" s="751"/>
      <c r="F43" s="763"/>
      <c r="I43" s="581" t="s">
        <v>1278</v>
      </c>
      <c r="J43" s="431"/>
      <c r="K43" s="432">
        <f>K10-'Sales 2020'!K9</f>
        <v>20</v>
      </c>
      <c r="L43" s="432">
        <f>L10-'Sales 2020'!L9</f>
        <v>40</v>
      </c>
      <c r="M43" s="432">
        <f>M10-'Sales 2020'!M9</f>
        <v>60</v>
      </c>
      <c r="N43" s="432">
        <f>N10-'Sales 2020'!N9</f>
        <v>-20</v>
      </c>
      <c r="O43" s="432">
        <f>O10-'Sales 2020'!O9</f>
        <v>20</v>
      </c>
      <c r="P43" s="432">
        <f>P10-'Sales 2020'!P9</f>
        <v>60</v>
      </c>
      <c r="Q43" s="432">
        <f>Q10-'Sales 2020'!Q9</f>
        <v>80</v>
      </c>
      <c r="R43" s="432">
        <f>R10-'Sales 2020'!R9</f>
        <v>620</v>
      </c>
      <c r="S43" s="432">
        <f>S10-'Sales 2020'!S9</f>
        <v>-580</v>
      </c>
      <c r="T43" s="432">
        <f>T10-'Sales 2020'!T9</f>
        <v>-20</v>
      </c>
      <c r="U43" s="432">
        <f>U10-'Sales 2020'!U9</f>
        <v>20</v>
      </c>
      <c r="V43" s="432">
        <f>V10-'Sales 2020'!V9</f>
        <v>40</v>
      </c>
      <c r="W43" s="788">
        <f t="shared" si="31"/>
        <v>340</v>
      </c>
      <c r="X43" s="445">
        <f>W43/'Sales 2020'!W9</f>
        <v>0.21518987341772153</v>
      </c>
      <c r="Y43" s="790">
        <f t="shared" si="32"/>
        <v>180</v>
      </c>
      <c r="Z43" s="445"/>
      <c r="AD43" s="470"/>
      <c r="AG43" s="478"/>
      <c r="AH43" s="476"/>
      <c r="AI43" s="474"/>
    </row>
    <row r="44" spans="2:35" ht="13.5" customHeight="1" x14ac:dyDescent="0.35">
      <c r="B44" s="427"/>
      <c r="C44" s="427"/>
      <c r="E44" s="751"/>
      <c r="F44" s="763"/>
      <c r="I44" s="582" t="s">
        <v>1279</v>
      </c>
      <c r="J44" s="431"/>
      <c r="K44" s="432">
        <f>K11-'Sales 2020'!K10</f>
        <v>-489.5</v>
      </c>
      <c r="L44" s="432">
        <f>L11-'Sales 2020'!L10</f>
        <v>222.5</v>
      </c>
      <c r="M44" s="432">
        <f>M11-'Sales 2020'!M10</f>
        <v>12816</v>
      </c>
      <c r="N44" s="432">
        <f>N11-'Sales 2020'!N10</f>
        <v>685</v>
      </c>
      <c r="O44" s="432">
        <f>O11-'Sales 2020'!O10</f>
        <v>744.5</v>
      </c>
      <c r="P44" s="432">
        <f>P11-'Sales 2020'!P10</f>
        <v>-3058.75</v>
      </c>
      <c r="Q44" s="432">
        <f>Q11-'Sales 2020'!Q10</f>
        <v>-55</v>
      </c>
      <c r="R44" s="432">
        <f>R11-'Sales 2020'!R10</f>
        <v>-6465</v>
      </c>
      <c r="S44" s="432">
        <f>S11-'Sales 2020'!S10</f>
        <v>45</v>
      </c>
      <c r="T44" s="432">
        <f>T11-'Sales 2020'!T10</f>
        <v>340</v>
      </c>
      <c r="U44" s="432">
        <f>U11-'Sales 2020'!U10</f>
        <v>-62</v>
      </c>
      <c r="V44" s="432">
        <f>V11-'Sales 2020'!V10</f>
        <v>2315</v>
      </c>
      <c r="W44" s="788">
        <f t="shared" si="31"/>
        <v>7037.75</v>
      </c>
      <c r="X44" s="445">
        <f>W44/'Sales 2020'!W10</f>
        <v>0.36838179486508416</v>
      </c>
      <c r="Y44" s="790">
        <f t="shared" si="32"/>
        <v>10919.75</v>
      </c>
      <c r="Z44" s="445"/>
      <c r="AD44" s="470">
        <v>43049</v>
      </c>
      <c r="AE44" s="45" t="s">
        <v>1857</v>
      </c>
      <c r="AF44" s="45" t="s">
        <v>1858</v>
      </c>
      <c r="AG44" s="48" t="s">
        <v>1859</v>
      </c>
      <c r="AH44" s="476">
        <v>200</v>
      </c>
      <c r="AI44" s="474" t="s">
        <v>1775</v>
      </c>
    </row>
    <row r="45" spans="2:35" ht="13.5" customHeight="1" x14ac:dyDescent="0.35">
      <c r="B45" s="427"/>
      <c r="C45" s="427"/>
      <c r="E45" s="751"/>
      <c r="F45" s="763"/>
      <c r="I45" s="582" t="s">
        <v>1280</v>
      </c>
      <c r="J45" s="431"/>
      <c r="K45" s="432">
        <f>K12-'Sales 2020'!K11</f>
        <v>-200</v>
      </c>
      <c r="L45" s="432">
        <f>L12-'Sales 2020'!L11</f>
        <v>-425</v>
      </c>
      <c r="M45" s="432">
        <f>M12-'Sales 2020'!M11</f>
        <v>-605</v>
      </c>
      <c r="N45" s="432">
        <f>N12-'Sales 2020'!N11</f>
        <v>-100</v>
      </c>
      <c r="O45" s="432">
        <f>O12-'Sales 2020'!O11</f>
        <v>-125</v>
      </c>
      <c r="P45" s="432">
        <f>P12-'Sales 2020'!P11</f>
        <v>50</v>
      </c>
      <c r="Q45" s="432">
        <f>Q12-'Sales 2020'!Q11</f>
        <v>0</v>
      </c>
      <c r="R45" s="432">
        <f>R12-'Sales 2020'!R11</f>
        <v>0</v>
      </c>
      <c r="S45" s="432">
        <f>S12-'Sales 2020'!S11</f>
        <v>75</v>
      </c>
      <c r="T45" s="432">
        <f>T12-'Sales 2020'!T11</f>
        <v>50</v>
      </c>
      <c r="U45" s="432">
        <f>U12-'Sales 2020'!U11</f>
        <v>-580</v>
      </c>
      <c r="V45" s="432">
        <f>V12-'Sales 2020'!V11</f>
        <v>-820</v>
      </c>
      <c r="W45" s="788">
        <f t="shared" si="31"/>
        <v>-2680</v>
      </c>
      <c r="X45" s="445">
        <f>W45/'Sales 2020'!W11</f>
        <v>-0.65928659286592861</v>
      </c>
      <c r="Y45" s="790">
        <f t="shared" si="32"/>
        <v>-1405</v>
      </c>
      <c r="Z45" s="445"/>
      <c r="AD45" s="470"/>
      <c r="AE45" s="45"/>
      <c r="AF45" s="45"/>
      <c r="AG45" s="48"/>
      <c r="AH45" s="476"/>
      <c r="AI45" s="474"/>
    </row>
    <row r="46" spans="2:35" ht="13.5" customHeight="1" x14ac:dyDescent="0.35">
      <c r="B46" s="427" t="s">
        <v>1860</v>
      </c>
      <c r="C46" s="427" t="s">
        <v>65</v>
      </c>
      <c r="E46" s="751">
        <v>360</v>
      </c>
      <c r="F46" s="763" t="s">
        <v>1861</v>
      </c>
      <c r="I46" s="582" t="s">
        <v>1281</v>
      </c>
      <c r="J46" s="431"/>
      <c r="K46" s="432">
        <f>K13-'Sales 2020'!K12</f>
        <v>200</v>
      </c>
      <c r="L46" s="432">
        <f>L13-'Sales 2020'!L12</f>
        <v>325</v>
      </c>
      <c r="M46" s="432">
        <f>M13-'Sales 2020'!M12</f>
        <v>135</v>
      </c>
      <c r="N46" s="432">
        <f>N13-'Sales 2020'!N12</f>
        <v>0</v>
      </c>
      <c r="O46" s="432">
        <f>O13-'Sales 2020'!O12</f>
        <v>0</v>
      </c>
      <c r="P46" s="432">
        <f>P13-'Sales 2020'!P12</f>
        <v>-480</v>
      </c>
      <c r="Q46" s="432">
        <f>Q13-'Sales 2020'!Q12</f>
        <v>-250</v>
      </c>
      <c r="R46" s="432">
        <f>R13-'Sales 2020'!R12</f>
        <v>-360</v>
      </c>
      <c r="S46" s="432">
        <f>S13-'Sales 2020'!S12</f>
        <v>-30</v>
      </c>
      <c r="T46" s="432">
        <f>T13-'Sales 2020'!T12</f>
        <v>-200</v>
      </c>
      <c r="U46" s="432">
        <f>U13-'Sales 2020'!U12</f>
        <v>0</v>
      </c>
      <c r="V46" s="432">
        <f>V13-'Sales 2020'!V12</f>
        <v>-250</v>
      </c>
      <c r="W46" s="788">
        <f t="shared" si="31"/>
        <v>-910</v>
      </c>
      <c r="X46" s="445">
        <f>W46/'Sales 2020'!W12</f>
        <v>0.66181818181818186</v>
      </c>
      <c r="Y46" s="790">
        <f t="shared" si="32"/>
        <v>180</v>
      </c>
      <c r="Z46" s="445"/>
      <c r="AD46" s="470"/>
      <c r="AE46" s="45"/>
      <c r="AF46" s="45"/>
      <c r="AG46" s="48"/>
      <c r="AH46" s="476"/>
      <c r="AI46" s="474"/>
    </row>
    <row r="47" spans="2:35" ht="13.5" customHeight="1" x14ac:dyDescent="0.35">
      <c r="B47" s="427"/>
      <c r="C47" s="427"/>
      <c r="E47" s="751"/>
      <c r="F47" s="763"/>
      <c r="I47" s="582" t="s">
        <v>1282</v>
      </c>
      <c r="J47" s="431"/>
      <c r="K47" s="432">
        <f>K14-'Sales 2020'!K13</f>
        <v>0</v>
      </c>
      <c r="L47" s="432">
        <f>L14-'Sales 2020'!L13</f>
        <v>522.80000000000007</v>
      </c>
      <c r="M47" s="432">
        <f>M14-'Sales 2020'!M13</f>
        <v>-46.616923076923058</v>
      </c>
      <c r="N47" s="432">
        <f>N14-'Sales 2020'!N13</f>
        <v>0</v>
      </c>
      <c r="O47" s="432">
        <f>O14-'Sales 2020'!O13</f>
        <v>96.770000000000039</v>
      </c>
      <c r="P47" s="432">
        <f>P14-'Sales 2020'!P13</f>
        <v>885.12999999999988</v>
      </c>
      <c r="Q47" s="432">
        <f>Q14-'Sales 2020'!Q13</f>
        <v>131.35</v>
      </c>
      <c r="R47" s="432">
        <f>R14-'Sales 2020'!R13</f>
        <v>-256.81</v>
      </c>
      <c r="S47" s="432">
        <f>S14-'Sales 2020'!S13</f>
        <v>-188.39000000000001</v>
      </c>
      <c r="T47" s="432">
        <f>T14-'Sales 2020'!T13</f>
        <v>-225.69</v>
      </c>
      <c r="U47" s="432">
        <f>U14-'Sales 2020'!U13</f>
        <v>364.51</v>
      </c>
      <c r="V47" s="432">
        <f>V14-'Sales 2020'!V13</f>
        <v>962.69</v>
      </c>
      <c r="W47" s="788">
        <f t="shared" si="31"/>
        <v>2245.7430769230768</v>
      </c>
      <c r="X47" s="445">
        <f>W47/'Sales 2020'!W13</f>
        <v>0.98822711446507827</v>
      </c>
      <c r="Y47" s="790">
        <f t="shared" si="32"/>
        <v>1458.083076923077</v>
      </c>
      <c r="Z47" s="445"/>
      <c r="AD47" s="470"/>
      <c r="AE47" s="45"/>
      <c r="AF47" s="45"/>
      <c r="AG47" s="48"/>
      <c r="AH47" s="476"/>
      <c r="AI47" s="474"/>
    </row>
    <row r="48" spans="2:35" ht="13.5" customHeight="1" x14ac:dyDescent="0.35">
      <c r="B48" s="427"/>
      <c r="C48" s="427"/>
      <c r="E48" s="751"/>
      <c r="F48" s="763"/>
      <c r="I48" s="582" t="s">
        <v>1283</v>
      </c>
      <c r="J48" s="431"/>
      <c r="K48" s="432">
        <f>K15-'Sales 2020'!K14</f>
        <v>0</v>
      </c>
      <c r="L48" s="432">
        <f>L15-'Sales 2020'!L14</f>
        <v>0</v>
      </c>
      <c r="M48" s="432">
        <f>M15-'Sales 2020'!M14</f>
        <v>0</v>
      </c>
      <c r="N48" s="432">
        <f>N15-'Sales 2020'!N14</f>
        <v>0</v>
      </c>
      <c r="O48" s="432">
        <f>O15-'Sales 2020'!O14</f>
        <v>315</v>
      </c>
      <c r="P48" s="432">
        <f>P15-'Sales 2020'!P14</f>
        <v>0</v>
      </c>
      <c r="Q48" s="432">
        <f>Q15-'Sales 2020'!Q14</f>
        <v>0</v>
      </c>
      <c r="R48" s="432">
        <f>R15-'Sales 2020'!R14</f>
        <v>0</v>
      </c>
      <c r="S48" s="432">
        <f>S15-'Sales 2020'!S14</f>
        <v>500</v>
      </c>
      <c r="T48" s="432">
        <f>T15-'Sales 2020'!T14</f>
        <v>150</v>
      </c>
      <c r="U48" s="432">
        <f>U15-'Sales 2020'!U14</f>
        <v>1293.9800000000005</v>
      </c>
      <c r="V48" s="432">
        <f>V15-'Sales 2020'!V14</f>
        <v>-1</v>
      </c>
      <c r="W48" s="788">
        <f t="shared" si="31"/>
        <v>2257.9800000000005</v>
      </c>
      <c r="X48" s="445">
        <f>W48/'Sales 2020'!W14</f>
        <v>2257.9800000000005</v>
      </c>
      <c r="Y48" s="790">
        <f t="shared" si="32"/>
        <v>315</v>
      </c>
      <c r="Z48" s="445"/>
      <c r="AD48" s="470"/>
      <c r="AE48" s="45"/>
      <c r="AF48" s="45"/>
      <c r="AG48" s="48"/>
      <c r="AH48" s="476"/>
      <c r="AI48" s="474"/>
    </row>
    <row r="49" spans="9:35" ht="13.15" customHeight="1" thickBot="1" x14ac:dyDescent="0.4">
      <c r="I49" s="582" t="s">
        <v>1284</v>
      </c>
      <c r="J49" s="431"/>
      <c r="K49" s="432">
        <f>K16-'Sales 2020'!K15</f>
        <v>0</v>
      </c>
      <c r="L49" s="432">
        <f>L16-'Sales 2020'!L15</f>
        <v>-25</v>
      </c>
      <c r="M49" s="432">
        <f>M16-'Sales 2020'!M15</f>
        <v>-2.7</v>
      </c>
      <c r="N49" s="432">
        <f>N16-'Sales 2020'!N15</f>
        <v>-2.1</v>
      </c>
      <c r="O49" s="432">
        <f>O16-'Sales 2020'!O15</f>
        <v>8.6000000000000014</v>
      </c>
      <c r="P49" s="432">
        <f>P16-'Sales 2020'!P15</f>
        <v>27.8</v>
      </c>
      <c r="Q49" s="432">
        <f>Q16-'Sales 2020'!Q15</f>
        <v>59</v>
      </c>
      <c r="R49" s="432">
        <f>R16-'Sales 2020'!R15</f>
        <v>0</v>
      </c>
      <c r="S49" s="432">
        <f>S16-'Sales 2020'!S15</f>
        <v>0</v>
      </c>
      <c r="T49" s="432">
        <f>T16-'Sales 2020'!T15</f>
        <v>34</v>
      </c>
      <c r="U49" s="432">
        <f>U16-'Sales 2020'!U15</f>
        <v>14.2</v>
      </c>
      <c r="V49" s="432">
        <f>V16-'Sales 2020'!V15</f>
        <v>22</v>
      </c>
      <c r="W49" s="788">
        <f t="shared" si="31"/>
        <v>135.80000000000001</v>
      </c>
      <c r="X49" s="445">
        <f>W49/'Sales 2020'!W15</f>
        <v>2.0796324655436451</v>
      </c>
      <c r="Y49" s="790">
        <f t="shared" si="32"/>
        <v>6.6000000000000014</v>
      </c>
      <c r="Z49" s="445"/>
      <c r="AD49" s="470">
        <v>43054</v>
      </c>
      <c r="AE49" s="426" t="s">
        <v>1862</v>
      </c>
      <c r="AF49" s="426" t="s">
        <v>1863</v>
      </c>
      <c r="AG49" s="48" t="s">
        <v>1864</v>
      </c>
      <c r="AH49" s="476">
        <v>200</v>
      </c>
      <c r="AI49" s="474" t="s">
        <v>1775</v>
      </c>
    </row>
    <row r="50" spans="9:35" ht="13.9" customHeight="1" thickTop="1" thickBot="1" x14ac:dyDescent="0.45">
      <c r="I50" s="437" t="s">
        <v>63</v>
      </c>
      <c r="J50" s="438"/>
      <c r="K50" s="587">
        <f t="shared" ref="K50:W50" si="33">SUM(K39:K49)</f>
        <v>-6014.85</v>
      </c>
      <c r="L50" s="587">
        <f t="shared" si="33"/>
        <v>-1321.4499999999998</v>
      </c>
      <c r="M50" s="587">
        <f t="shared" si="33"/>
        <v>13424.933076923076</v>
      </c>
      <c r="N50" s="587">
        <f t="shared" si="33"/>
        <v>2184.65</v>
      </c>
      <c r="O50" s="587">
        <f t="shared" si="33"/>
        <v>1963.7199999999998</v>
      </c>
      <c r="P50" s="587">
        <f t="shared" si="33"/>
        <v>-1996.02</v>
      </c>
      <c r="Q50" s="587">
        <f t="shared" si="33"/>
        <v>1118.3499999999999</v>
      </c>
      <c r="R50" s="587">
        <f t="shared" si="33"/>
        <v>-4302.3100000000004</v>
      </c>
      <c r="S50" s="587">
        <f t="shared" si="33"/>
        <v>1228.6100000000001</v>
      </c>
      <c r="T50" s="587">
        <f t="shared" si="33"/>
        <v>2777.31</v>
      </c>
      <c r="U50" s="587">
        <f t="shared" si="33"/>
        <v>1007.4400000000005</v>
      </c>
      <c r="V50" s="587">
        <f t="shared" si="33"/>
        <v>4592.6900000000005</v>
      </c>
      <c r="W50" s="789">
        <f t="shared" si="33"/>
        <v>14663.073076923076</v>
      </c>
      <c r="X50" s="445">
        <f>W50/'Sales 2020'!W16</f>
        <v>0.26658728716470681</v>
      </c>
      <c r="Y50" s="790">
        <f t="shared" si="32"/>
        <v>8240.9830769230757</v>
      </c>
      <c r="Z50" s="445"/>
      <c r="AD50" s="470">
        <v>43057</v>
      </c>
      <c r="AE50" s="45" t="s">
        <v>1865</v>
      </c>
      <c r="AF50" s="45" t="s">
        <v>1866</v>
      </c>
      <c r="AG50" s="48" t="s">
        <v>1867</v>
      </c>
      <c r="AH50" s="476">
        <v>135</v>
      </c>
      <c r="AI50" s="45" t="s">
        <v>1141</v>
      </c>
    </row>
    <row r="51" spans="9:35" ht="13.15" customHeight="1" thickTop="1" x14ac:dyDescent="0.35">
      <c r="AD51" s="470">
        <v>43066</v>
      </c>
      <c r="AE51" s="426" t="s">
        <v>1868</v>
      </c>
      <c r="AF51" s="426" t="s">
        <v>1869</v>
      </c>
      <c r="AG51" s="48" t="s">
        <v>1870</v>
      </c>
      <c r="AH51" s="476">
        <v>200</v>
      </c>
      <c r="AI51" s="48" t="s">
        <v>1871</v>
      </c>
    </row>
    <row r="52" spans="9:35" ht="15" customHeight="1" x14ac:dyDescent="0.4">
      <c r="I52" s="420" t="s">
        <v>140</v>
      </c>
      <c r="J52" s="557" t="s">
        <v>154</v>
      </c>
      <c r="K52" s="577" t="s">
        <v>142</v>
      </c>
      <c r="L52" s="577" t="s">
        <v>143</v>
      </c>
      <c r="M52" s="577" t="s">
        <v>144</v>
      </c>
      <c r="N52" s="577" t="s">
        <v>145</v>
      </c>
      <c r="O52" s="577" t="s">
        <v>146</v>
      </c>
      <c r="P52" s="577" t="s">
        <v>147</v>
      </c>
      <c r="Q52" s="577" t="s">
        <v>148</v>
      </c>
      <c r="R52" s="577" t="s">
        <v>149</v>
      </c>
      <c r="S52" s="577" t="s">
        <v>150</v>
      </c>
      <c r="T52" s="577" t="s">
        <v>151</v>
      </c>
      <c r="U52" s="577" t="s">
        <v>152</v>
      </c>
      <c r="V52" s="577" t="s">
        <v>153</v>
      </c>
      <c r="W52" s="577" t="s">
        <v>19</v>
      </c>
      <c r="AD52" s="470">
        <v>43066</v>
      </c>
      <c r="AE52" s="426" t="s">
        <v>1872</v>
      </c>
      <c r="AF52" s="426" t="s">
        <v>1873</v>
      </c>
      <c r="AG52" s="48" t="s">
        <v>1874</v>
      </c>
      <c r="AH52" s="476">
        <v>150</v>
      </c>
      <c r="AI52" s="45" t="s">
        <v>1875</v>
      </c>
    </row>
    <row r="53" spans="9:35" x14ac:dyDescent="0.35">
      <c r="I53" s="581" t="s">
        <v>28</v>
      </c>
      <c r="J53" s="431"/>
      <c r="K53" s="432">
        <f t="shared" ref="K53:K63" si="34">COUNTIFS($A$150:$A$635,"&gt;31/12/2020",$A$150:$A$635,"&lt;1/2/2021",$C$150:$C$635,I53)</f>
        <v>14</v>
      </c>
      <c r="L53" s="432">
        <f t="shared" ref="L53:L63" si="35">COUNTIFS($A$150:$A$635,"&gt;31/1/2021",$A$150:$A$635,"&lt;1/3/2021",$C$150:$C$635,$I53)</f>
        <v>30</v>
      </c>
      <c r="M53" s="432">
        <f t="shared" ref="M53:M63" si="36">COUNTIFS($A$150:$A$635,"&gt;28/2/2021",$A$150:$A$635,"&lt;1/4/2021",$C$150:$C$635,$I53)</f>
        <v>15</v>
      </c>
      <c r="N53" s="432">
        <f t="shared" ref="N53:N63" si="37">COUNTIFS($A$150:$A$635,"&gt;31/3/2021",$A$150:$A$635,"&lt;1/5/2021",$C$150:$C$635,$I53)</f>
        <v>5</v>
      </c>
      <c r="O53" s="432">
        <f t="shared" ref="O53:O63" si="38">COUNTIFS($A$150:$A$635,"&gt;30/4/2021",$A$150:$A$635,"&lt;1/6/2021",$C$150:$C$635,$I53)</f>
        <v>8</v>
      </c>
      <c r="P53" s="432">
        <f t="shared" ref="P53:P63" si="39">COUNTIFS($A$150:$A$635,"&gt;31/5/2021",$A$150:$A$635,"&lt;1/7/2021",$C$150:$C$635,$I53)</f>
        <v>0</v>
      </c>
      <c r="Q53" s="432">
        <f t="shared" ref="Q53:Q63" si="40">COUNTIFS($A$150:$A$635,"&gt;30/6/2021",$A$150:$A$635,"&lt;1/8/2021",$C$150:$C$635,$I53)</f>
        <v>3</v>
      </c>
      <c r="R53" s="432">
        <f t="shared" ref="R53:R63" si="41">COUNTIFS($A$150:$A$635,"&gt;31/7/2021",$A$150:$A$635,"&lt;1/9/2021",$C$150:$C$635,$I53)</f>
        <v>8</v>
      </c>
      <c r="S53" s="432">
        <f t="shared" ref="S53:S63" si="42">COUNTIFS($A$150:$A$635,"&gt;31/8/2021",$A$150:$A$635,"&lt;1/10/2021",$C$150:$C$635,$I53)</f>
        <v>5</v>
      </c>
      <c r="T53" s="432">
        <f t="shared" ref="T53:T63" si="43">COUNTIFS($A$150:$A$635,"&gt;30/9/2021",$A$150:$A$635,"&lt;1/11/2021",$C$150:$C$635,$I53)</f>
        <v>3</v>
      </c>
      <c r="U53" s="432">
        <f t="shared" ref="U53:U63" si="44">COUNTIFS($A$150:$A$635,"&gt;31/10/2021",$A$150:$A$635,"&lt;1/12/2021",$C$150:$C$635,$I53)</f>
        <v>0</v>
      </c>
      <c r="V53" s="432">
        <f t="shared" ref="V53:V63" si="45">COUNTIFS($A$150:$A$635,"&gt;30/11/2021",$A$150:$A$635,"&lt;1/1/2022",$C$150:$C$635,$I53)</f>
        <v>1</v>
      </c>
      <c r="W53" s="431">
        <f t="shared" ref="W53:W63" si="46">SUM(K53:V53)</f>
        <v>92</v>
      </c>
      <c r="AD53" s="470">
        <v>43066</v>
      </c>
      <c r="AE53" s="426" t="s">
        <v>1876</v>
      </c>
      <c r="AF53" s="45" t="s">
        <v>1877</v>
      </c>
      <c r="AG53" s="48" t="s">
        <v>1878</v>
      </c>
      <c r="AH53" s="476">
        <v>200</v>
      </c>
      <c r="AI53" s="474" t="s">
        <v>1775</v>
      </c>
    </row>
    <row r="54" spans="9:35" x14ac:dyDescent="0.35">
      <c r="I54" s="581" t="s">
        <v>1274</v>
      </c>
      <c r="J54" s="431"/>
      <c r="K54" s="432">
        <f t="shared" si="34"/>
        <v>5</v>
      </c>
      <c r="L54" s="432">
        <f t="shared" si="35"/>
        <v>4</v>
      </c>
      <c r="M54" s="432">
        <f t="shared" si="36"/>
        <v>32</v>
      </c>
      <c r="N54" s="432">
        <f t="shared" si="37"/>
        <v>18</v>
      </c>
      <c r="O54" s="432">
        <f t="shared" si="38"/>
        <v>7</v>
      </c>
      <c r="P54" s="432">
        <f t="shared" si="39"/>
        <v>9</v>
      </c>
      <c r="Q54" s="432">
        <f t="shared" si="40"/>
        <v>10</v>
      </c>
      <c r="R54" s="432">
        <f t="shared" si="41"/>
        <v>20</v>
      </c>
      <c r="S54" s="432">
        <f t="shared" si="42"/>
        <v>26</v>
      </c>
      <c r="T54" s="432">
        <f t="shared" si="43"/>
        <v>19</v>
      </c>
      <c r="U54" s="432">
        <f t="shared" si="44"/>
        <v>7</v>
      </c>
      <c r="V54" s="432">
        <f t="shared" si="45"/>
        <v>12</v>
      </c>
      <c r="W54" s="431">
        <f t="shared" si="46"/>
        <v>169</v>
      </c>
      <c r="AD54" s="470">
        <v>43068</v>
      </c>
      <c r="AE54" s="426" t="s">
        <v>1879</v>
      </c>
      <c r="AF54" s="426" t="s">
        <v>1880</v>
      </c>
      <c r="AG54" s="48" t="s">
        <v>1881</v>
      </c>
      <c r="AH54" s="476">
        <v>200</v>
      </c>
      <c r="AI54" s="45" t="s">
        <v>1775</v>
      </c>
    </row>
    <row r="55" spans="9:35" x14ac:dyDescent="0.35">
      <c r="I55" s="581" t="s">
        <v>1276</v>
      </c>
      <c r="J55" s="431"/>
      <c r="K55" s="432">
        <f t="shared" si="34"/>
        <v>1</v>
      </c>
      <c r="L55" s="432">
        <f t="shared" si="35"/>
        <v>0</v>
      </c>
      <c r="M55" s="432">
        <f t="shared" si="36"/>
        <v>2</v>
      </c>
      <c r="N55" s="432">
        <f t="shared" si="37"/>
        <v>0</v>
      </c>
      <c r="O55" s="432">
        <f t="shared" si="38"/>
        <v>1</v>
      </c>
      <c r="P55" s="432">
        <f t="shared" si="39"/>
        <v>1</v>
      </c>
      <c r="Q55" s="432">
        <f t="shared" si="40"/>
        <v>1</v>
      </c>
      <c r="R55" s="432">
        <f t="shared" si="41"/>
        <v>2</v>
      </c>
      <c r="S55" s="432">
        <f t="shared" si="42"/>
        <v>1</v>
      </c>
      <c r="T55" s="432">
        <f t="shared" si="43"/>
        <v>1</v>
      </c>
      <c r="U55" s="432">
        <f t="shared" si="44"/>
        <v>2</v>
      </c>
      <c r="V55" s="432">
        <f t="shared" si="45"/>
        <v>1</v>
      </c>
      <c r="W55" s="431">
        <f t="shared" si="46"/>
        <v>13</v>
      </c>
      <c r="AD55" s="470"/>
      <c r="AG55" s="48"/>
      <c r="AI55" s="45"/>
    </row>
    <row r="56" spans="9:35" x14ac:dyDescent="0.35">
      <c r="I56" s="581" t="s">
        <v>1277</v>
      </c>
      <c r="J56" s="431"/>
      <c r="K56" s="432">
        <f t="shared" si="34"/>
        <v>0</v>
      </c>
      <c r="L56" s="432">
        <f t="shared" si="35"/>
        <v>0</v>
      </c>
      <c r="M56" s="432">
        <f t="shared" si="36"/>
        <v>7</v>
      </c>
      <c r="N56" s="432">
        <f t="shared" si="37"/>
        <v>2</v>
      </c>
      <c r="O56" s="432">
        <f t="shared" si="38"/>
        <v>4</v>
      </c>
      <c r="P56" s="432">
        <f t="shared" si="39"/>
        <v>0</v>
      </c>
      <c r="Q56" s="432">
        <f t="shared" si="40"/>
        <v>3</v>
      </c>
      <c r="R56" s="432">
        <f t="shared" si="41"/>
        <v>5</v>
      </c>
      <c r="S56" s="432">
        <f t="shared" si="42"/>
        <v>2</v>
      </c>
      <c r="T56" s="432">
        <f t="shared" si="43"/>
        <v>1</v>
      </c>
      <c r="U56" s="432">
        <f t="shared" si="44"/>
        <v>1</v>
      </c>
      <c r="V56" s="432">
        <f t="shared" si="45"/>
        <v>0</v>
      </c>
      <c r="W56" s="431">
        <f t="shared" si="46"/>
        <v>25</v>
      </c>
      <c r="AD56" s="548">
        <v>43069</v>
      </c>
      <c r="AE56" s="426" t="s">
        <v>1882</v>
      </c>
      <c r="AF56" s="426" t="s">
        <v>1883</v>
      </c>
      <c r="AG56" s="48" t="s">
        <v>1884</v>
      </c>
      <c r="AH56" s="476">
        <v>200</v>
      </c>
      <c r="AI56" s="45" t="s">
        <v>1775</v>
      </c>
    </row>
    <row r="57" spans="9:35" x14ac:dyDescent="0.35">
      <c r="I57" s="581" t="s">
        <v>1278</v>
      </c>
      <c r="J57" s="431"/>
      <c r="K57" s="432">
        <f t="shared" si="34"/>
        <v>1</v>
      </c>
      <c r="L57" s="432">
        <f t="shared" si="35"/>
        <v>1</v>
      </c>
      <c r="M57" s="432">
        <f t="shared" si="36"/>
        <v>2</v>
      </c>
      <c r="N57" s="432">
        <f t="shared" si="37"/>
        <v>1</v>
      </c>
      <c r="O57" s="432">
        <f t="shared" si="38"/>
        <v>2</v>
      </c>
      <c r="P57" s="432">
        <f t="shared" si="39"/>
        <v>2</v>
      </c>
      <c r="Q57" s="432">
        <f t="shared" si="40"/>
        <v>2</v>
      </c>
      <c r="R57" s="432">
        <f t="shared" si="41"/>
        <v>2</v>
      </c>
      <c r="S57" s="432">
        <f t="shared" si="42"/>
        <v>1</v>
      </c>
      <c r="T57" s="432">
        <f t="shared" si="43"/>
        <v>2</v>
      </c>
      <c r="U57" s="432">
        <f t="shared" si="44"/>
        <v>4</v>
      </c>
      <c r="V57" s="432">
        <f t="shared" si="45"/>
        <v>2</v>
      </c>
      <c r="W57" s="431">
        <f t="shared" si="46"/>
        <v>22</v>
      </c>
      <c r="AD57" s="470">
        <v>43081</v>
      </c>
      <c r="AE57" s="426" t="s">
        <v>676</v>
      </c>
      <c r="AF57" s="45" t="s">
        <v>1885</v>
      </c>
      <c r="AG57" s="48" t="s">
        <v>1886</v>
      </c>
      <c r="AH57" s="476">
        <v>200</v>
      </c>
      <c r="AI57" s="49" t="s">
        <v>1267</v>
      </c>
    </row>
    <row r="58" spans="9:35" x14ac:dyDescent="0.35">
      <c r="I58" s="582" t="s">
        <v>1279</v>
      </c>
      <c r="J58" s="431"/>
      <c r="K58" s="432">
        <f t="shared" si="34"/>
        <v>5</v>
      </c>
      <c r="L58" s="432">
        <f t="shared" si="35"/>
        <v>6</v>
      </c>
      <c r="M58" s="432">
        <f t="shared" si="36"/>
        <v>7</v>
      </c>
      <c r="N58" s="432">
        <f t="shared" si="37"/>
        <v>3</v>
      </c>
      <c r="O58" s="432">
        <f t="shared" si="38"/>
        <v>8</v>
      </c>
      <c r="P58" s="432">
        <f t="shared" si="39"/>
        <v>9</v>
      </c>
      <c r="Q58" s="432">
        <f t="shared" si="40"/>
        <v>11</v>
      </c>
      <c r="R58" s="432">
        <f t="shared" si="41"/>
        <v>10</v>
      </c>
      <c r="S58" s="432">
        <f t="shared" si="42"/>
        <v>4</v>
      </c>
      <c r="T58" s="432">
        <f t="shared" si="43"/>
        <v>3</v>
      </c>
      <c r="U58" s="432">
        <f t="shared" si="44"/>
        <v>4</v>
      </c>
      <c r="V58" s="432">
        <f t="shared" si="45"/>
        <v>16</v>
      </c>
      <c r="W58" s="431">
        <f t="shared" si="46"/>
        <v>86</v>
      </c>
      <c r="AD58" s="470">
        <v>43090</v>
      </c>
      <c r="AE58" s="45" t="s">
        <v>1887</v>
      </c>
      <c r="AF58" s="45" t="s">
        <v>1888</v>
      </c>
      <c r="AG58" s="48" t="s">
        <v>1889</v>
      </c>
      <c r="AH58" s="476">
        <v>50</v>
      </c>
      <c r="AI58" s="49" t="s">
        <v>1141</v>
      </c>
    </row>
    <row r="59" spans="9:35" x14ac:dyDescent="0.35">
      <c r="I59" s="582" t="s">
        <v>1280</v>
      </c>
      <c r="J59" s="431"/>
      <c r="K59" s="432">
        <f t="shared" si="34"/>
        <v>1</v>
      </c>
      <c r="L59" s="432">
        <f t="shared" si="35"/>
        <v>1</v>
      </c>
      <c r="M59" s="432">
        <f t="shared" si="36"/>
        <v>1</v>
      </c>
      <c r="N59" s="432">
        <f t="shared" si="37"/>
        <v>1</v>
      </c>
      <c r="O59" s="432">
        <f t="shared" si="38"/>
        <v>0</v>
      </c>
      <c r="P59" s="432">
        <f t="shared" si="39"/>
        <v>1</v>
      </c>
      <c r="Q59" s="432">
        <f t="shared" si="40"/>
        <v>0</v>
      </c>
      <c r="R59" s="432">
        <f t="shared" si="41"/>
        <v>0</v>
      </c>
      <c r="S59" s="432">
        <f t="shared" si="42"/>
        <v>1</v>
      </c>
      <c r="T59" s="432">
        <f t="shared" si="43"/>
        <v>1</v>
      </c>
      <c r="U59" s="432">
        <f t="shared" si="44"/>
        <v>1</v>
      </c>
      <c r="V59" s="432">
        <f t="shared" si="45"/>
        <v>6</v>
      </c>
      <c r="W59" s="431">
        <f t="shared" si="46"/>
        <v>14</v>
      </c>
      <c r="AD59" s="470"/>
      <c r="AE59" s="45"/>
      <c r="AF59" s="45"/>
      <c r="AG59" s="48"/>
      <c r="AH59" s="476"/>
      <c r="AI59" s="49"/>
    </row>
    <row r="60" spans="9:35" x14ac:dyDescent="0.35">
      <c r="I60" s="582" t="s">
        <v>1281</v>
      </c>
      <c r="J60" s="431"/>
      <c r="K60" s="432">
        <f t="shared" si="34"/>
        <v>0</v>
      </c>
      <c r="L60" s="432">
        <f t="shared" si="35"/>
        <v>1</v>
      </c>
      <c r="M60" s="432">
        <f t="shared" si="36"/>
        <v>0</v>
      </c>
      <c r="N60" s="432">
        <f t="shared" si="37"/>
        <v>0</v>
      </c>
      <c r="O60" s="432">
        <f t="shared" si="38"/>
        <v>0</v>
      </c>
      <c r="P60" s="432">
        <f t="shared" si="39"/>
        <v>3</v>
      </c>
      <c r="Q60" s="432">
        <f t="shared" si="40"/>
        <v>2</v>
      </c>
      <c r="R60" s="432">
        <f t="shared" si="41"/>
        <v>3</v>
      </c>
      <c r="S60" s="432">
        <f t="shared" si="42"/>
        <v>1</v>
      </c>
      <c r="T60" s="432">
        <f t="shared" si="43"/>
        <v>1</v>
      </c>
      <c r="U60" s="432">
        <f t="shared" si="44"/>
        <v>0</v>
      </c>
      <c r="V60" s="432">
        <f t="shared" si="45"/>
        <v>2</v>
      </c>
      <c r="W60" s="431">
        <f t="shared" si="46"/>
        <v>13</v>
      </c>
      <c r="AD60" s="470"/>
      <c r="AE60" s="45"/>
      <c r="AF60" s="45"/>
      <c r="AG60" s="48"/>
      <c r="AH60" s="476"/>
      <c r="AI60" s="49"/>
    </row>
    <row r="61" spans="9:35" x14ac:dyDescent="0.35">
      <c r="I61" s="582" t="s">
        <v>1282</v>
      </c>
      <c r="J61" s="431"/>
      <c r="K61" s="432">
        <f t="shared" si="34"/>
        <v>0</v>
      </c>
      <c r="L61" s="432">
        <f t="shared" si="35"/>
        <v>3</v>
      </c>
      <c r="M61" s="432">
        <f t="shared" si="36"/>
        <v>1</v>
      </c>
      <c r="N61" s="432">
        <f t="shared" si="37"/>
        <v>0</v>
      </c>
      <c r="O61" s="432">
        <f t="shared" si="38"/>
        <v>3</v>
      </c>
      <c r="P61" s="432">
        <f t="shared" si="39"/>
        <v>2</v>
      </c>
      <c r="Q61" s="432">
        <f t="shared" si="40"/>
        <v>2</v>
      </c>
      <c r="R61" s="432">
        <f t="shared" si="41"/>
        <v>1</v>
      </c>
      <c r="S61" s="432">
        <f t="shared" si="42"/>
        <v>2</v>
      </c>
      <c r="T61" s="432">
        <f t="shared" si="43"/>
        <v>0</v>
      </c>
      <c r="U61" s="432">
        <f t="shared" si="44"/>
        <v>1</v>
      </c>
      <c r="V61" s="432">
        <f t="shared" si="45"/>
        <v>4</v>
      </c>
      <c r="W61" s="431">
        <f t="shared" si="46"/>
        <v>19</v>
      </c>
      <c r="AD61" s="470"/>
      <c r="AE61" s="45"/>
      <c r="AF61" s="45"/>
      <c r="AG61" s="48"/>
      <c r="AH61" s="476"/>
      <c r="AI61" s="49"/>
    </row>
    <row r="62" spans="9:35" x14ac:dyDescent="0.35">
      <c r="I62" s="582" t="s">
        <v>1283</v>
      </c>
      <c r="J62" s="431"/>
      <c r="K62" s="432">
        <f t="shared" si="34"/>
        <v>0</v>
      </c>
      <c r="L62" s="432">
        <f t="shared" si="35"/>
        <v>0</v>
      </c>
      <c r="M62" s="432">
        <f t="shared" si="36"/>
        <v>0</v>
      </c>
      <c r="N62" s="432">
        <f t="shared" si="37"/>
        <v>0</v>
      </c>
      <c r="O62" s="432">
        <f t="shared" si="38"/>
        <v>2</v>
      </c>
      <c r="P62" s="432">
        <f t="shared" si="39"/>
        <v>0</v>
      </c>
      <c r="Q62" s="432">
        <f t="shared" si="40"/>
        <v>0</v>
      </c>
      <c r="R62" s="432">
        <f t="shared" si="41"/>
        <v>0</v>
      </c>
      <c r="S62" s="432">
        <f t="shared" si="42"/>
        <v>1</v>
      </c>
      <c r="T62" s="432">
        <f t="shared" si="43"/>
        <v>1</v>
      </c>
      <c r="U62" s="432">
        <f t="shared" si="44"/>
        <v>2</v>
      </c>
      <c r="V62" s="432">
        <f t="shared" si="45"/>
        <v>0</v>
      </c>
      <c r="W62" s="431">
        <f t="shared" si="46"/>
        <v>6</v>
      </c>
      <c r="AD62" s="470"/>
      <c r="AE62" s="45"/>
      <c r="AF62" s="45"/>
      <c r="AG62" s="48"/>
      <c r="AH62" s="476"/>
      <c r="AI62" s="49"/>
    </row>
    <row r="63" spans="9:35" x14ac:dyDescent="0.35">
      <c r="I63" s="582" t="s">
        <v>1284</v>
      </c>
      <c r="J63" s="431"/>
      <c r="K63" s="432">
        <f t="shared" si="34"/>
        <v>0</v>
      </c>
      <c r="L63" s="432">
        <f t="shared" si="35"/>
        <v>0</v>
      </c>
      <c r="M63" s="432">
        <f t="shared" si="36"/>
        <v>0</v>
      </c>
      <c r="N63" s="432">
        <f t="shared" si="37"/>
        <v>0</v>
      </c>
      <c r="O63" s="432">
        <f t="shared" si="38"/>
        <v>2</v>
      </c>
      <c r="P63" s="432">
        <f t="shared" si="39"/>
        <v>2</v>
      </c>
      <c r="Q63" s="432">
        <f t="shared" si="40"/>
        <v>3</v>
      </c>
      <c r="R63" s="432">
        <f t="shared" si="41"/>
        <v>0</v>
      </c>
      <c r="S63" s="432">
        <f t="shared" si="42"/>
        <v>0</v>
      </c>
      <c r="T63" s="432">
        <f t="shared" si="43"/>
        <v>2</v>
      </c>
      <c r="U63" s="432">
        <f t="shared" si="44"/>
        <v>1</v>
      </c>
      <c r="V63" s="432">
        <f t="shared" si="45"/>
        <v>1</v>
      </c>
      <c r="W63" s="431">
        <f t="shared" si="46"/>
        <v>11</v>
      </c>
      <c r="AD63" s="470">
        <v>43091</v>
      </c>
      <c r="AE63" s="45" t="s">
        <v>1681</v>
      </c>
      <c r="AF63" s="45" t="s">
        <v>1890</v>
      </c>
      <c r="AG63" s="48" t="s">
        <v>1891</v>
      </c>
      <c r="AH63" s="476">
        <v>200</v>
      </c>
      <c r="AI63" s="49" t="s">
        <v>496</v>
      </c>
    </row>
    <row r="64" spans="9:35" ht="13.5" customHeight="1" thickBot="1" x14ac:dyDescent="0.45">
      <c r="I64" s="824" t="s">
        <v>63</v>
      </c>
      <c r="J64" s="825"/>
      <c r="K64" s="826">
        <f t="shared" ref="K64:W64" si="47">SUM(K53:K63)</f>
        <v>27</v>
      </c>
      <c r="L64" s="826">
        <f t="shared" si="47"/>
        <v>46</v>
      </c>
      <c r="M64" s="826">
        <f t="shared" si="47"/>
        <v>67</v>
      </c>
      <c r="N64" s="826">
        <f t="shared" si="47"/>
        <v>30</v>
      </c>
      <c r="O64" s="826">
        <f t="shared" si="47"/>
        <v>37</v>
      </c>
      <c r="P64" s="826">
        <f t="shared" si="47"/>
        <v>29</v>
      </c>
      <c r="Q64" s="826">
        <f t="shared" si="47"/>
        <v>37</v>
      </c>
      <c r="R64" s="826">
        <f t="shared" si="47"/>
        <v>51</v>
      </c>
      <c r="S64" s="826">
        <f t="shared" si="47"/>
        <v>44</v>
      </c>
      <c r="T64" s="826">
        <f t="shared" si="47"/>
        <v>34</v>
      </c>
      <c r="U64" s="826">
        <f t="shared" si="47"/>
        <v>23</v>
      </c>
      <c r="V64" s="826">
        <f t="shared" si="47"/>
        <v>45</v>
      </c>
      <c r="W64" s="825">
        <f t="shared" si="47"/>
        <v>470</v>
      </c>
      <c r="AD64" s="470">
        <v>43109</v>
      </c>
      <c r="AE64" s="426" t="s">
        <v>1892</v>
      </c>
      <c r="AF64" s="45" t="s">
        <v>1893</v>
      </c>
      <c r="AG64" s="48" t="s">
        <v>1894</v>
      </c>
      <c r="AH64" s="476">
        <v>200</v>
      </c>
      <c r="AI64" s="49" t="s">
        <v>1775</v>
      </c>
    </row>
    <row r="65" spans="9:35" ht="13.15" customHeight="1" thickTop="1" x14ac:dyDescent="0.35">
      <c r="AD65" s="470">
        <v>43116</v>
      </c>
      <c r="AE65" s="426" t="s">
        <v>1895</v>
      </c>
      <c r="AF65" s="45" t="s">
        <v>1896</v>
      </c>
      <c r="AG65" s="48" t="s">
        <v>1897</v>
      </c>
      <c r="AH65" s="476">
        <v>200</v>
      </c>
      <c r="AI65" s="49" t="s">
        <v>1775</v>
      </c>
    </row>
    <row r="66" spans="9:35" ht="13.15" customHeight="1" x14ac:dyDescent="0.4">
      <c r="I66" s="420" t="s">
        <v>140</v>
      </c>
      <c r="J66" s="557" t="s">
        <v>155</v>
      </c>
      <c r="K66" s="577" t="s">
        <v>142</v>
      </c>
      <c r="L66" s="577" t="s">
        <v>143</v>
      </c>
      <c r="M66" s="577" t="s">
        <v>144</v>
      </c>
      <c r="N66" s="577" t="s">
        <v>145</v>
      </c>
      <c r="O66" s="577" t="s">
        <v>146</v>
      </c>
      <c r="P66" s="577" t="s">
        <v>147</v>
      </c>
      <c r="Q66" s="577" t="s">
        <v>148</v>
      </c>
      <c r="R66" s="577" t="s">
        <v>149</v>
      </c>
      <c r="S66" s="577" t="s">
        <v>150</v>
      </c>
      <c r="T66" s="577" t="s">
        <v>151</v>
      </c>
      <c r="U66" s="577" t="s">
        <v>152</v>
      </c>
      <c r="V66" s="577" t="s">
        <v>153</v>
      </c>
      <c r="W66" s="577" t="s">
        <v>19</v>
      </c>
      <c r="AD66" s="470">
        <v>43129</v>
      </c>
      <c r="AE66" s="45" t="s">
        <v>1898</v>
      </c>
      <c r="AF66" s="45" t="s">
        <v>1899</v>
      </c>
      <c r="AG66" s="48" t="s">
        <v>1900</v>
      </c>
      <c r="AH66" s="257">
        <v>-159</v>
      </c>
      <c r="AI66" s="474"/>
    </row>
    <row r="67" spans="9:35" x14ac:dyDescent="0.35">
      <c r="I67" s="581" t="s">
        <v>28</v>
      </c>
      <c r="J67" s="431"/>
      <c r="K67" s="432">
        <f t="shared" ref="K67:W67" si="48">IFERROR(K6/K53,0)</f>
        <v>19.357142857142858</v>
      </c>
      <c r="L67" s="432">
        <f t="shared" si="48"/>
        <v>52.333333333333336</v>
      </c>
      <c r="M67" s="432">
        <f t="shared" si="48"/>
        <v>69.666666666666671</v>
      </c>
      <c r="N67" s="432">
        <f t="shared" si="48"/>
        <v>66</v>
      </c>
      <c r="O67" s="432">
        <f t="shared" si="48"/>
        <v>159.6875</v>
      </c>
      <c r="P67" s="432">
        <f t="shared" si="48"/>
        <v>0</v>
      </c>
      <c r="Q67" s="432">
        <f t="shared" si="48"/>
        <v>83.333333333333329</v>
      </c>
      <c r="R67" s="432">
        <f t="shared" si="48"/>
        <v>70.625</v>
      </c>
      <c r="S67" s="432">
        <f t="shared" si="48"/>
        <v>134</v>
      </c>
      <c r="T67" s="432">
        <f t="shared" si="48"/>
        <v>103.33333333333333</v>
      </c>
      <c r="U67" s="432">
        <f t="shared" si="48"/>
        <v>0</v>
      </c>
      <c r="V67" s="432">
        <f t="shared" si="48"/>
        <v>250</v>
      </c>
      <c r="W67" s="431">
        <f t="shared" si="48"/>
        <v>71.070652173913047</v>
      </c>
      <c r="AD67" s="470">
        <v>43140</v>
      </c>
      <c r="AE67" s="45" t="s">
        <v>1901</v>
      </c>
      <c r="AF67" s="426" t="s">
        <v>1902</v>
      </c>
      <c r="AG67" s="48" t="s">
        <v>1903</v>
      </c>
      <c r="AH67" s="476">
        <v>200</v>
      </c>
      <c r="AI67" s="45" t="s">
        <v>1267</v>
      </c>
    </row>
    <row r="68" spans="9:35" x14ac:dyDescent="0.35">
      <c r="I68" s="581" t="s">
        <v>1274</v>
      </c>
      <c r="J68" s="431"/>
      <c r="K68" s="432">
        <f t="shared" ref="K68:W68" si="49">IFERROR(K7/K54,0)</f>
        <v>71.400000000000006</v>
      </c>
      <c r="L68" s="432">
        <f t="shared" si="49"/>
        <v>99.5</v>
      </c>
      <c r="M68" s="432">
        <f t="shared" si="49"/>
        <v>182.140625</v>
      </c>
      <c r="N68" s="432">
        <f t="shared" si="49"/>
        <v>103.44444444444444</v>
      </c>
      <c r="O68" s="432">
        <f t="shared" si="49"/>
        <v>125.7</v>
      </c>
      <c r="P68" s="432">
        <f t="shared" si="49"/>
        <v>173.66666666666666</v>
      </c>
      <c r="Q68" s="432">
        <f t="shared" si="49"/>
        <v>320</v>
      </c>
      <c r="R68" s="432">
        <f t="shared" si="49"/>
        <v>256.75</v>
      </c>
      <c r="S68" s="432">
        <f t="shared" si="49"/>
        <v>142.46153846153845</v>
      </c>
      <c r="T68" s="432">
        <f t="shared" si="49"/>
        <v>235.10526315789474</v>
      </c>
      <c r="U68" s="432">
        <f t="shared" si="49"/>
        <v>252.71428571428572</v>
      </c>
      <c r="V68" s="432">
        <f t="shared" si="49"/>
        <v>205.25</v>
      </c>
      <c r="W68" s="431">
        <f t="shared" si="49"/>
        <v>187.13846153846154</v>
      </c>
      <c r="AD68" s="470">
        <v>43144</v>
      </c>
      <c r="AE68" s="426" t="s">
        <v>1904</v>
      </c>
      <c r="AF68" s="426" t="s">
        <v>1905</v>
      </c>
      <c r="AG68" s="48" t="s">
        <v>1906</v>
      </c>
      <c r="AH68" s="476">
        <v>200</v>
      </c>
      <c r="AI68" s="45" t="s">
        <v>1267</v>
      </c>
    </row>
    <row r="69" spans="9:35" x14ac:dyDescent="0.35">
      <c r="I69" s="581" t="s">
        <v>1276</v>
      </c>
      <c r="J69" s="431"/>
      <c r="K69" s="432">
        <f t="shared" ref="K69:W69" si="50">IFERROR(K8/K55,0)</f>
        <v>70</v>
      </c>
      <c r="L69" s="432">
        <f t="shared" si="50"/>
        <v>0</v>
      </c>
      <c r="M69" s="432">
        <f t="shared" si="50"/>
        <v>187.5</v>
      </c>
      <c r="N69" s="432">
        <f t="shared" si="50"/>
        <v>0</v>
      </c>
      <c r="O69" s="432">
        <f t="shared" si="50"/>
        <v>75</v>
      </c>
      <c r="P69" s="432">
        <f t="shared" si="50"/>
        <v>450</v>
      </c>
      <c r="Q69" s="432">
        <f t="shared" si="50"/>
        <v>75</v>
      </c>
      <c r="R69" s="432">
        <f t="shared" si="50"/>
        <v>87.5</v>
      </c>
      <c r="S69" s="432">
        <f t="shared" si="50"/>
        <v>550</v>
      </c>
      <c r="T69" s="432">
        <f t="shared" si="50"/>
        <v>175</v>
      </c>
      <c r="U69" s="432">
        <f t="shared" si="50"/>
        <v>146.5</v>
      </c>
      <c r="V69" s="432">
        <f t="shared" si="50"/>
        <v>625</v>
      </c>
      <c r="W69" s="431">
        <f t="shared" si="50"/>
        <v>220.23076923076923</v>
      </c>
      <c r="AD69" s="470">
        <v>43144</v>
      </c>
      <c r="AE69" s="426" t="s">
        <v>1907</v>
      </c>
      <c r="AF69" s="45" t="s">
        <v>1908</v>
      </c>
      <c r="AG69" s="48" t="s">
        <v>1909</v>
      </c>
      <c r="AH69" s="476">
        <v>200</v>
      </c>
      <c r="AI69" s="45" t="s">
        <v>1267</v>
      </c>
    </row>
    <row r="70" spans="9:35" x14ac:dyDescent="0.35">
      <c r="I70" s="581" t="s">
        <v>1277</v>
      </c>
      <c r="J70" s="431"/>
      <c r="K70" s="432">
        <f t="shared" ref="K70:W70" si="51">IFERROR(K9/K56,0)</f>
        <v>0</v>
      </c>
      <c r="L70" s="432">
        <f t="shared" si="51"/>
        <v>0</v>
      </c>
      <c r="M70" s="432">
        <f t="shared" si="51"/>
        <v>-317.78571428571428</v>
      </c>
      <c r="N70" s="432">
        <f t="shared" si="51"/>
        <v>-12</v>
      </c>
      <c r="O70" s="432">
        <f t="shared" si="51"/>
        <v>-166.25</v>
      </c>
      <c r="P70" s="432">
        <f t="shared" si="51"/>
        <v>0</v>
      </c>
      <c r="Q70" s="432">
        <f t="shared" si="51"/>
        <v>-145</v>
      </c>
      <c r="R70" s="432">
        <f t="shared" si="51"/>
        <v>-174</v>
      </c>
      <c r="S70" s="432">
        <f t="shared" si="51"/>
        <v>-462</v>
      </c>
      <c r="T70" s="432">
        <f t="shared" si="51"/>
        <v>-135</v>
      </c>
      <c r="U70" s="432">
        <f t="shared" si="51"/>
        <v>-225</v>
      </c>
      <c r="V70" s="432">
        <f t="shared" si="51"/>
        <v>0</v>
      </c>
      <c r="W70" s="431">
        <f t="shared" si="51"/>
        <v>-220.1</v>
      </c>
      <c r="AD70" s="470">
        <v>43145</v>
      </c>
      <c r="AE70" s="426" t="s">
        <v>1910</v>
      </c>
      <c r="AF70" s="45" t="s">
        <v>1911</v>
      </c>
      <c r="AG70" s="48" t="s">
        <v>1912</v>
      </c>
      <c r="AH70" s="476">
        <v>200</v>
      </c>
      <c r="AI70" s="45" t="s">
        <v>1775</v>
      </c>
    </row>
    <row r="71" spans="9:35" x14ac:dyDescent="0.35">
      <c r="I71" s="581" t="s">
        <v>1278</v>
      </c>
      <c r="J71" s="431"/>
      <c r="K71" s="432">
        <f t="shared" ref="K71:W71" si="52">IFERROR(K10/K57,0)</f>
        <v>80</v>
      </c>
      <c r="L71" s="432">
        <f t="shared" si="52"/>
        <v>80</v>
      </c>
      <c r="M71" s="432">
        <f t="shared" si="52"/>
        <v>70</v>
      </c>
      <c r="N71" s="432">
        <f t="shared" si="52"/>
        <v>80</v>
      </c>
      <c r="O71" s="432">
        <f t="shared" si="52"/>
        <v>50</v>
      </c>
      <c r="P71" s="432">
        <f t="shared" si="52"/>
        <v>60</v>
      </c>
      <c r="Q71" s="432">
        <f t="shared" si="52"/>
        <v>70</v>
      </c>
      <c r="R71" s="432">
        <f t="shared" si="52"/>
        <v>330</v>
      </c>
      <c r="S71" s="432">
        <f t="shared" si="52"/>
        <v>60</v>
      </c>
      <c r="T71" s="432">
        <f t="shared" si="52"/>
        <v>120</v>
      </c>
      <c r="U71" s="432">
        <f t="shared" si="52"/>
        <v>25</v>
      </c>
      <c r="V71" s="432">
        <f t="shared" si="52"/>
        <v>60</v>
      </c>
      <c r="W71" s="431">
        <f t="shared" si="52"/>
        <v>87.272727272727266</v>
      </c>
      <c r="AD71" s="470">
        <v>43151</v>
      </c>
      <c r="AE71" s="45" t="s">
        <v>1913</v>
      </c>
      <c r="AF71" s="426" t="s">
        <v>1914</v>
      </c>
      <c r="AG71" s="48" t="s">
        <v>1915</v>
      </c>
      <c r="AH71" s="476">
        <v>200</v>
      </c>
      <c r="AI71" s="45" t="s">
        <v>1267</v>
      </c>
    </row>
    <row r="72" spans="9:35" x14ac:dyDescent="0.35">
      <c r="I72" s="582" t="s">
        <v>1279</v>
      </c>
      <c r="J72" s="431"/>
      <c r="K72" s="432">
        <f t="shared" ref="K72:W72" si="53">IFERROR(K11/K58,0)</f>
        <v>151</v>
      </c>
      <c r="L72" s="432">
        <f t="shared" si="53"/>
        <v>167.91666666666666</v>
      </c>
      <c r="M72" s="432">
        <f t="shared" si="53"/>
        <v>1838</v>
      </c>
      <c r="N72" s="432">
        <f t="shared" si="53"/>
        <v>503.33333333333331</v>
      </c>
      <c r="O72" s="432">
        <f t="shared" si="53"/>
        <v>168.0625</v>
      </c>
      <c r="P72" s="432">
        <f t="shared" si="53"/>
        <v>212.36111111111111</v>
      </c>
      <c r="Q72" s="432">
        <f t="shared" si="53"/>
        <v>60.454545454545453</v>
      </c>
      <c r="R72" s="432">
        <f t="shared" si="53"/>
        <v>200</v>
      </c>
      <c r="S72" s="432">
        <f t="shared" si="53"/>
        <v>147.5</v>
      </c>
      <c r="T72" s="432">
        <f t="shared" si="53"/>
        <v>136.66666666666666</v>
      </c>
      <c r="U72" s="432">
        <f t="shared" si="53"/>
        <v>140.75</v>
      </c>
      <c r="V72" s="432">
        <f t="shared" si="53"/>
        <v>157.5</v>
      </c>
      <c r="W72" s="431">
        <f t="shared" si="53"/>
        <v>303.97965116279067</v>
      </c>
      <c r="AD72" s="470">
        <v>43152</v>
      </c>
      <c r="AE72" s="45" t="s">
        <v>1854</v>
      </c>
      <c r="AF72" s="426" t="s">
        <v>1916</v>
      </c>
      <c r="AG72" s="48" t="s">
        <v>1917</v>
      </c>
      <c r="AH72" s="476">
        <v>200</v>
      </c>
      <c r="AI72" s="45" t="s">
        <v>1267</v>
      </c>
    </row>
    <row r="73" spans="9:35" x14ac:dyDescent="0.35">
      <c r="I73" s="582" t="s">
        <v>1280</v>
      </c>
      <c r="J73" s="431"/>
      <c r="K73" s="432">
        <f t="shared" ref="K73:W73" si="54">IFERROR(K12/K59,0)</f>
        <v>100</v>
      </c>
      <c r="L73" s="432">
        <f t="shared" si="54"/>
        <v>50</v>
      </c>
      <c r="M73" s="432">
        <f t="shared" si="54"/>
        <v>50</v>
      </c>
      <c r="N73" s="432">
        <f t="shared" si="54"/>
        <v>25</v>
      </c>
      <c r="O73" s="432">
        <f t="shared" si="54"/>
        <v>0</v>
      </c>
      <c r="P73" s="432">
        <f t="shared" si="54"/>
        <v>50</v>
      </c>
      <c r="Q73" s="432">
        <f t="shared" si="54"/>
        <v>0</v>
      </c>
      <c r="R73" s="432">
        <f t="shared" si="54"/>
        <v>0</v>
      </c>
      <c r="S73" s="432">
        <f t="shared" si="54"/>
        <v>75</v>
      </c>
      <c r="T73" s="432">
        <f t="shared" si="54"/>
        <v>50</v>
      </c>
      <c r="U73" s="432">
        <f t="shared" si="54"/>
        <v>30</v>
      </c>
      <c r="V73" s="432">
        <f t="shared" si="54"/>
        <v>159.16666666666666</v>
      </c>
      <c r="W73" s="431">
        <f t="shared" si="54"/>
        <v>98.928571428571431</v>
      </c>
      <c r="AD73" s="470"/>
      <c r="AE73" s="45"/>
      <c r="AG73" s="48"/>
      <c r="AH73" s="476"/>
      <c r="AI73" s="45"/>
    </row>
    <row r="74" spans="9:35" x14ac:dyDescent="0.35">
      <c r="I74" s="582" t="s">
        <v>1281</v>
      </c>
      <c r="J74" s="431"/>
      <c r="K74" s="432">
        <f t="shared" ref="K74:W74" si="55">IFERROR(K13/K60,0)</f>
        <v>0</v>
      </c>
      <c r="L74" s="432">
        <f t="shared" si="55"/>
        <v>-150</v>
      </c>
      <c r="M74" s="432">
        <f t="shared" si="55"/>
        <v>0</v>
      </c>
      <c r="N74" s="432">
        <f t="shared" si="55"/>
        <v>0</v>
      </c>
      <c r="O74" s="432">
        <f t="shared" si="55"/>
        <v>0</v>
      </c>
      <c r="P74" s="432">
        <f t="shared" si="55"/>
        <v>-160</v>
      </c>
      <c r="Q74" s="432">
        <f t="shared" si="55"/>
        <v>-150</v>
      </c>
      <c r="R74" s="432">
        <f t="shared" si="55"/>
        <v>-120</v>
      </c>
      <c r="S74" s="432">
        <f t="shared" si="55"/>
        <v>-95</v>
      </c>
      <c r="T74" s="432">
        <f t="shared" si="55"/>
        <v>-500</v>
      </c>
      <c r="U74" s="432">
        <f t="shared" si="55"/>
        <v>0</v>
      </c>
      <c r="V74" s="432">
        <f t="shared" si="55"/>
        <v>-200</v>
      </c>
      <c r="W74" s="431">
        <f t="shared" si="55"/>
        <v>-175.76923076923077</v>
      </c>
      <c r="AD74" s="470"/>
      <c r="AE74" s="45"/>
      <c r="AG74" s="48"/>
      <c r="AH74" s="476"/>
      <c r="AI74" s="45"/>
    </row>
    <row r="75" spans="9:35" x14ac:dyDescent="0.35">
      <c r="I75" s="582" t="s">
        <v>1282</v>
      </c>
      <c r="J75" s="431"/>
      <c r="K75" s="432">
        <f t="shared" ref="K75:W75" si="56">IFERROR(K14/K61,0)</f>
        <v>0</v>
      </c>
      <c r="L75" s="432">
        <f t="shared" si="56"/>
        <v>258.23</v>
      </c>
      <c r="M75" s="432">
        <f t="shared" si="56"/>
        <v>128.68</v>
      </c>
      <c r="N75" s="432">
        <f t="shared" si="56"/>
        <v>0</v>
      </c>
      <c r="O75" s="432">
        <f t="shared" si="56"/>
        <v>129.96</v>
      </c>
      <c r="P75" s="432">
        <f t="shared" si="56"/>
        <v>606.92499999999995</v>
      </c>
      <c r="Q75" s="432">
        <f t="shared" si="56"/>
        <v>65.674999999999997</v>
      </c>
      <c r="R75" s="432">
        <f t="shared" si="56"/>
        <v>86.76</v>
      </c>
      <c r="S75" s="432">
        <f t="shared" si="56"/>
        <v>112.61499999999999</v>
      </c>
      <c r="T75" s="432">
        <f t="shared" si="56"/>
        <v>0</v>
      </c>
      <c r="U75" s="432">
        <f t="shared" si="56"/>
        <v>494.04</v>
      </c>
      <c r="V75" s="432">
        <f t="shared" si="56"/>
        <v>268.44</v>
      </c>
      <c r="W75" s="431">
        <f t="shared" si="56"/>
        <v>237.80210526315793</v>
      </c>
      <c r="AD75" s="470"/>
      <c r="AE75" s="45"/>
      <c r="AG75" s="48"/>
      <c r="AH75" s="476"/>
      <c r="AI75" s="45"/>
    </row>
    <row r="76" spans="9:35" x14ac:dyDescent="0.35">
      <c r="I76" s="582" t="s">
        <v>1283</v>
      </c>
      <c r="J76" s="431"/>
      <c r="K76" s="432">
        <f t="shared" ref="K76:W76" si="57">IFERROR(K15/K62,0)</f>
        <v>0</v>
      </c>
      <c r="L76" s="432">
        <f t="shared" si="57"/>
        <v>0</v>
      </c>
      <c r="M76" s="432">
        <f t="shared" si="57"/>
        <v>0</v>
      </c>
      <c r="N76" s="432">
        <f t="shared" si="57"/>
        <v>0</v>
      </c>
      <c r="O76" s="432">
        <f t="shared" si="57"/>
        <v>157.5</v>
      </c>
      <c r="P76" s="432">
        <f t="shared" si="57"/>
        <v>0</v>
      </c>
      <c r="Q76" s="432">
        <f t="shared" si="57"/>
        <v>0</v>
      </c>
      <c r="R76" s="432">
        <f t="shared" si="57"/>
        <v>0</v>
      </c>
      <c r="S76" s="432">
        <f t="shared" si="57"/>
        <v>500</v>
      </c>
      <c r="T76" s="432">
        <f t="shared" si="57"/>
        <v>150</v>
      </c>
      <c r="U76" s="432">
        <f t="shared" si="57"/>
        <v>646.99000000000024</v>
      </c>
      <c r="V76" s="432">
        <f t="shared" si="57"/>
        <v>0</v>
      </c>
      <c r="W76" s="431">
        <f t="shared" si="57"/>
        <v>376.49666666666673</v>
      </c>
      <c r="AD76" s="470"/>
      <c r="AE76" s="45"/>
      <c r="AG76" s="48"/>
      <c r="AH76" s="476"/>
      <c r="AI76" s="45"/>
    </row>
    <row r="77" spans="9:35" x14ac:dyDescent="0.35">
      <c r="I77" s="582" t="s">
        <v>1284</v>
      </c>
      <c r="J77" s="431"/>
      <c r="K77" s="432">
        <f t="shared" ref="K77:W77" si="58">IFERROR(K16/K63,0)</f>
        <v>0</v>
      </c>
      <c r="L77" s="432">
        <f t="shared" si="58"/>
        <v>0</v>
      </c>
      <c r="M77" s="432">
        <f t="shared" si="58"/>
        <v>0</v>
      </c>
      <c r="N77" s="432">
        <f t="shared" si="58"/>
        <v>0</v>
      </c>
      <c r="O77" s="432">
        <f t="shared" si="58"/>
        <v>16.8</v>
      </c>
      <c r="P77" s="432">
        <f t="shared" si="58"/>
        <v>15.25</v>
      </c>
      <c r="Q77" s="432">
        <f t="shared" si="58"/>
        <v>19.666666666666668</v>
      </c>
      <c r="R77" s="432">
        <f t="shared" si="58"/>
        <v>0</v>
      </c>
      <c r="S77" s="432">
        <f t="shared" si="58"/>
        <v>0</v>
      </c>
      <c r="T77" s="432">
        <f t="shared" si="58"/>
        <v>17</v>
      </c>
      <c r="U77" s="432">
        <f t="shared" si="58"/>
        <v>22</v>
      </c>
      <c r="V77" s="432">
        <f t="shared" si="58"/>
        <v>22</v>
      </c>
      <c r="W77" s="431">
        <f t="shared" si="58"/>
        <v>18.281818181818181</v>
      </c>
      <c r="AD77" s="470">
        <v>43152</v>
      </c>
      <c r="AE77" s="426" t="s">
        <v>1918</v>
      </c>
      <c r="AF77" s="426" t="s">
        <v>1919</v>
      </c>
      <c r="AG77" s="48" t="s">
        <v>1920</v>
      </c>
      <c r="AH77" s="476">
        <v>200</v>
      </c>
      <c r="AI77" s="45" t="s">
        <v>1775</v>
      </c>
    </row>
    <row r="78" spans="9:35" ht="13.5" customHeight="1" thickBot="1" x14ac:dyDescent="0.45">
      <c r="I78" s="824" t="s">
        <v>63</v>
      </c>
      <c r="J78" s="825"/>
      <c r="K78" s="798">
        <f t="shared" ref="K78:W78" si="59">IFERROR(K17/K64,0)</f>
        <v>60.481481481481481</v>
      </c>
      <c r="L78" s="798">
        <f t="shared" si="59"/>
        <v>81.091086956521735</v>
      </c>
      <c r="M78" s="798">
        <f t="shared" si="59"/>
        <v>271.7713432835821</v>
      </c>
      <c r="N78" s="798">
        <f t="shared" si="59"/>
        <v>126.1</v>
      </c>
      <c r="O78" s="798">
        <f t="shared" si="59"/>
        <v>101.36162162162162</v>
      </c>
      <c r="P78" s="798">
        <f t="shared" si="59"/>
        <v>167.53793103448277</v>
      </c>
      <c r="Q78" s="798">
        <f t="shared" si="59"/>
        <v>102.30675675675676</v>
      </c>
      <c r="R78" s="798">
        <f t="shared" si="59"/>
        <v>144.9364705882353</v>
      </c>
      <c r="S78" s="798">
        <f t="shared" si="59"/>
        <v>121.70977272727272</v>
      </c>
      <c r="T78" s="798">
        <f t="shared" si="59"/>
        <v>152.97058823529412</v>
      </c>
      <c r="U78" s="798">
        <f t="shared" si="59"/>
        <v>188.69652173913045</v>
      </c>
      <c r="V78" s="798">
        <f t="shared" si="59"/>
        <v>169.52799999999999</v>
      </c>
      <c r="W78" s="825">
        <f t="shared" si="59"/>
        <v>148.2254680851064</v>
      </c>
      <c r="AD78" s="470">
        <v>43167</v>
      </c>
      <c r="AE78" s="426" t="s">
        <v>1921</v>
      </c>
      <c r="AF78" s="45" t="s">
        <v>1922</v>
      </c>
      <c r="AG78" s="48" t="s">
        <v>1923</v>
      </c>
      <c r="AH78" s="476">
        <v>30</v>
      </c>
      <c r="AI78" s="45" t="s">
        <v>1924</v>
      </c>
    </row>
    <row r="79" spans="9:35" ht="13.15" customHeight="1" thickTop="1" x14ac:dyDescent="0.35">
      <c r="AD79" s="470">
        <v>43190</v>
      </c>
      <c r="AE79" s="45" t="s">
        <v>1925</v>
      </c>
      <c r="AF79" s="45" t="s">
        <v>1926</v>
      </c>
      <c r="AG79" s="48" t="s">
        <v>1927</v>
      </c>
      <c r="AH79" s="476">
        <v>125</v>
      </c>
      <c r="AI79" s="45" t="s">
        <v>1928</v>
      </c>
    </row>
    <row r="80" spans="9:35" x14ac:dyDescent="0.35">
      <c r="AD80" s="470">
        <v>43249</v>
      </c>
      <c r="AE80" s="45" t="s">
        <v>1191</v>
      </c>
      <c r="AF80" s="426" t="s">
        <v>1929</v>
      </c>
      <c r="AG80" s="48" t="s">
        <v>1930</v>
      </c>
      <c r="AH80" s="476">
        <v>200</v>
      </c>
      <c r="AI80" s="45" t="s">
        <v>1931</v>
      </c>
    </row>
    <row r="81" spans="9:35" ht="13.15" customHeight="1" x14ac:dyDescent="0.4">
      <c r="I81" s="420" t="s">
        <v>140</v>
      </c>
      <c r="J81" s="557" t="s">
        <v>1596</v>
      </c>
      <c r="K81" s="577" t="s">
        <v>142</v>
      </c>
      <c r="L81" s="577" t="s">
        <v>143</v>
      </c>
      <c r="M81" s="577" t="s">
        <v>144</v>
      </c>
      <c r="N81" s="577" t="s">
        <v>145</v>
      </c>
      <c r="O81" s="577" t="s">
        <v>146</v>
      </c>
      <c r="P81" s="577" t="s">
        <v>147</v>
      </c>
      <c r="Q81" s="577" t="s">
        <v>148</v>
      </c>
      <c r="R81" s="577" t="s">
        <v>149</v>
      </c>
      <c r="S81" s="577" t="s">
        <v>150</v>
      </c>
      <c r="T81" s="577" t="s">
        <v>151</v>
      </c>
      <c r="U81" s="577" t="s">
        <v>152</v>
      </c>
      <c r="V81" s="577" t="s">
        <v>153</v>
      </c>
      <c r="W81" s="577" t="s">
        <v>19</v>
      </c>
      <c r="X81" s="559" t="s">
        <v>76</v>
      </c>
      <c r="Y81" s="560" t="s">
        <v>23</v>
      </c>
      <c r="Z81" s="560" t="s">
        <v>21</v>
      </c>
      <c r="AD81" s="470">
        <v>43343</v>
      </c>
      <c r="AE81" s="45" t="s">
        <v>1932</v>
      </c>
      <c r="AF81" s="426" t="s">
        <v>1933</v>
      </c>
      <c r="AG81" s="48" t="s">
        <v>1934</v>
      </c>
      <c r="AH81" s="476">
        <v>200</v>
      </c>
      <c r="AI81" s="45" t="s">
        <v>1531</v>
      </c>
    </row>
    <row r="82" spans="9:35" x14ac:dyDescent="0.35">
      <c r="I82" s="581" t="s">
        <v>28</v>
      </c>
      <c r="J82" s="432">
        <f t="shared" ref="J82:V82" si="60">J6*70%</f>
        <v>525</v>
      </c>
      <c r="K82" s="432">
        <f t="shared" si="60"/>
        <v>189.7</v>
      </c>
      <c r="L82" s="432">
        <f t="shared" si="60"/>
        <v>1099</v>
      </c>
      <c r="M82" s="432">
        <f t="shared" si="60"/>
        <v>731.5</v>
      </c>
      <c r="N82" s="432">
        <f t="shared" si="60"/>
        <v>230.99999999999997</v>
      </c>
      <c r="O82" s="432">
        <f t="shared" si="60"/>
        <v>894.25</v>
      </c>
      <c r="P82" s="432">
        <f t="shared" si="60"/>
        <v>0</v>
      </c>
      <c r="Q82" s="432">
        <f t="shared" si="60"/>
        <v>175</v>
      </c>
      <c r="R82" s="432">
        <f t="shared" si="60"/>
        <v>395.5</v>
      </c>
      <c r="S82" s="432">
        <f t="shared" si="60"/>
        <v>468.99999999999994</v>
      </c>
      <c r="T82" s="432">
        <f t="shared" si="60"/>
        <v>217</v>
      </c>
      <c r="U82" s="432">
        <f t="shared" si="60"/>
        <v>0</v>
      </c>
      <c r="V82" s="432">
        <f t="shared" si="60"/>
        <v>175</v>
      </c>
      <c r="W82" s="431">
        <f t="shared" ref="W82:W88" si="61">SUM(K82:V82)</f>
        <v>4576.95</v>
      </c>
      <c r="X82" s="445">
        <f>IFERROR(W82/W6,0)</f>
        <v>0.7</v>
      </c>
      <c r="Y82" s="558">
        <f>J82*12</f>
        <v>6300</v>
      </c>
      <c r="Z82" s="434">
        <f>W82-Y82</f>
        <v>-1723.0500000000002</v>
      </c>
      <c r="AD82" s="470">
        <v>43392</v>
      </c>
      <c r="AE82" s="45" t="s">
        <v>1935</v>
      </c>
      <c r="AF82" s="426" t="s">
        <v>1936</v>
      </c>
      <c r="AG82" s="48" t="s">
        <v>1937</v>
      </c>
      <c r="AH82" s="476">
        <v>200</v>
      </c>
      <c r="AI82" s="45" t="s">
        <v>1938</v>
      </c>
    </row>
    <row r="83" spans="9:35" x14ac:dyDescent="0.35">
      <c r="I83" s="581" t="s">
        <v>1274</v>
      </c>
      <c r="J83" s="432">
        <f t="shared" ref="J83:V83" si="62">J7*60%</f>
        <v>1200</v>
      </c>
      <c r="K83" s="432">
        <f t="shared" si="62"/>
        <v>214.2</v>
      </c>
      <c r="L83" s="432">
        <f t="shared" si="62"/>
        <v>238.79999999999998</v>
      </c>
      <c r="M83" s="432">
        <f t="shared" si="62"/>
        <v>3497.1</v>
      </c>
      <c r="N83" s="432">
        <f t="shared" si="62"/>
        <v>1117.2</v>
      </c>
      <c r="O83" s="432">
        <f t="shared" si="62"/>
        <v>527.93999999999994</v>
      </c>
      <c r="P83" s="432">
        <f t="shared" si="62"/>
        <v>937.8</v>
      </c>
      <c r="Q83" s="432">
        <f t="shared" si="62"/>
        <v>1920</v>
      </c>
      <c r="R83" s="432">
        <f t="shared" si="62"/>
        <v>3081</v>
      </c>
      <c r="S83" s="432">
        <f t="shared" si="62"/>
        <v>2222.4</v>
      </c>
      <c r="T83" s="432">
        <f t="shared" si="62"/>
        <v>2680.2</v>
      </c>
      <c r="U83" s="432">
        <f t="shared" si="62"/>
        <v>1061.3999999999999</v>
      </c>
      <c r="V83" s="432">
        <f t="shared" si="62"/>
        <v>1477.8</v>
      </c>
      <c r="W83" s="431">
        <f t="shared" si="61"/>
        <v>18975.84</v>
      </c>
      <c r="X83" s="445">
        <f>IFERROR(W83/W7,0)</f>
        <v>0.6</v>
      </c>
      <c r="Y83" s="558">
        <f>J83*12</f>
        <v>14400</v>
      </c>
      <c r="Z83" s="434">
        <f>W83-Y83</f>
        <v>4575.84</v>
      </c>
      <c r="AD83" s="470">
        <v>43424</v>
      </c>
      <c r="AE83" s="45" t="s">
        <v>1939</v>
      </c>
      <c r="AF83" s="426" t="s">
        <v>1940</v>
      </c>
      <c r="AG83" s="48" t="s">
        <v>1941</v>
      </c>
      <c r="AH83" s="476">
        <v>250</v>
      </c>
      <c r="AI83" s="45" t="s">
        <v>1942</v>
      </c>
    </row>
    <row r="84" spans="9:35" x14ac:dyDescent="0.35">
      <c r="I84" s="581" t="s">
        <v>1276</v>
      </c>
      <c r="J84" s="432">
        <f t="shared" ref="J84:V84" si="63">J8*60%</f>
        <v>450</v>
      </c>
      <c r="K84" s="432">
        <f t="shared" si="63"/>
        <v>42</v>
      </c>
      <c r="L84" s="432">
        <f t="shared" si="63"/>
        <v>0</v>
      </c>
      <c r="M84" s="432">
        <f t="shared" si="63"/>
        <v>225</v>
      </c>
      <c r="N84" s="432">
        <f t="shared" si="63"/>
        <v>0</v>
      </c>
      <c r="O84" s="432">
        <f t="shared" si="63"/>
        <v>45</v>
      </c>
      <c r="P84" s="432">
        <f t="shared" si="63"/>
        <v>270</v>
      </c>
      <c r="Q84" s="432">
        <f t="shared" si="63"/>
        <v>45</v>
      </c>
      <c r="R84" s="432">
        <f t="shared" si="63"/>
        <v>105</v>
      </c>
      <c r="S84" s="432">
        <f t="shared" si="63"/>
        <v>330</v>
      </c>
      <c r="T84" s="432">
        <f t="shared" si="63"/>
        <v>105</v>
      </c>
      <c r="U84" s="432">
        <f t="shared" si="63"/>
        <v>175.79999999999998</v>
      </c>
      <c r="V84" s="432">
        <f t="shared" si="63"/>
        <v>375</v>
      </c>
      <c r="W84" s="431">
        <f t="shared" si="61"/>
        <v>1717.8</v>
      </c>
      <c r="X84" s="445">
        <f>IFERROR(W84/W9,0)</f>
        <v>-0.3121853702862335</v>
      </c>
      <c r="Y84" s="558">
        <f>J84*12</f>
        <v>5400</v>
      </c>
      <c r="Z84" s="434">
        <f>W84-Y84</f>
        <v>-3682.2</v>
      </c>
      <c r="AD84" s="470">
        <v>43438</v>
      </c>
      <c r="AE84" s="426" t="s">
        <v>1943</v>
      </c>
      <c r="AF84" s="426" t="s">
        <v>1944</v>
      </c>
      <c r="AG84" s="48" t="s">
        <v>1945</v>
      </c>
      <c r="AH84" s="426">
        <v>200</v>
      </c>
      <c r="AI84" s="45" t="s">
        <v>1946</v>
      </c>
    </row>
    <row r="85" spans="9:35" x14ac:dyDescent="0.35">
      <c r="I85" s="581" t="s">
        <v>1277</v>
      </c>
      <c r="J85" s="432">
        <f t="shared" ref="J85:V85" si="64">J9*60%</f>
        <v>-450</v>
      </c>
      <c r="K85" s="432">
        <f t="shared" si="64"/>
        <v>0</v>
      </c>
      <c r="L85" s="432">
        <f t="shared" si="64"/>
        <v>0</v>
      </c>
      <c r="M85" s="432">
        <f t="shared" si="64"/>
        <v>-1334.7</v>
      </c>
      <c r="N85" s="432">
        <f t="shared" si="64"/>
        <v>-14.399999999999999</v>
      </c>
      <c r="O85" s="432">
        <f t="shared" si="64"/>
        <v>-399</v>
      </c>
      <c r="P85" s="432">
        <f t="shared" si="64"/>
        <v>0</v>
      </c>
      <c r="Q85" s="432">
        <f t="shared" si="64"/>
        <v>-261</v>
      </c>
      <c r="R85" s="432">
        <f t="shared" si="64"/>
        <v>-522</v>
      </c>
      <c r="S85" s="432">
        <f t="shared" si="64"/>
        <v>-554.4</v>
      </c>
      <c r="T85" s="432">
        <f t="shared" si="64"/>
        <v>-81</v>
      </c>
      <c r="U85" s="432">
        <f t="shared" si="64"/>
        <v>-135</v>
      </c>
      <c r="V85" s="432">
        <f t="shared" si="64"/>
        <v>0</v>
      </c>
      <c r="W85" s="431">
        <f t="shared" si="61"/>
        <v>-3301.5000000000005</v>
      </c>
      <c r="X85" s="445"/>
      <c r="Y85" s="558"/>
      <c r="Z85" s="434"/>
      <c r="AD85" s="470">
        <v>43507</v>
      </c>
      <c r="AE85" s="426" t="s">
        <v>1947</v>
      </c>
      <c r="AF85" s="45" t="s">
        <v>1948</v>
      </c>
      <c r="AG85" s="48" t="s">
        <v>1949</v>
      </c>
      <c r="AH85" s="476">
        <v>250</v>
      </c>
      <c r="AI85" s="45" t="s">
        <v>1489</v>
      </c>
    </row>
    <row r="86" spans="9:35" x14ac:dyDescent="0.35">
      <c r="I86" s="581" t="s">
        <v>1278</v>
      </c>
      <c r="J86" s="432">
        <f t="shared" ref="J86:V86" si="65">J10*75%</f>
        <v>75</v>
      </c>
      <c r="K86" s="432">
        <f t="shared" si="65"/>
        <v>60</v>
      </c>
      <c r="L86" s="432">
        <f t="shared" si="65"/>
        <v>60</v>
      </c>
      <c r="M86" s="432">
        <f t="shared" si="65"/>
        <v>105</v>
      </c>
      <c r="N86" s="432">
        <f t="shared" si="65"/>
        <v>60</v>
      </c>
      <c r="O86" s="432">
        <f t="shared" si="65"/>
        <v>75</v>
      </c>
      <c r="P86" s="432">
        <f t="shared" si="65"/>
        <v>90</v>
      </c>
      <c r="Q86" s="432">
        <f t="shared" si="65"/>
        <v>105</v>
      </c>
      <c r="R86" s="432">
        <f t="shared" si="65"/>
        <v>495</v>
      </c>
      <c r="S86" s="432">
        <f t="shared" si="65"/>
        <v>45</v>
      </c>
      <c r="T86" s="432">
        <f t="shared" si="65"/>
        <v>180</v>
      </c>
      <c r="U86" s="432">
        <f t="shared" si="65"/>
        <v>75</v>
      </c>
      <c r="V86" s="432">
        <f t="shared" si="65"/>
        <v>90</v>
      </c>
      <c r="W86" s="431">
        <f t="shared" si="61"/>
        <v>1440</v>
      </c>
      <c r="X86" s="445">
        <f>IFERROR(W86/W10,0)</f>
        <v>0.75</v>
      </c>
      <c r="Y86" s="558">
        <f>J86*12</f>
        <v>900</v>
      </c>
      <c r="Z86" s="434">
        <f>W86-Y86</f>
        <v>540</v>
      </c>
      <c r="AD86" s="470">
        <v>43560</v>
      </c>
      <c r="AE86" s="426" t="s">
        <v>1943</v>
      </c>
      <c r="AF86" s="45" t="s">
        <v>1950</v>
      </c>
      <c r="AG86" s="45" t="s">
        <v>1900</v>
      </c>
      <c r="AH86" s="257">
        <v>-159</v>
      </c>
    </row>
    <row r="87" spans="9:35" x14ac:dyDescent="0.35">
      <c r="I87" s="582" t="s">
        <v>1279</v>
      </c>
      <c r="J87" s="432">
        <f t="shared" ref="J87:V87" si="66">J11*60%</f>
        <v>1050</v>
      </c>
      <c r="K87" s="432">
        <f t="shared" si="66"/>
        <v>453</v>
      </c>
      <c r="L87" s="432">
        <f t="shared" si="66"/>
        <v>604.5</v>
      </c>
      <c r="M87" s="432">
        <f t="shared" si="66"/>
        <v>7719.5999999999995</v>
      </c>
      <c r="N87" s="432">
        <f t="shared" si="66"/>
        <v>906</v>
      </c>
      <c r="O87" s="432">
        <f t="shared" si="66"/>
        <v>806.69999999999993</v>
      </c>
      <c r="P87" s="432">
        <f t="shared" si="66"/>
        <v>1146.75</v>
      </c>
      <c r="Q87" s="432">
        <f t="shared" si="66"/>
        <v>399</v>
      </c>
      <c r="R87" s="432">
        <f t="shared" si="66"/>
        <v>1200</v>
      </c>
      <c r="S87" s="432">
        <f t="shared" si="66"/>
        <v>354</v>
      </c>
      <c r="T87" s="432">
        <f t="shared" si="66"/>
        <v>246</v>
      </c>
      <c r="U87" s="432">
        <f t="shared" si="66"/>
        <v>337.8</v>
      </c>
      <c r="V87" s="432">
        <f t="shared" si="66"/>
        <v>1512</v>
      </c>
      <c r="W87" s="431">
        <f t="shared" si="61"/>
        <v>15685.349999999999</v>
      </c>
      <c r="X87" s="445">
        <f>IFERROR(W87/W11,0)</f>
        <v>0.6</v>
      </c>
      <c r="Y87" s="558">
        <f>J87*12</f>
        <v>12600</v>
      </c>
      <c r="Z87" s="434">
        <f>W87-Y87</f>
        <v>3085.3499999999985</v>
      </c>
      <c r="AD87" s="470">
        <v>43592</v>
      </c>
      <c r="AE87" s="45" t="s">
        <v>1681</v>
      </c>
      <c r="AF87" s="45" t="s">
        <v>1951</v>
      </c>
      <c r="AG87" s="48" t="s">
        <v>1952</v>
      </c>
      <c r="AH87" s="476">
        <v>75</v>
      </c>
      <c r="AI87" s="45" t="s">
        <v>224</v>
      </c>
    </row>
    <row r="88" spans="9:35" x14ac:dyDescent="0.35">
      <c r="I88" s="582" t="s">
        <v>1280</v>
      </c>
      <c r="J88" s="432">
        <f t="shared" ref="J88:V88" si="67">J12*60%</f>
        <v>180</v>
      </c>
      <c r="K88" s="432">
        <f t="shared" si="67"/>
        <v>60</v>
      </c>
      <c r="L88" s="432">
        <f t="shared" si="67"/>
        <v>30</v>
      </c>
      <c r="M88" s="432">
        <f t="shared" si="67"/>
        <v>30</v>
      </c>
      <c r="N88" s="432">
        <f t="shared" si="67"/>
        <v>15</v>
      </c>
      <c r="O88" s="432">
        <f t="shared" si="67"/>
        <v>0</v>
      </c>
      <c r="P88" s="432">
        <f t="shared" si="67"/>
        <v>30</v>
      </c>
      <c r="Q88" s="432">
        <f t="shared" si="67"/>
        <v>0</v>
      </c>
      <c r="R88" s="432">
        <f t="shared" si="67"/>
        <v>0</v>
      </c>
      <c r="S88" s="432">
        <f t="shared" si="67"/>
        <v>45</v>
      </c>
      <c r="T88" s="432">
        <f t="shared" si="67"/>
        <v>30</v>
      </c>
      <c r="U88" s="432">
        <f t="shared" si="67"/>
        <v>18</v>
      </c>
      <c r="V88" s="432">
        <f t="shared" si="67"/>
        <v>573</v>
      </c>
      <c r="W88" s="431">
        <f t="shared" si="61"/>
        <v>831</v>
      </c>
      <c r="X88" s="445">
        <f>IFERROR(W88/W16,0)</f>
        <v>4.1322725012431629</v>
      </c>
      <c r="Y88" s="558">
        <f>J88*12</f>
        <v>2160</v>
      </c>
      <c r="Z88" s="434">
        <f>W88-Y88</f>
        <v>-1329</v>
      </c>
      <c r="AD88" s="470">
        <v>43754</v>
      </c>
      <c r="AE88" s="45" t="s">
        <v>676</v>
      </c>
      <c r="AF88" s="426" t="s">
        <v>1953</v>
      </c>
      <c r="AG88" s="48" t="s">
        <v>1954</v>
      </c>
      <c r="AH88" s="476">
        <v>100</v>
      </c>
      <c r="AI88" s="45" t="s">
        <v>1141</v>
      </c>
    </row>
    <row r="89" spans="9:35" x14ac:dyDescent="0.35">
      <c r="I89" s="582" t="s">
        <v>1281</v>
      </c>
      <c r="J89" s="432">
        <f t="shared" ref="J89:V89" si="68">J13*60%</f>
        <v>-120</v>
      </c>
      <c r="K89" s="432">
        <f t="shared" si="68"/>
        <v>0</v>
      </c>
      <c r="L89" s="432">
        <f t="shared" si="68"/>
        <v>-90</v>
      </c>
      <c r="M89" s="432">
        <f t="shared" si="68"/>
        <v>0</v>
      </c>
      <c r="N89" s="432">
        <f t="shared" si="68"/>
        <v>0</v>
      </c>
      <c r="O89" s="432">
        <f t="shared" si="68"/>
        <v>0</v>
      </c>
      <c r="P89" s="432">
        <f t="shared" si="68"/>
        <v>-288</v>
      </c>
      <c r="Q89" s="432">
        <f t="shared" si="68"/>
        <v>-180</v>
      </c>
      <c r="R89" s="432">
        <f t="shared" si="68"/>
        <v>-216</v>
      </c>
      <c r="S89" s="432">
        <f t="shared" si="68"/>
        <v>-57</v>
      </c>
      <c r="T89" s="432">
        <f t="shared" si="68"/>
        <v>-300</v>
      </c>
      <c r="U89" s="432">
        <f t="shared" si="68"/>
        <v>0</v>
      </c>
      <c r="V89" s="432">
        <f t="shared" si="68"/>
        <v>-240</v>
      </c>
      <c r="W89" s="431"/>
      <c r="X89" s="445"/>
      <c r="Y89" s="558"/>
      <c r="Z89" s="434"/>
      <c r="AD89" s="470"/>
      <c r="AE89" s="45"/>
      <c r="AG89" s="48"/>
      <c r="AH89" s="476"/>
      <c r="AI89" s="45"/>
    </row>
    <row r="90" spans="9:35" x14ac:dyDescent="0.35">
      <c r="I90" s="582" t="s">
        <v>1282</v>
      </c>
      <c r="J90" s="432">
        <f t="shared" ref="J90:V90" si="69">J14*50%</f>
        <v>125</v>
      </c>
      <c r="K90" s="432">
        <f t="shared" si="69"/>
        <v>0</v>
      </c>
      <c r="L90" s="432">
        <f t="shared" si="69"/>
        <v>387.34500000000003</v>
      </c>
      <c r="M90" s="432">
        <f t="shared" si="69"/>
        <v>64.34</v>
      </c>
      <c r="N90" s="432">
        <f t="shared" si="69"/>
        <v>0</v>
      </c>
      <c r="O90" s="432">
        <f t="shared" si="69"/>
        <v>194.94000000000003</v>
      </c>
      <c r="P90" s="432">
        <f t="shared" si="69"/>
        <v>606.92499999999995</v>
      </c>
      <c r="Q90" s="432">
        <f t="shared" si="69"/>
        <v>65.674999999999997</v>
      </c>
      <c r="R90" s="432">
        <f t="shared" si="69"/>
        <v>43.38</v>
      </c>
      <c r="S90" s="432">
        <f t="shared" si="69"/>
        <v>112.61499999999999</v>
      </c>
      <c r="T90" s="432">
        <f t="shared" si="69"/>
        <v>0</v>
      </c>
      <c r="U90" s="432">
        <f t="shared" si="69"/>
        <v>247.02</v>
      </c>
      <c r="V90" s="432">
        <f t="shared" si="69"/>
        <v>536.88</v>
      </c>
      <c r="W90" s="431">
        <f>SUM(K90:V90)</f>
        <v>2259.1200000000003</v>
      </c>
      <c r="X90" s="445"/>
      <c r="Y90" s="558"/>
      <c r="Z90" s="434"/>
      <c r="AD90" s="470"/>
      <c r="AE90" s="45"/>
      <c r="AG90" s="48"/>
      <c r="AH90" s="476"/>
      <c r="AI90" s="45"/>
    </row>
    <row r="91" spans="9:35" x14ac:dyDescent="0.35">
      <c r="I91" s="582" t="s">
        <v>1283</v>
      </c>
      <c r="J91" s="432">
        <f t="shared" ref="J91:V91" si="70">J15*60%</f>
        <v>120</v>
      </c>
      <c r="K91" s="432">
        <f t="shared" si="70"/>
        <v>0</v>
      </c>
      <c r="L91" s="432">
        <f t="shared" si="70"/>
        <v>0</v>
      </c>
      <c r="M91" s="432">
        <f t="shared" si="70"/>
        <v>0</v>
      </c>
      <c r="N91" s="432">
        <f t="shared" si="70"/>
        <v>0</v>
      </c>
      <c r="O91" s="432">
        <f t="shared" si="70"/>
        <v>189</v>
      </c>
      <c r="P91" s="432">
        <f t="shared" si="70"/>
        <v>0</v>
      </c>
      <c r="Q91" s="432">
        <f t="shared" si="70"/>
        <v>0</v>
      </c>
      <c r="R91" s="432">
        <f t="shared" si="70"/>
        <v>0</v>
      </c>
      <c r="S91" s="432">
        <f t="shared" si="70"/>
        <v>300</v>
      </c>
      <c r="T91" s="432">
        <f t="shared" si="70"/>
        <v>90</v>
      </c>
      <c r="U91" s="432">
        <f t="shared" si="70"/>
        <v>776.38800000000026</v>
      </c>
      <c r="V91" s="432">
        <f t="shared" si="70"/>
        <v>0</v>
      </c>
      <c r="W91" s="431">
        <f>SUM(K91:V91)</f>
        <v>1355.3880000000004</v>
      </c>
      <c r="X91" s="445"/>
      <c r="Y91" s="558"/>
      <c r="Z91" s="434"/>
      <c r="AD91" s="470"/>
      <c r="AE91" s="45"/>
      <c r="AG91" s="48"/>
      <c r="AH91" s="476"/>
      <c r="AI91" s="45"/>
    </row>
    <row r="92" spans="9:35" x14ac:dyDescent="0.35">
      <c r="I92" s="582" t="s">
        <v>1284</v>
      </c>
      <c r="J92" s="432">
        <f t="shared" ref="J92:V92" si="71">J16*60%</f>
        <v>30</v>
      </c>
      <c r="K92" s="432">
        <f t="shared" si="71"/>
        <v>0</v>
      </c>
      <c r="L92" s="432">
        <f t="shared" si="71"/>
        <v>0</v>
      </c>
      <c r="M92" s="432">
        <f t="shared" si="71"/>
        <v>0</v>
      </c>
      <c r="N92" s="432">
        <f t="shared" si="71"/>
        <v>0</v>
      </c>
      <c r="O92" s="432">
        <f t="shared" si="71"/>
        <v>20.16</v>
      </c>
      <c r="P92" s="432">
        <f t="shared" si="71"/>
        <v>18.3</v>
      </c>
      <c r="Q92" s="432">
        <f t="shared" si="71"/>
        <v>35.4</v>
      </c>
      <c r="R92" s="432">
        <f t="shared" si="71"/>
        <v>0</v>
      </c>
      <c r="S92" s="432">
        <f t="shared" si="71"/>
        <v>0</v>
      </c>
      <c r="T92" s="432">
        <f t="shared" si="71"/>
        <v>20.399999999999999</v>
      </c>
      <c r="U92" s="432">
        <f t="shared" si="71"/>
        <v>13.2</v>
      </c>
      <c r="V92" s="432">
        <f t="shared" si="71"/>
        <v>13.2</v>
      </c>
      <c r="W92" s="431">
        <f>SUM(K92:V92)</f>
        <v>120.66</v>
      </c>
      <c r="X92" s="445"/>
      <c r="Y92" s="558"/>
      <c r="Z92" s="434"/>
      <c r="AD92" s="470"/>
      <c r="AE92" s="45"/>
      <c r="AG92" s="48"/>
      <c r="AH92" s="476"/>
      <c r="AI92" s="45"/>
    </row>
    <row r="93" spans="9:35" ht="13.5" customHeight="1" thickBot="1" x14ac:dyDescent="0.45">
      <c r="I93" s="821" t="s">
        <v>63</v>
      </c>
      <c r="J93" s="822">
        <f>SUM(J82:J88)</f>
        <v>3030</v>
      </c>
      <c r="K93" s="823">
        <f t="shared" ref="K93:W93" si="72">SUM(K82:K92)</f>
        <v>1018.9</v>
      </c>
      <c r="L93" s="823">
        <f t="shared" si="72"/>
        <v>2329.645</v>
      </c>
      <c r="M93" s="823">
        <f t="shared" si="72"/>
        <v>11037.84</v>
      </c>
      <c r="N93" s="823">
        <f t="shared" si="72"/>
        <v>2314.8000000000002</v>
      </c>
      <c r="O93" s="823">
        <f t="shared" si="72"/>
        <v>2353.9899999999998</v>
      </c>
      <c r="P93" s="823">
        <f t="shared" si="72"/>
        <v>2811.7750000000005</v>
      </c>
      <c r="Q93" s="823">
        <f t="shared" si="72"/>
        <v>2304.0750000000003</v>
      </c>
      <c r="R93" s="823">
        <f t="shared" si="72"/>
        <v>4581.88</v>
      </c>
      <c r="S93" s="823">
        <f t="shared" si="72"/>
        <v>3266.6149999999998</v>
      </c>
      <c r="T93" s="823">
        <f t="shared" si="72"/>
        <v>3187.6</v>
      </c>
      <c r="U93" s="823">
        <f t="shared" si="72"/>
        <v>2569.6079999999997</v>
      </c>
      <c r="V93" s="823">
        <f t="shared" si="72"/>
        <v>4512.88</v>
      </c>
      <c r="W93" s="823">
        <f t="shared" si="72"/>
        <v>43660.608000000007</v>
      </c>
      <c r="X93" s="445">
        <f>IFERROR(W93/W17,0)</f>
        <v>0.62671355900161885</v>
      </c>
      <c r="Y93" s="558">
        <f>J93*12</f>
        <v>36360</v>
      </c>
      <c r="Z93" s="434">
        <f>W93-Y93</f>
        <v>7300.6080000000075</v>
      </c>
      <c r="AD93" s="470">
        <v>43759</v>
      </c>
      <c r="AE93" s="45" t="s">
        <v>1955</v>
      </c>
      <c r="AF93" s="45" t="s">
        <v>1956</v>
      </c>
      <c r="AG93" s="48" t="s">
        <v>1957</v>
      </c>
      <c r="AH93" s="476">
        <v>75</v>
      </c>
      <c r="AI93" s="45" t="s">
        <v>1141</v>
      </c>
    </row>
    <row r="94" spans="9:35" x14ac:dyDescent="0.35">
      <c r="AD94" s="470">
        <v>43762</v>
      </c>
      <c r="AE94" s="426" t="s">
        <v>1958</v>
      </c>
      <c r="AF94" s="426" t="s">
        <v>1959</v>
      </c>
      <c r="AG94" s="48" t="s">
        <v>1960</v>
      </c>
      <c r="AH94" s="476">
        <v>250</v>
      </c>
      <c r="AI94" s="45" t="s">
        <v>1141</v>
      </c>
    </row>
    <row r="95" spans="9:35" ht="13.15" customHeight="1" x14ac:dyDescent="0.4">
      <c r="I95" s="566" t="s">
        <v>157</v>
      </c>
      <c r="K95" s="577" t="s">
        <v>142</v>
      </c>
      <c r="L95" s="577" t="s">
        <v>143</v>
      </c>
      <c r="M95" s="577" t="s">
        <v>144</v>
      </c>
      <c r="N95" s="577" t="s">
        <v>145</v>
      </c>
      <c r="O95" s="577" t="s">
        <v>146</v>
      </c>
      <c r="P95" s="577" t="s">
        <v>147</v>
      </c>
      <c r="Q95" s="577" t="s">
        <v>148</v>
      </c>
      <c r="R95" s="577" t="s">
        <v>149</v>
      </c>
      <c r="S95" s="577" t="s">
        <v>150</v>
      </c>
      <c r="T95" s="577" t="s">
        <v>151</v>
      </c>
      <c r="U95" s="577" t="s">
        <v>152</v>
      </c>
      <c r="V95" s="577" t="s">
        <v>153</v>
      </c>
      <c r="W95" s="577" t="s">
        <v>19</v>
      </c>
      <c r="X95" s="423" t="s">
        <v>158</v>
      </c>
      <c r="Y95" s="423" t="s">
        <v>22</v>
      </c>
      <c r="AD95" s="470">
        <v>43769</v>
      </c>
      <c r="AE95" s="45" t="s">
        <v>1961</v>
      </c>
      <c r="AF95" s="426" t="s">
        <v>1962</v>
      </c>
      <c r="AG95" s="48" t="s">
        <v>1963</v>
      </c>
      <c r="AH95" s="476">
        <v>200</v>
      </c>
      <c r="AI95" s="45" t="s">
        <v>142</v>
      </c>
    </row>
    <row r="96" spans="9:35" x14ac:dyDescent="0.35">
      <c r="I96" s="426" t="s">
        <v>159</v>
      </c>
      <c r="K96" s="432">
        <f t="shared" ref="K96:K104" si="73">SUMIFS($E$150:$E$635,$A$150:$A$635,"&gt;31/12/2020",$A$150:$A$635,"&lt;1/2/2021",$D$150:$D$635,$I96)</f>
        <v>500</v>
      </c>
      <c r="L96" s="432">
        <f t="shared" ref="L96:L104" si="74">SUMIFS($E$150:$E$635,$A$150:$A$635,"&gt;31/1/2021",$A$150:$A$635,"&lt;1/3/2021",$D$150:$D$635,$I96)</f>
        <v>1188</v>
      </c>
      <c r="M96" s="432">
        <f t="shared" ref="M96:M104" si="75">SUMIFS($E$150:$E$635,$A$150:$A$635,"&gt;28/2/2021",$A$150:$A$635,"&lt;1/4/2021",$D$150:$D$635,$I96)</f>
        <v>14617.5</v>
      </c>
      <c r="N96" s="432">
        <f t="shared" ref="N96:N104" si="76">SUMIFS($E$150:$E$635,$A$150:$A$635,"&gt;31/3/2021",$A$150:$A$635,"&lt;1/5/2021",$D$150:$D$635,$I96)</f>
        <v>2273</v>
      </c>
      <c r="O96" s="432">
        <f t="shared" ref="O96:O104" si="77">SUMIFS($E$150:$E$635,$A$150:$A$635,"&gt;30/4/2021",$A$150:$A$635,"&lt;1/6/2021",$D$150:$D$635,$I96)</f>
        <v>2731.4</v>
      </c>
      <c r="P96" s="432">
        <f t="shared" ref="P96:P104" si="78">SUMIFS($E$150:$E$635,$A$150:$A$635,"&gt;31/5/2021",$A$150:$A$635,"&lt;1/7/2021",$D$150:$D$635,$I96)</f>
        <v>1725</v>
      </c>
      <c r="Q96" s="432">
        <f t="shared" ref="Q96:Q104" si="79">SUMIFS($E$150:$E$635,$A$150:$A$635,"&gt;30/6/2021",$A$150:$A$635,"&lt;1/8/2021",$D$150:$D$635,$I96)</f>
        <v>2039</v>
      </c>
      <c r="R96" s="432">
        <f t="shared" ref="R96:R104" si="80">SUMIFS($E$150:$E$635,$A$150:$A$635,"&gt;31/7/2021",$A$150:$A$635,"&lt;1/9/2021",$D$150:$D$635,$I96)</f>
        <v>5621</v>
      </c>
      <c r="S96" s="432">
        <f t="shared" ref="S96:S104" si="81">SUMIFS($E$150:$E$635,$A$150:$A$635,"&gt;31/8/2021",$A$150:$A$635,"&lt;1/10/2021",$D$150:$D$635,$I96)</f>
        <v>2858</v>
      </c>
      <c r="T96" s="432">
        <f t="shared" ref="T96:T104" si="82">SUMIFS($E$150:$E$635,$A$150:$A$635,"&gt;30/9/2021",$A$150:$A$635,"&lt;1/11/2021",$D$150:$D$635,$I96)</f>
        <v>4264</v>
      </c>
      <c r="U96" s="432">
        <f t="shared" ref="U96:U104" si="83">SUMIFS($E$150:$E$635,$A$150:$A$635,"&gt;31/10/2021",$A$150:$A$635,"&lt;1/12/2021",$D$150:$D$635,$I96)</f>
        <v>3240.9800000000005</v>
      </c>
      <c r="V96" s="432">
        <f t="shared" ref="V96:V104" si="84">SUMIFS($E$150:$E$635,$A$150:$A$635,"&gt;30/11/2021",$A$150:$A$635,"&lt;1/1/2022",$D$150:$D$635,$I96)</f>
        <v>5463</v>
      </c>
      <c r="W96" s="432">
        <f t="shared" ref="W96:W104" si="85">SUM(K96:V96)</f>
        <v>46520.880000000005</v>
      </c>
      <c r="X96" s="460">
        <f t="shared" ref="X96:X101" si="86">L96/$L$105</f>
        <v>0.31848243655148939</v>
      </c>
      <c r="Y96" s="460">
        <f>W96/W105</f>
        <v>0.66777050545625061</v>
      </c>
      <c r="AD96" s="470">
        <v>43787</v>
      </c>
      <c r="AE96" s="45" t="s">
        <v>1964</v>
      </c>
      <c r="AF96" s="45" t="s">
        <v>1965</v>
      </c>
      <c r="AG96" s="48" t="s">
        <v>1966</v>
      </c>
      <c r="AH96" s="476">
        <v>150</v>
      </c>
    </row>
    <row r="97" spans="9:35" x14ac:dyDescent="0.35">
      <c r="I97" s="426" t="s">
        <v>160</v>
      </c>
      <c r="K97" s="432">
        <f t="shared" si="73"/>
        <v>313</v>
      </c>
      <c r="L97" s="432">
        <f t="shared" si="74"/>
        <v>2295.8199999999997</v>
      </c>
      <c r="M97" s="432">
        <f t="shared" si="75"/>
        <v>2470.1800000000003</v>
      </c>
      <c r="N97" s="432">
        <f t="shared" si="76"/>
        <v>760</v>
      </c>
      <c r="O97" s="432">
        <f t="shared" si="77"/>
        <v>853.98</v>
      </c>
      <c r="P97" s="432">
        <f t="shared" si="78"/>
        <v>2583.6</v>
      </c>
      <c r="Q97" s="432">
        <f t="shared" si="79"/>
        <v>1551.35</v>
      </c>
      <c r="R97" s="432">
        <f t="shared" si="80"/>
        <v>949</v>
      </c>
      <c r="S97" s="432">
        <f t="shared" si="81"/>
        <v>1228.03</v>
      </c>
      <c r="T97" s="432">
        <f t="shared" si="82"/>
        <v>722</v>
      </c>
      <c r="U97" s="432">
        <f t="shared" si="83"/>
        <v>884.04</v>
      </c>
      <c r="V97" s="432">
        <f t="shared" si="84"/>
        <v>1360.76</v>
      </c>
      <c r="W97" s="432">
        <f t="shared" si="85"/>
        <v>15971.76</v>
      </c>
      <c r="X97" s="460">
        <f t="shared" si="86"/>
        <v>0.61546998946434361</v>
      </c>
      <c r="Y97" s="460">
        <f>W97/W105</f>
        <v>0.22926200553871562</v>
      </c>
      <c r="AD97" s="470">
        <v>43865</v>
      </c>
      <c r="AE97" s="45" t="s">
        <v>1961</v>
      </c>
      <c r="AF97" s="426" t="s">
        <v>1967</v>
      </c>
      <c r="AG97" s="48" t="s">
        <v>1968</v>
      </c>
      <c r="AH97" s="476">
        <v>200</v>
      </c>
      <c r="AI97" s="45" t="s">
        <v>1969</v>
      </c>
    </row>
    <row r="98" spans="9:35" x14ac:dyDescent="0.35">
      <c r="I98" s="426" t="s">
        <v>161</v>
      </c>
      <c r="K98" s="432">
        <f t="shared" si="73"/>
        <v>150</v>
      </c>
      <c r="L98" s="432">
        <f t="shared" si="74"/>
        <v>80</v>
      </c>
      <c r="M98" s="432">
        <f t="shared" si="75"/>
        <v>267.5</v>
      </c>
      <c r="N98" s="432">
        <f t="shared" si="76"/>
        <v>80</v>
      </c>
      <c r="O98" s="432">
        <f t="shared" si="77"/>
        <v>80</v>
      </c>
      <c r="P98" s="432">
        <f t="shared" si="78"/>
        <v>550</v>
      </c>
      <c r="Q98" s="432">
        <f t="shared" si="79"/>
        <v>195</v>
      </c>
      <c r="R98" s="432">
        <f t="shared" si="80"/>
        <v>135</v>
      </c>
      <c r="S98" s="432">
        <f t="shared" si="81"/>
        <v>610</v>
      </c>
      <c r="T98" s="432">
        <f t="shared" si="82"/>
        <v>215</v>
      </c>
      <c r="U98" s="432">
        <f t="shared" si="83"/>
        <v>215</v>
      </c>
      <c r="V98" s="432">
        <f t="shared" si="84"/>
        <v>725</v>
      </c>
      <c r="W98" s="432">
        <f t="shared" si="85"/>
        <v>3302.5</v>
      </c>
      <c r="X98" s="460">
        <f t="shared" si="86"/>
        <v>2.1446628724006017E-2</v>
      </c>
      <c r="Y98" s="460">
        <f>W98/W105</f>
        <v>4.7404780267898364E-2</v>
      </c>
      <c r="AG98" s="48"/>
    </row>
    <row r="99" spans="9:35" x14ac:dyDescent="0.35">
      <c r="I99" s="426" t="s">
        <v>162</v>
      </c>
      <c r="K99" s="432">
        <f t="shared" si="73"/>
        <v>670</v>
      </c>
      <c r="L99" s="432">
        <f t="shared" si="74"/>
        <v>166.37</v>
      </c>
      <c r="M99" s="432">
        <f t="shared" si="75"/>
        <v>797.5</v>
      </c>
      <c r="N99" s="432">
        <f t="shared" si="76"/>
        <v>670</v>
      </c>
      <c r="O99" s="432">
        <f t="shared" si="77"/>
        <v>85</v>
      </c>
      <c r="P99" s="432">
        <f t="shared" si="78"/>
        <v>0</v>
      </c>
      <c r="Q99" s="432">
        <f t="shared" si="79"/>
        <v>0</v>
      </c>
      <c r="R99" s="432">
        <f t="shared" si="80"/>
        <v>686.76</v>
      </c>
      <c r="S99" s="432">
        <f t="shared" si="81"/>
        <v>659.2</v>
      </c>
      <c r="T99" s="432">
        <f t="shared" si="82"/>
        <v>0</v>
      </c>
      <c r="U99" s="432">
        <f t="shared" si="83"/>
        <v>0</v>
      </c>
      <c r="V99" s="432">
        <f t="shared" si="84"/>
        <v>80</v>
      </c>
      <c r="W99" s="432">
        <f t="shared" si="85"/>
        <v>3814.83</v>
      </c>
      <c r="X99" s="460">
        <f t="shared" si="86"/>
        <v>4.4600945260161014E-2</v>
      </c>
      <c r="Y99" s="460">
        <f>W99/W105</f>
        <v>5.4758872947581139E-2</v>
      </c>
      <c r="AG99" s="48"/>
    </row>
    <row r="100" spans="9:35" ht="13.15" customHeight="1" x14ac:dyDescent="0.4">
      <c r="I100" s="426" t="s">
        <v>163</v>
      </c>
      <c r="K100" s="432">
        <f t="shared" si="73"/>
        <v>0</v>
      </c>
      <c r="L100" s="432">
        <f t="shared" si="74"/>
        <v>0</v>
      </c>
      <c r="M100" s="432">
        <f t="shared" si="75"/>
        <v>0</v>
      </c>
      <c r="N100" s="432">
        <f t="shared" si="76"/>
        <v>0</v>
      </c>
      <c r="O100" s="432">
        <f t="shared" si="77"/>
        <v>0</v>
      </c>
      <c r="P100" s="432">
        <f t="shared" si="78"/>
        <v>0</v>
      </c>
      <c r="Q100" s="432">
        <f t="shared" si="79"/>
        <v>0</v>
      </c>
      <c r="R100" s="432">
        <f t="shared" si="80"/>
        <v>0</v>
      </c>
      <c r="S100" s="432">
        <f t="shared" si="81"/>
        <v>0</v>
      </c>
      <c r="T100" s="432">
        <f t="shared" si="82"/>
        <v>0</v>
      </c>
      <c r="U100" s="432">
        <f t="shared" si="83"/>
        <v>0</v>
      </c>
      <c r="V100" s="432">
        <f t="shared" si="84"/>
        <v>0</v>
      </c>
      <c r="W100" s="432">
        <f t="shared" si="85"/>
        <v>0</v>
      </c>
      <c r="X100" s="460">
        <f t="shared" si="86"/>
        <v>0</v>
      </c>
      <c r="Y100" s="460">
        <f>W100/W105</f>
        <v>0</v>
      </c>
      <c r="AH100" s="610">
        <f>SUM(AH18:AH99)</f>
        <v>9513</v>
      </c>
    </row>
    <row r="101" spans="9:35" x14ac:dyDescent="0.35">
      <c r="I101" s="426" t="s">
        <v>164</v>
      </c>
      <c r="K101" s="432">
        <f t="shared" si="73"/>
        <v>0</v>
      </c>
      <c r="L101" s="432">
        <f t="shared" si="74"/>
        <v>0</v>
      </c>
      <c r="M101" s="432">
        <f t="shared" si="75"/>
        <v>0</v>
      </c>
      <c r="N101" s="432">
        <f t="shared" si="76"/>
        <v>0</v>
      </c>
      <c r="O101" s="432">
        <f t="shared" si="77"/>
        <v>0</v>
      </c>
      <c r="P101" s="432">
        <f t="shared" si="78"/>
        <v>0</v>
      </c>
      <c r="Q101" s="432">
        <f t="shared" si="79"/>
        <v>0</v>
      </c>
      <c r="R101" s="432">
        <f t="shared" si="80"/>
        <v>0</v>
      </c>
      <c r="S101" s="432">
        <f t="shared" si="81"/>
        <v>0</v>
      </c>
      <c r="T101" s="432">
        <f t="shared" si="82"/>
        <v>0</v>
      </c>
      <c r="U101" s="432">
        <f t="shared" si="83"/>
        <v>0</v>
      </c>
      <c r="V101" s="432">
        <f t="shared" si="84"/>
        <v>0</v>
      </c>
      <c r="W101" s="432">
        <f t="shared" si="85"/>
        <v>0</v>
      </c>
      <c r="X101" s="460">
        <f t="shared" si="86"/>
        <v>0</v>
      </c>
      <c r="Y101" s="460">
        <f>W101/W105</f>
        <v>0</v>
      </c>
    </row>
    <row r="102" spans="9:35" x14ac:dyDescent="0.35">
      <c r="I102" s="45" t="s">
        <v>165</v>
      </c>
      <c r="K102" s="432">
        <f t="shared" si="73"/>
        <v>0</v>
      </c>
      <c r="L102" s="432">
        <f t="shared" si="74"/>
        <v>0</v>
      </c>
      <c r="M102" s="432">
        <f t="shared" si="75"/>
        <v>0</v>
      </c>
      <c r="N102" s="432">
        <f t="shared" si="76"/>
        <v>0</v>
      </c>
      <c r="O102" s="432">
        <f t="shared" si="77"/>
        <v>0</v>
      </c>
      <c r="P102" s="432">
        <f t="shared" si="78"/>
        <v>0</v>
      </c>
      <c r="Q102" s="432">
        <f t="shared" si="79"/>
        <v>0</v>
      </c>
      <c r="R102" s="432">
        <f t="shared" si="80"/>
        <v>0</v>
      </c>
      <c r="S102" s="432">
        <f t="shared" si="81"/>
        <v>0</v>
      </c>
      <c r="T102" s="432">
        <f t="shared" si="82"/>
        <v>0</v>
      </c>
      <c r="U102" s="432">
        <f t="shared" si="83"/>
        <v>0</v>
      </c>
      <c r="V102" s="432">
        <f t="shared" si="84"/>
        <v>0</v>
      </c>
      <c r="W102" s="432">
        <f t="shared" si="85"/>
        <v>0</v>
      </c>
      <c r="X102" s="460"/>
      <c r="Y102" s="460"/>
    </row>
    <row r="103" spans="9:35" x14ac:dyDescent="0.35">
      <c r="I103" s="45" t="s">
        <v>166</v>
      </c>
      <c r="K103" s="432">
        <f t="shared" si="73"/>
        <v>0</v>
      </c>
      <c r="L103" s="432">
        <f t="shared" si="74"/>
        <v>0</v>
      </c>
      <c r="M103" s="432">
        <f t="shared" si="75"/>
        <v>56</v>
      </c>
      <c r="N103" s="432">
        <f t="shared" si="76"/>
        <v>0</v>
      </c>
      <c r="O103" s="432">
        <f t="shared" si="77"/>
        <v>0</v>
      </c>
      <c r="P103" s="432">
        <f t="shared" si="78"/>
        <v>0</v>
      </c>
      <c r="Q103" s="432">
        <f t="shared" si="79"/>
        <v>0</v>
      </c>
      <c r="R103" s="432">
        <f t="shared" si="80"/>
        <v>0</v>
      </c>
      <c r="S103" s="432">
        <f t="shared" si="81"/>
        <v>0</v>
      </c>
      <c r="T103" s="432">
        <f t="shared" si="82"/>
        <v>0</v>
      </c>
      <c r="U103" s="432">
        <f t="shared" si="83"/>
        <v>0</v>
      </c>
      <c r="V103" s="432">
        <f t="shared" si="84"/>
        <v>0</v>
      </c>
      <c r="W103" s="432">
        <f t="shared" si="85"/>
        <v>56</v>
      </c>
      <c r="X103" s="460">
        <f>L103/$L$105</f>
        <v>0</v>
      </c>
      <c r="Y103" s="460">
        <f>W103/W105</f>
        <v>8.0383578955406756E-4</v>
      </c>
    </row>
    <row r="104" spans="9:35" x14ac:dyDescent="0.35">
      <c r="I104" s="45" t="s">
        <v>167</v>
      </c>
      <c r="K104" s="432">
        <f t="shared" si="73"/>
        <v>0</v>
      </c>
      <c r="L104" s="432">
        <f t="shared" si="74"/>
        <v>0</v>
      </c>
      <c r="M104" s="432">
        <f t="shared" si="75"/>
        <v>0</v>
      </c>
      <c r="N104" s="432">
        <f t="shared" si="76"/>
        <v>0</v>
      </c>
      <c r="O104" s="432">
        <f t="shared" si="77"/>
        <v>0</v>
      </c>
      <c r="P104" s="432">
        <f t="shared" si="78"/>
        <v>0</v>
      </c>
      <c r="Q104" s="432">
        <f t="shared" si="79"/>
        <v>0</v>
      </c>
      <c r="R104" s="432">
        <f t="shared" si="80"/>
        <v>0</v>
      </c>
      <c r="S104" s="432">
        <f t="shared" si="81"/>
        <v>0</v>
      </c>
      <c r="T104" s="432">
        <f t="shared" si="82"/>
        <v>0</v>
      </c>
      <c r="U104" s="432">
        <f t="shared" si="83"/>
        <v>0</v>
      </c>
      <c r="V104" s="432">
        <f t="shared" si="84"/>
        <v>0</v>
      </c>
      <c r="W104" s="432">
        <f t="shared" si="85"/>
        <v>0</v>
      </c>
      <c r="X104" s="460">
        <f>L104/$L$105</f>
        <v>0</v>
      </c>
      <c r="Y104" s="460">
        <f>W104/W105</f>
        <v>0</v>
      </c>
    </row>
    <row r="105" spans="9:35" ht="13.5" customHeight="1" thickBot="1" x14ac:dyDescent="0.45">
      <c r="I105" s="454"/>
      <c r="K105" s="797">
        <f t="shared" ref="K105:W105" si="87">SUM(K96:K104)</f>
        <v>1633</v>
      </c>
      <c r="L105" s="797">
        <f t="shared" si="87"/>
        <v>3730.1899999999996</v>
      </c>
      <c r="M105" s="797">
        <f t="shared" si="87"/>
        <v>18208.68</v>
      </c>
      <c r="N105" s="797">
        <f t="shared" si="87"/>
        <v>3783</v>
      </c>
      <c r="O105" s="797">
        <f t="shared" si="87"/>
        <v>3750.38</v>
      </c>
      <c r="P105" s="797">
        <f t="shared" si="87"/>
        <v>4858.6000000000004</v>
      </c>
      <c r="Q105" s="797">
        <f t="shared" si="87"/>
        <v>3785.35</v>
      </c>
      <c r="R105" s="797">
        <f t="shared" si="87"/>
        <v>7391.76</v>
      </c>
      <c r="S105" s="797">
        <f t="shared" si="87"/>
        <v>5355.23</v>
      </c>
      <c r="T105" s="797">
        <f t="shared" si="87"/>
        <v>5201</v>
      </c>
      <c r="U105" s="797">
        <f t="shared" si="87"/>
        <v>4340.0200000000004</v>
      </c>
      <c r="V105" s="797">
        <f t="shared" si="87"/>
        <v>7628.76</v>
      </c>
      <c r="W105" s="797">
        <f t="shared" si="87"/>
        <v>69665.970000000016</v>
      </c>
      <c r="X105" s="454"/>
      <c r="Y105" s="466"/>
      <c r="AD105" s="470"/>
      <c r="AF105" s="45"/>
      <c r="AG105" s="48"/>
      <c r="AI105" s="474"/>
    </row>
    <row r="106" spans="9:35" ht="13.15" customHeight="1" thickTop="1" x14ac:dyDescent="0.35">
      <c r="I106" s="454"/>
      <c r="K106" s="434">
        <f t="shared" ref="K106:S106" si="88">K105-K17</f>
        <v>0</v>
      </c>
      <c r="L106" s="434">
        <f t="shared" si="88"/>
        <v>0</v>
      </c>
      <c r="M106" s="434">
        <f t="shared" si="88"/>
        <v>0</v>
      </c>
      <c r="N106" s="434">
        <f t="shared" si="88"/>
        <v>0</v>
      </c>
      <c r="O106" s="434">
        <f t="shared" si="88"/>
        <v>0</v>
      </c>
      <c r="P106" s="434">
        <f t="shared" si="88"/>
        <v>0</v>
      </c>
      <c r="Q106" s="434">
        <f t="shared" si="88"/>
        <v>0</v>
      </c>
      <c r="R106" s="434">
        <f t="shared" si="88"/>
        <v>0</v>
      </c>
      <c r="S106" s="434">
        <f t="shared" si="88"/>
        <v>0</v>
      </c>
      <c r="T106" s="434"/>
      <c r="U106" s="434"/>
      <c r="V106" s="434"/>
      <c r="W106" s="434"/>
      <c r="X106" s="454"/>
      <c r="AD106" s="470"/>
      <c r="AF106" s="45"/>
      <c r="AG106" s="48"/>
      <c r="AI106" s="474"/>
    </row>
    <row r="107" spans="9:35" ht="13.15" customHeight="1" x14ac:dyDescent="0.4">
      <c r="I107" s="556" t="s">
        <v>168</v>
      </c>
      <c r="K107" s="577" t="s">
        <v>142</v>
      </c>
      <c r="L107" s="577" t="s">
        <v>143</v>
      </c>
      <c r="M107" s="577" t="s">
        <v>144</v>
      </c>
      <c r="N107" s="577" t="s">
        <v>145</v>
      </c>
      <c r="O107" s="577" t="s">
        <v>146</v>
      </c>
      <c r="P107" s="577" t="s">
        <v>147</v>
      </c>
      <c r="Q107" s="577" t="s">
        <v>148</v>
      </c>
      <c r="R107" s="577" t="s">
        <v>149</v>
      </c>
      <c r="S107" s="577" t="s">
        <v>150</v>
      </c>
      <c r="T107" s="577" t="s">
        <v>151</v>
      </c>
      <c r="U107" s="577" t="s">
        <v>152</v>
      </c>
      <c r="V107" s="577" t="s">
        <v>153</v>
      </c>
      <c r="W107" s="577" t="s">
        <v>19</v>
      </c>
      <c r="X107" s="454"/>
      <c r="AD107" s="470"/>
      <c r="AF107" s="45"/>
      <c r="AG107" s="48"/>
      <c r="AI107" s="474"/>
    </row>
    <row r="108" spans="9:35" ht="13.15" customHeight="1" x14ac:dyDescent="0.4">
      <c r="I108" s="613" t="s">
        <v>1310</v>
      </c>
      <c r="K108" s="454">
        <f t="shared" ref="K108:V108" si="89">K96*1.8%</f>
        <v>9.0000000000000018</v>
      </c>
      <c r="L108" s="454">
        <f t="shared" si="89"/>
        <v>21.384000000000004</v>
      </c>
      <c r="M108" s="454">
        <f t="shared" si="89"/>
        <v>263.11500000000001</v>
      </c>
      <c r="N108" s="454">
        <f t="shared" si="89"/>
        <v>40.914000000000001</v>
      </c>
      <c r="O108" s="454">
        <f t="shared" si="89"/>
        <v>49.165200000000006</v>
      </c>
      <c r="P108" s="454">
        <f t="shared" si="89"/>
        <v>31.050000000000004</v>
      </c>
      <c r="Q108" s="454">
        <f t="shared" si="89"/>
        <v>36.702000000000005</v>
      </c>
      <c r="R108" s="454">
        <f t="shared" si="89"/>
        <v>101.17800000000001</v>
      </c>
      <c r="S108" s="454">
        <f t="shared" si="89"/>
        <v>51.444000000000003</v>
      </c>
      <c r="T108" s="454">
        <f t="shared" si="89"/>
        <v>76.75200000000001</v>
      </c>
      <c r="U108" s="454">
        <f t="shared" si="89"/>
        <v>58.337640000000015</v>
      </c>
      <c r="V108" s="454">
        <f t="shared" si="89"/>
        <v>98.334000000000017</v>
      </c>
      <c r="W108" s="432">
        <f t="shared" ref="W108:W113" si="90">SUM(K108:V108)</f>
        <v>837.37584000000015</v>
      </c>
      <c r="X108" s="454"/>
      <c r="Y108" s="466"/>
      <c r="AD108" s="470"/>
      <c r="AF108" s="45"/>
      <c r="AG108" s="48"/>
      <c r="AI108" s="474"/>
    </row>
    <row r="109" spans="9:35" ht="13.15" customHeight="1" x14ac:dyDescent="0.4">
      <c r="I109" s="613" t="s">
        <v>170</v>
      </c>
      <c r="K109" s="454">
        <f t="shared" ref="K109:V109" si="91">K97*3.5%</f>
        <v>10.955000000000002</v>
      </c>
      <c r="L109" s="454">
        <f t="shared" si="91"/>
        <v>80.353700000000003</v>
      </c>
      <c r="M109" s="454">
        <f t="shared" si="91"/>
        <v>86.456300000000013</v>
      </c>
      <c r="N109" s="454">
        <f t="shared" si="91"/>
        <v>26.6</v>
      </c>
      <c r="O109" s="454">
        <f t="shared" si="91"/>
        <v>29.889300000000002</v>
      </c>
      <c r="P109" s="454">
        <f t="shared" si="91"/>
        <v>90.426000000000002</v>
      </c>
      <c r="Q109" s="454">
        <f t="shared" si="91"/>
        <v>54.297250000000005</v>
      </c>
      <c r="R109" s="454">
        <f t="shared" si="91"/>
        <v>33.215000000000003</v>
      </c>
      <c r="S109" s="454">
        <f t="shared" si="91"/>
        <v>42.981050000000003</v>
      </c>
      <c r="T109" s="454">
        <f t="shared" si="91"/>
        <v>25.270000000000003</v>
      </c>
      <c r="U109" s="454">
        <f t="shared" si="91"/>
        <v>30.941400000000002</v>
      </c>
      <c r="V109" s="454">
        <f t="shared" si="91"/>
        <v>47.626600000000003</v>
      </c>
      <c r="W109" s="432">
        <f t="shared" si="90"/>
        <v>559.01159999999993</v>
      </c>
      <c r="X109" s="454"/>
      <c r="Y109" s="466"/>
      <c r="AD109" s="470"/>
      <c r="AF109" s="45"/>
      <c r="AG109" s="48"/>
      <c r="AI109" s="474"/>
    </row>
    <row r="110" spans="9:35" ht="13.15" customHeight="1" x14ac:dyDescent="0.4">
      <c r="I110" s="613" t="s">
        <v>167</v>
      </c>
      <c r="K110" s="454">
        <f t="shared" ref="K110:V110" si="92">K104*3.5%</f>
        <v>0</v>
      </c>
      <c r="L110" s="454">
        <f t="shared" si="92"/>
        <v>0</v>
      </c>
      <c r="M110" s="454">
        <f t="shared" si="92"/>
        <v>0</v>
      </c>
      <c r="N110" s="454">
        <f t="shared" si="92"/>
        <v>0</v>
      </c>
      <c r="O110" s="454">
        <f t="shared" si="92"/>
        <v>0</v>
      </c>
      <c r="P110" s="454">
        <f t="shared" si="92"/>
        <v>0</v>
      </c>
      <c r="Q110" s="454">
        <f t="shared" si="92"/>
        <v>0</v>
      </c>
      <c r="R110" s="454">
        <f t="shared" si="92"/>
        <v>0</v>
      </c>
      <c r="S110" s="454">
        <f t="shared" si="92"/>
        <v>0</v>
      </c>
      <c r="T110" s="454">
        <f t="shared" si="92"/>
        <v>0</v>
      </c>
      <c r="U110" s="454">
        <f t="shared" si="92"/>
        <v>0</v>
      </c>
      <c r="V110" s="454">
        <f t="shared" si="92"/>
        <v>0</v>
      </c>
      <c r="W110" s="586">
        <f t="shared" si="90"/>
        <v>0</v>
      </c>
      <c r="X110" s="454"/>
      <c r="Y110" s="466"/>
      <c r="AD110" s="470"/>
      <c r="AF110" s="45"/>
      <c r="AG110" s="48"/>
      <c r="AI110" s="474"/>
    </row>
    <row r="111" spans="9:35" ht="13.5" customHeight="1" thickBot="1" x14ac:dyDescent="0.45">
      <c r="I111" s="818" t="s">
        <v>171</v>
      </c>
      <c r="J111" s="819"/>
      <c r="K111" s="818">
        <f t="shared" ref="K111:V111" si="93">SUM(K107:K110)</f>
        <v>19.955000000000005</v>
      </c>
      <c r="L111" s="818">
        <f t="shared" si="93"/>
        <v>101.7377</v>
      </c>
      <c r="M111" s="818">
        <f t="shared" si="93"/>
        <v>349.57130000000001</v>
      </c>
      <c r="N111" s="818">
        <f t="shared" si="93"/>
        <v>67.51400000000001</v>
      </c>
      <c r="O111" s="818">
        <f t="shared" si="93"/>
        <v>79.054500000000004</v>
      </c>
      <c r="P111" s="818">
        <f t="shared" si="93"/>
        <v>121.476</v>
      </c>
      <c r="Q111" s="818">
        <f t="shared" si="93"/>
        <v>90.999250000000018</v>
      </c>
      <c r="R111" s="818">
        <f t="shared" si="93"/>
        <v>134.39300000000003</v>
      </c>
      <c r="S111" s="818">
        <f t="shared" si="93"/>
        <v>94.425049999999999</v>
      </c>
      <c r="T111" s="818">
        <f t="shared" si="93"/>
        <v>102.02200000000002</v>
      </c>
      <c r="U111" s="818">
        <f t="shared" si="93"/>
        <v>89.279040000000009</v>
      </c>
      <c r="V111" s="818">
        <f t="shared" si="93"/>
        <v>145.96060000000003</v>
      </c>
      <c r="W111" s="820">
        <f t="shared" si="90"/>
        <v>1396.3874400000002</v>
      </c>
      <c r="X111" s="454"/>
      <c r="Y111" s="466"/>
      <c r="AD111" s="470"/>
      <c r="AF111" s="45"/>
      <c r="AG111" s="48"/>
      <c r="AI111" s="474"/>
    </row>
    <row r="112" spans="9:35" ht="13.15" customHeight="1" x14ac:dyDescent="0.4">
      <c r="I112" s="454"/>
      <c r="K112" s="454"/>
      <c r="L112" s="454"/>
      <c r="M112" s="454"/>
      <c r="N112" s="454"/>
      <c r="O112" s="454"/>
      <c r="P112" s="454"/>
      <c r="Q112" s="454"/>
      <c r="R112" s="454"/>
      <c r="S112" s="454"/>
      <c r="T112" s="454"/>
      <c r="U112" s="454"/>
      <c r="V112" s="454"/>
      <c r="W112" s="461">
        <f t="shared" si="90"/>
        <v>0</v>
      </c>
      <c r="X112" s="454"/>
      <c r="Y112" s="466"/>
      <c r="AD112" s="470"/>
      <c r="AF112" s="45"/>
      <c r="AG112" s="48"/>
      <c r="AI112" s="474"/>
    </row>
    <row r="113" spans="9:25" ht="13.5" customHeight="1" thickBot="1" x14ac:dyDescent="0.45">
      <c r="I113" s="561" t="s">
        <v>172</v>
      </c>
      <c r="K113" s="797">
        <f t="shared" ref="K113:V113" si="94">K105-K111</f>
        <v>1613.0450000000001</v>
      </c>
      <c r="L113" s="797">
        <f t="shared" si="94"/>
        <v>3628.4522999999995</v>
      </c>
      <c r="M113" s="797">
        <f t="shared" si="94"/>
        <v>17859.108700000001</v>
      </c>
      <c r="N113" s="797">
        <f t="shared" si="94"/>
        <v>3715.4859999999999</v>
      </c>
      <c r="O113" s="797">
        <f t="shared" si="94"/>
        <v>3671.3254999999999</v>
      </c>
      <c r="P113" s="797">
        <f t="shared" si="94"/>
        <v>4737.1240000000007</v>
      </c>
      <c r="Q113" s="797">
        <f t="shared" si="94"/>
        <v>3694.3507500000001</v>
      </c>
      <c r="R113" s="797">
        <f t="shared" si="94"/>
        <v>7257.3670000000002</v>
      </c>
      <c r="S113" s="797">
        <f t="shared" si="94"/>
        <v>5260.8049499999997</v>
      </c>
      <c r="T113" s="797">
        <f t="shared" si="94"/>
        <v>5098.9780000000001</v>
      </c>
      <c r="U113" s="797">
        <f t="shared" si="94"/>
        <v>4250.7409600000001</v>
      </c>
      <c r="V113" s="797">
        <f t="shared" si="94"/>
        <v>7482.7993999999999</v>
      </c>
      <c r="W113" s="798">
        <f t="shared" si="90"/>
        <v>68269.582559999995</v>
      </c>
      <c r="X113" s="454"/>
      <c r="Y113" s="466"/>
    </row>
    <row r="114" spans="9:25" ht="13.15" customHeight="1" thickTop="1" x14ac:dyDescent="0.35">
      <c r="I114" s="454"/>
      <c r="K114" s="454"/>
      <c r="L114" s="454"/>
      <c r="M114" s="454"/>
      <c r="N114" s="454"/>
      <c r="O114" s="454"/>
      <c r="P114" s="454"/>
      <c r="Q114" s="454"/>
      <c r="R114" s="454"/>
      <c r="S114" s="454"/>
      <c r="T114" s="454"/>
      <c r="U114" s="454"/>
      <c r="V114" s="454"/>
      <c r="W114" s="454"/>
      <c r="X114" s="454"/>
    </row>
    <row r="115" spans="9:25" x14ac:dyDescent="0.35">
      <c r="K115" s="454"/>
      <c r="L115" s="454"/>
      <c r="M115" s="454"/>
      <c r="N115" s="454"/>
      <c r="O115" s="454"/>
      <c r="P115" s="454"/>
      <c r="Q115" s="454"/>
      <c r="R115" s="454"/>
      <c r="S115" s="454"/>
      <c r="T115" s="454"/>
      <c r="U115" s="454"/>
      <c r="V115" s="454"/>
      <c r="W115" s="454"/>
      <c r="X115" s="454"/>
    </row>
    <row r="116" spans="9:25" ht="13.15" customHeight="1" x14ac:dyDescent="0.4">
      <c r="I116" s="556" t="s">
        <v>173</v>
      </c>
      <c r="K116" s="577" t="s">
        <v>142</v>
      </c>
      <c r="L116" s="577" t="s">
        <v>143</v>
      </c>
      <c r="M116" s="577" t="s">
        <v>144</v>
      </c>
      <c r="N116" s="577" t="s">
        <v>145</v>
      </c>
      <c r="O116" s="577" t="s">
        <v>146</v>
      </c>
      <c r="P116" s="577" t="s">
        <v>147</v>
      </c>
      <c r="Q116" s="577" t="s">
        <v>148</v>
      </c>
      <c r="R116" s="577" t="s">
        <v>149</v>
      </c>
      <c r="S116" s="577" t="s">
        <v>150</v>
      </c>
      <c r="T116" s="577" t="s">
        <v>151</v>
      </c>
      <c r="U116" s="577" t="s">
        <v>152</v>
      </c>
      <c r="V116" s="577" t="s">
        <v>153</v>
      </c>
      <c r="W116" s="577" t="s">
        <v>19</v>
      </c>
      <c r="X116" s="423" t="s">
        <v>158</v>
      </c>
    </row>
    <row r="117" spans="9:25" x14ac:dyDescent="0.35">
      <c r="I117" s="426" t="s">
        <v>174</v>
      </c>
      <c r="K117" s="432">
        <f t="shared" ref="K117:K123" si="95">SUMIFS($E$150:$E$635,$A$150:$A$635,"&gt;31/12/2020",$A$150:$A$635,"&lt;1/2/2021",$G$150:$G$635,$I117)</f>
        <v>585</v>
      </c>
      <c r="L117" s="432">
        <f t="shared" ref="L117:L123" si="96">SUMIFS($E$150:$E$635,$A$150:$A$635,"&gt;31/1/2021",$A$150:$A$635,"&lt;1/3/2021",$G$150:$G$635,$I117)</f>
        <v>310</v>
      </c>
      <c r="M117" s="432">
        <f t="shared" ref="M117:M123" si="97">SUMIFS($E$150:$E$635,$A$150:$A$635,"&gt;28/2/2021",$A$150:$A$635,"&lt;1/4/2021",$G$150:$G$635,$I117)</f>
        <v>1629</v>
      </c>
      <c r="N117" s="432">
        <f t="shared" ref="N117:N123" si="98">SUMIFS($E$150:$E$635,$A$150:$A$635,"&gt;31/3/2021",$A$150:$A$635,"&lt;1/5/2021",$G$150:$G$635,$I117)</f>
        <v>2287</v>
      </c>
      <c r="O117" s="432">
        <f t="shared" ref="O117:O123" si="99">SUMIFS($E$150:$E$635,$A$150:$A$635,"&gt;30/4/2021",$A$150:$A$635,"&lt;1/6/2021",$G$150:$G$635,$I117)</f>
        <v>1327</v>
      </c>
      <c r="P117" s="432">
        <f t="shared" ref="P117:P123" si="100">SUMIFS($E$150:$E$635,$A$150:$A$635,"&gt;31/5/2021",$A$150:$A$635,"&lt;1/7/2021",$G$150:$G$635,$I117)</f>
        <v>2691.75</v>
      </c>
      <c r="Q117" s="432">
        <f t="shared" ref="Q117:Q123" si="101">SUMIFS($E$150:$E$635,$A$150:$A$635,"&gt;30/6/2021",$A$150:$A$635,"&lt;1/8/2021",$G$150:$G$635,$I117)</f>
        <v>1922</v>
      </c>
      <c r="R117" s="432">
        <f t="shared" ref="R117:R123" si="102">SUMIFS($E$150:$E$635,$A$150:$A$635,"&gt;31/7/2021",$A$150:$A$635,"&lt;1/9/2021",$G$150:$G$635,$I117)</f>
        <v>1895</v>
      </c>
      <c r="S117" s="432">
        <f t="shared" ref="S117:S123" si="103">SUMIFS($E$150:$E$635,$A$150:$A$635,"&gt;31/8/2021",$A$150:$A$635,"&lt;1/10/2021",$G$150:$G$635,$I117)</f>
        <v>2129</v>
      </c>
      <c r="T117" s="432">
        <f t="shared" ref="T117:T123" si="104">SUMIFS($E$150:$E$635,$A$150:$A$635,"&gt;30/9/2021",$A$150:$A$635,"&lt;1/11/2021",$G$150:$G$635,$I117)</f>
        <v>3217</v>
      </c>
      <c r="U117" s="432">
        <f t="shared" ref="U117:U123" si="105">SUMIFS($E$150:$E$635,$A$150:$A$635,"&gt;31/10/2021",$A$150:$A$635,"&lt;1/12/2021",$G$150:$G$635,$I117)</f>
        <v>1689</v>
      </c>
      <c r="V117" s="432">
        <f t="shared" ref="V117:V123" si="106">SUMIFS($E$150:$E$635,$A$150:$A$635,"&gt;30/11/2021",$A$150:$A$635,"&lt;1/1/2022",$G$150:$G$635,$I117)</f>
        <v>4456</v>
      </c>
      <c r="W117" s="432">
        <f t="shared" ref="W117:W123" si="107">SUM(K117:V117)</f>
        <v>24137.75</v>
      </c>
      <c r="X117" s="460">
        <f t="shared" ref="X117:X124" si="108">IFERROR(W117/$W$124,0)</f>
        <v>0.34647834516622678</v>
      </c>
    </row>
    <row r="118" spans="9:25" x14ac:dyDescent="0.35">
      <c r="I118" s="426" t="s">
        <v>175</v>
      </c>
      <c r="K118" s="432">
        <f t="shared" si="95"/>
        <v>1048</v>
      </c>
      <c r="L118" s="432">
        <f t="shared" si="96"/>
        <v>3420.19</v>
      </c>
      <c r="M118" s="432">
        <f t="shared" si="97"/>
        <v>15865.68</v>
      </c>
      <c r="N118" s="432">
        <f t="shared" si="98"/>
        <v>1298</v>
      </c>
      <c r="O118" s="432">
        <f t="shared" si="99"/>
        <v>2423.38</v>
      </c>
      <c r="P118" s="432">
        <f t="shared" si="100"/>
        <v>1806.85</v>
      </c>
      <c r="Q118" s="432">
        <f t="shared" si="101"/>
        <v>1863.35</v>
      </c>
      <c r="R118" s="432">
        <f t="shared" si="102"/>
        <v>5496.76</v>
      </c>
      <c r="S118" s="432">
        <f t="shared" si="103"/>
        <v>1981.23</v>
      </c>
      <c r="T118" s="432">
        <f t="shared" si="104"/>
        <v>1687</v>
      </c>
      <c r="U118" s="432">
        <f t="shared" si="105"/>
        <v>2651.0200000000004</v>
      </c>
      <c r="V118" s="432">
        <f t="shared" si="106"/>
        <v>3122.76</v>
      </c>
      <c r="W118" s="432">
        <f t="shared" si="107"/>
        <v>42664.220000000008</v>
      </c>
      <c r="X118" s="460">
        <f t="shared" si="108"/>
        <v>0.61241119588229387</v>
      </c>
    </row>
    <row r="119" spans="9:25" x14ac:dyDescent="0.35">
      <c r="I119" s="426" t="s">
        <v>1311</v>
      </c>
      <c r="K119" s="432">
        <f t="shared" si="95"/>
        <v>0</v>
      </c>
      <c r="L119" s="432">
        <f t="shared" si="96"/>
        <v>0</v>
      </c>
      <c r="M119" s="432">
        <f t="shared" si="97"/>
        <v>0</v>
      </c>
      <c r="N119" s="432">
        <f t="shared" si="98"/>
        <v>0</v>
      </c>
      <c r="O119" s="432">
        <f t="shared" si="99"/>
        <v>0</v>
      </c>
      <c r="P119" s="432">
        <f t="shared" si="100"/>
        <v>0</v>
      </c>
      <c r="Q119" s="432">
        <f t="shared" si="101"/>
        <v>0</v>
      </c>
      <c r="R119" s="432">
        <f t="shared" si="102"/>
        <v>0</v>
      </c>
      <c r="S119" s="432">
        <f t="shared" si="103"/>
        <v>0</v>
      </c>
      <c r="T119" s="432">
        <f t="shared" si="104"/>
        <v>0</v>
      </c>
      <c r="U119" s="432">
        <f t="shared" si="105"/>
        <v>0</v>
      </c>
      <c r="V119" s="432">
        <f t="shared" si="106"/>
        <v>0</v>
      </c>
      <c r="W119" s="432">
        <f t="shared" si="107"/>
        <v>0</v>
      </c>
      <c r="X119" s="460">
        <f t="shared" si="108"/>
        <v>0</v>
      </c>
    </row>
    <row r="120" spans="9:25" x14ac:dyDescent="0.35">
      <c r="I120" s="45" t="s">
        <v>176</v>
      </c>
      <c r="K120" s="432">
        <f t="shared" si="95"/>
        <v>0</v>
      </c>
      <c r="L120" s="432">
        <f t="shared" si="96"/>
        <v>0</v>
      </c>
      <c r="M120" s="432">
        <f t="shared" si="97"/>
        <v>318</v>
      </c>
      <c r="N120" s="432">
        <f t="shared" si="98"/>
        <v>99</v>
      </c>
      <c r="O120" s="432">
        <f t="shared" si="99"/>
        <v>0</v>
      </c>
      <c r="P120" s="432">
        <f t="shared" si="100"/>
        <v>360</v>
      </c>
      <c r="Q120" s="432">
        <f t="shared" si="101"/>
        <v>0</v>
      </c>
      <c r="R120" s="432">
        <f t="shared" si="102"/>
        <v>0</v>
      </c>
      <c r="S120" s="432">
        <f t="shared" si="103"/>
        <v>99</v>
      </c>
      <c r="T120" s="432">
        <f t="shared" si="104"/>
        <v>0</v>
      </c>
      <c r="U120" s="432">
        <f t="shared" si="105"/>
        <v>0</v>
      </c>
      <c r="V120" s="432">
        <f t="shared" si="106"/>
        <v>50</v>
      </c>
      <c r="W120" s="432">
        <f t="shared" si="107"/>
        <v>926</v>
      </c>
      <c r="X120" s="460">
        <f t="shared" si="108"/>
        <v>1.3291998948697622E-2</v>
      </c>
    </row>
    <row r="121" spans="9:25" x14ac:dyDescent="0.35">
      <c r="I121" s="426" t="s">
        <v>177</v>
      </c>
      <c r="K121" s="432">
        <f t="shared" si="95"/>
        <v>0</v>
      </c>
      <c r="L121" s="432">
        <f t="shared" si="96"/>
        <v>0</v>
      </c>
      <c r="M121" s="432">
        <f t="shared" si="97"/>
        <v>0</v>
      </c>
      <c r="N121" s="432">
        <f t="shared" si="98"/>
        <v>0</v>
      </c>
      <c r="O121" s="432">
        <f t="shared" si="99"/>
        <v>0</v>
      </c>
      <c r="P121" s="432">
        <f t="shared" si="100"/>
        <v>0</v>
      </c>
      <c r="Q121" s="432">
        <f t="shared" si="101"/>
        <v>0</v>
      </c>
      <c r="R121" s="432">
        <f t="shared" si="102"/>
        <v>0</v>
      </c>
      <c r="S121" s="432">
        <f t="shared" si="103"/>
        <v>699</v>
      </c>
      <c r="T121" s="432">
        <f t="shared" si="104"/>
        <v>297</v>
      </c>
      <c r="U121" s="432">
        <f t="shared" si="105"/>
        <v>0</v>
      </c>
      <c r="V121" s="432">
        <f t="shared" si="106"/>
        <v>0</v>
      </c>
      <c r="W121" s="432">
        <f t="shared" si="107"/>
        <v>996</v>
      </c>
      <c r="X121" s="460">
        <f t="shared" si="108"/>
        <v>1.4296793685640205E-2</v>
      </c>
    </row>
    <row r="122" spans="9:25" x14ac:dyDescent="0.35">
      <c r="I122" s="45" t="s">
        <v>179</v>
      </c>
      <c r="K122" s="432">
        <f t="shared" si="95"/>
        <v>0</v>
      </c>
      <c r="L122" s="432">
        <f t="shared" si="96"/>
        <v>0</v>
      </c>
      <c r="M122" s="432">
        <f t="shared" si="97"/>
        <v>396</v>
      </c>
      <c r="N122" s="432">
        <f t="shared" si="98"/>
        <v>99</v>
      </c>
      <c r="O122" s="432">
        <f t="shared" si="99"/>
        <v>0</v>
      </c>
      <c r="P122" s="432">
        <f t="shared" si="100"/>
        <v>0</v>
      </c>
      <c r="Q122" s="432">
        <f t="shared" si="101"/>
        <v>0</v>
      </c>
      <c r="R122" s="432">
        <f t="shared" si="102"/>
        <v>0</v>
      </c>
      <c r="S122" s="432">
        <f t="shared" si="103"/>
        <v>447</v>
      </c>
      <c r="T122" s="432">
        <f t="shared" si="104"/>
        <v>0</v>
      </c>
      <c r="U122" s="432">
        <f t="shared" si="105"/>
        <v>0</v>
      </c>
      <c r="V122" s="432">
        <f t="shared" si="106"/>
        <v>0</v>
      </c>
      <c r="W122" s="432">
        <f t="shared" si="107"/>
        <v>942</v>
      </c>
      <c r="X122" s="460">
        <f t="shared" si="108"/>
        <v>1.3521666317141639E-2</v>
      </c>
    </row>
    <row r="123" spans="9:25" x14ac:dyDescent="0.35">
      <c r="I123" s="426" t="s">
        <v>181</v>
      </c>
      <c r="K123" s="432">
        <f t="shared" si="95"/>
        <v>0</v>
      </c>
      <c r="L123" s="432">
        <f t="shared" si="96"/>
        <v>0</v>
      </c>
      <c r="M123" s="432">
        <f t="shared" si="97"/>
        <v>0</v>
      </c>
      <c r="N123" s="432">
        <f t="shared" si="98"/>
        <v>0</v>
      </c>
      <c r="O123" s="432">
        <f t="shared" si="99"/>
        <v>0</v>
      </c>
      <c r="P123" s="432">
        <f t="shared" si="100"/>
        <v>0</v>
      </c>
      <c r="Q123" s="432">
        <f t="shared" si="101"/>
        <v>0</v>
      </c>
      <c r="R123" s="432">
        <f t="shared" si="102"/>
        <v>0</v>
      </c>
      <c r="S123" s="432">
        <f t="shared" si="103"/>
        <v>0</v>
      </c>
      <c r="T123" s="432">
        <f t="shared" si="104"/>
        <v>0</v>
      </c>
      <c r="U123" s="432">
        <f t="shared" si="105"/>
        <v>0</v>
      </c>
      <c r="V123" s="432">
        <f t="shared" si="106"/>
        <v>0</v>
      </c>
      <c r="W123" s="432">
        <f t="shared" si="107"/>
        <v>0</v>
      </c>
      <c r="X123" s="460">
        <f t="shared" si="108"/>
        <v>0</v>
      </c>
    </row>
    <row r="124" spans="9:25" ht="13.15" customHeight="1" x14ac:dyDescent="0.4">
      <c r="I124" s="454"/>
      <c r="K124" s="444">
        <f t="shared" ref="K124:W124" si="109">SUM(K117:K123)</f>
        <v>1633</v>
      </c>
      <c r="L124" s="444">
        <f t="shared" si="109"/>
        <v>3730.19</v>
      </c>
      <c r="M124" s="444">
        <f t="shared" si="109"/>
        <v>18208.68</v>
      </c>
      <c r="N124" s="444">
        <f t="shared" si="109"/>
        <v>3783</v>
      </c>
      <c r="O124" s="444">
        <f t="shared" si="109"/>
        <v>3750.38</v>
      </c>
      <c r="P124" s="444">
        <f t="shared" si="109"/>
        <v>4858.6000000000004</v>
      </c>
      <c r="Q124" s="444">
        <f t="shared" si="109"/>
        <v>3785.35</v>
      </c>
      <c r="R124" s="444">
        <f t="shared" si="109"/>
        <v>7391.76</v>
      </c>
      <c r="S124" s="444">
        <f t="shared" si="109"/>
        <v>5355.23</v>
      </c>
      <c r="T124" s="444">
        <f t="shared" si="109"/>
        <v>5201</v>
      </c>
      <c r="U124" s="444">
        <f t="shared" si="109"/>
        <v>4340.0200000000004</v>
      </c>
      <c r="V124" s="444">
        <f t="shared" si="109"/>
        <v>7628.76</v>
      </c>
      <c r="W124" s="444">
        <f t="shared" si="109"/>
        <v>69665.97</v>
      </c>
      <c r="X124" s="460">
        <f t="shared" si="108"/>
        <v>1</v>
      </c>
      <c r="Y124" s="466"/>
    </row>
    <row r="125" spans="9:25" x14ac:dyDescent="0.35">
      <c r="J125" s="454"/>
      <c r="K125" s="454">
        <f t="shared" ref="K125:W125" si="110">K105-K124</f>
        <v>0</v>
      </c>
      <c r="L125" s="454">
        <f t="shared" si="110"/>
        <v>0</v>
      </c>
      <c r="M125" s="454">
        <f t="shared" si="110"/>
        <v>0</v>
      </c>
      <c r="N125" s="454">
        <f t="shared" si="110"/>
        <v>0</v>
      </c>
      <c r="O125" s="454">
        <f t="shared" si="110"/>
        <v>0</v>
      </c>
      <c r="P125" s="454">
        <f t="shared" si="110"/>
        <v>0</v>
      </c>
      <c r="Q125" s="454">
        <f t="shared" si="110"/>
        <v>0</v>
      </c>
      <c r="R125" s="454">
        <f t="shared" si="110"/>
        <v>0</v>
      </c>
      <c r="S125" s="454">
        <f t="shared" si="110"/>
        <v>0</v>
      </c>
      <c r="T125" s="454">
        <f t="shared" si="110"/>
        <v>0</v>
      </c>
      <c r="U125" s="454">
        <f t="shared" si="110"/>
        <v>0</v>
      </c>
      <c r="V125" s="454">
        <f t="shared" si="110"/>
        <v>0</v>
      </c>
      <c r="W125" s="454">
        <f t="shared" si="110"/>
        <v>0</v>
      </c>
      <c r="X125" s="454"/>
    </row>
    <row r="126" spans="9:25" ht="13.15" customHeight="1" x14ac:dyDescent="0.4">
      <c r="I126" s="556" t="s">
        <v>182</v>
      </c>
      <c r="K126" s="577" t="s">
        <v>142</v>
      </c>
      <c r="L126" s="577" t="s">
        <v>143</v>
      </c>
      <c r="M126" s="577" t="s">
        <v>144</v>
      </c>
      <c r="N126" s="577" t="s">
        <v>145</v>
      </c>
      <c r="O126" s="577" t="s">
        <v>146</v>
      </c>
      <c r="P126" s="577" t="s">
        <v>147</v>
      </c>
      <c r="Q126" s="577" t="s">
        <v>148</v>
      </c>
      <c r="R126" s="577" t="s">
        <v>149</v>
      </c>
      <c r="S126" s="577" t="s">
        <v>150</v>
      </c>
      <c r="T126" s="577" t="s">
        <v>151</v>
      </c>
      <c r="U126" s="577" t="s">
        <v>152</v>
      </c>
      <c r="V126" s="577" t="s">
        <v>153</v>
      </c>
      <c r="W126" s="577" t="s">
        <v>19</v>
      </c>
      <c r="X126" s="423" t="s">
        <v>158</v>
      </c>
      <c r="Y126" s="45"/>
    </row>
    <row r="127" spans="9:25" ht="13.15" customHeight="1" x14ac:dyDescent="0.4">
      <c r="I127" s="444" t="s">
        <v>183</v>
      </c>
      <c r="K127" s="454">
        <f t="shared" ref="K127:V127" si="111">SUM(K124-K118)</f>
        <v>585</v>
      </c>
      <c r="L127" s="454">
        <f t="shared" si="111"/>
        <v>310</v>
      </c>
      <c r="M127" s="454">
        <f t="shared" si="111"/>
        <v>2343</v>
      </c>
      <c r="N127" s="454">
        <f t="shared" si="111"/>
        <v>2485</v>
      </c>
      <c r="O127" s="454">
        <f t="shared" si="111"/>
        <v>1327</v>
      </c>
      <c r="P127" s="454">
        <f t="shared" si="111"/>
        <v>3051.7500000000005</v>
      </c>
      <c r="Q127" s="454">
        <f t="shared" si="111"/>
        <v>1922</v>
      </c>
      <c r="R127" s="454">
        <f t="shared" si="111"/>
        <v>1895</v>
      </c>
      <c r="S127" s="454">
        <f t="shared" si="111"/>
        <v>3373.9999999999995</v>
      </c>
      <c r="T127" s="454">
        <f t="shared" si="111"/>
        <v>3514</v>
      </c>
      <c r="U127" s="454">
        <f t="shared" si="111"/>
        <v>1689</v>
      </c>
      <c r="V127" s="454">
        <f t="shared" si="111"/>
        <v>4506</v>
      </c>
      <c r="W127" s="554">
        <f>SUM(K127:V127)</f>
        <v>27001.75</v>
      </c>
      <c r="X127" s="475">
        <f>W127/W129</f>
        <v>0.38758880411770624</v>
      </c>
      <c r="Y127" s="45"/>
    </row>
    <row r="128" spans="9:25" ht="13.15" customHeight="1" x14ac:dyDescent="0.4">
      <c r="I128" s="444" t="s">
        <v>184</v>
      </c>
      <c r="K128" s="454">
        <f t="shared" ref="K128:V128" si="112">K118</f>
        <v>1048</v>
      </c>
      <c r="L128" s="454">
        <f t="shared" si="112"/>
        <v>3420.19</v>
      </c>
      <c r="M128" s="454">
        <f t="shared" si="112"/>
        <v>15865.68</v>
      </c>
      <c r="N128" s="454">
        <f t="shared" si="112"/>
        <v>1298</v>
      </c>
      <c r="O128" s="454">
        <f t="shared" si="112"/>
        <v>2423.38</v>
      </c>
      <c r="P128" s="454">
        <f t="shared" si="112"/>
        <v>1806.85</v>
      </c>
      <c r="Q128" s="454">
        <f t="shared" si="112"/>
        <v>1863.35</v>
      </c>
      <c r="R128" s="454">
        <f t="shared" si="112"/>
        <v>5496.76</v>
      </c>
      <c r="S128" s="454">
        <f t="shared" si="112"/>
        <v>1981.23</v>
      </c>
      <c r="T128" s="454">
        <f t="shared" si="112"/>
        <v>1687</v>
      </c>
      <c r="U128" s="454">
        <f t="shared" si="112"/>
        <v>2651.0200000000004</v>
      </c>
      <c r="V128" s="454">
        <f t="shared" si="112"/>
        <v>3122.76</v>
      </c>
      <c r="W128" s="562">
        <f>SUM(K128:V128)</f>
        <v>42664.220000000008</v>
      </c>
      <c r="X128" s="475">
        <f>W128/W129</f>
        <v>0.61241119588229387</v>
      </c>
      <c r="Y128" s="45"/>
    </row>
    <row r="129" spans="9:24" ht="13.15" customHeight="1" x14ac:dyDescent="0.4">
      <c r="I129" s="444"/>
      <c r="K129" s="563">
        <f t="shared" ref="K129:W129" si="113">K127+K128</f>
        <v>1633</v>
      </c>
      <c r="L129" s="563">
        <f t="shared" si="113"/>
        <v>3730.19</v>
      </c>
      <c r="M129" s="563">
        <f t="shared" si="113"/>
        <v>18208.68</v>
      </c>
      <c r="N129" s="563">
        <f t="shared" si="113"/>
        <v>3783</v>
      </c>
      <c r="O129" s="563">
        <f t="shared" si="113"/>
        <v>3750.38</v>
      </c>
      <c r="P129" s="563">
        <f t="shared" si="113"/>
        <v>4858.6000000000004</v>
      </c>
      <c r="Q129" s="563">
        <f t="shared" si="113"/>
        <v>3785.35</v>
      </c>
      <c r="R129" s="563">
        <f t="shared" si="113"/>
        <v>7391.76</v>
      </c>
      <c r="S129" s="563">
        <f t="shared" si="113"/>
        <v>5355.23</v>
      </c>
      <c r="T129" s="563">
        <f t="shared" si="113"/>
        <v>5201</v>
      </c>
      <c r="U129" s="563">
        <f t="shared" si="113"/>
        <v>4340.0200000000004</v>
      </c>
      <c r="V129" s="563">
        <f t="shared" si="113"/>
        <v>7628.76</v>
      </c>
      <c r="W129" s="563">
        <f t="shared" si="113"/>
        <v>69665.97</v>
      </c>
      <c r="X129" s="564"/>
    </row>
    <row r="130" spans="9:24" x14ac:dyDescent="0.35">
      <c r="J130" s="454"/>
      <c r="K130" s="454"/>
      <c r="L130" s="454"/>
      <c r="M130" s="454"/>
      <c r="N130" s="454"/>
      <c r="O130" s="454"/>
      <c r="P130" s="454"/>
      <c r="Q130" s="454"/>
      <c r="R130" s="454"/>
      <c r="S130" s="454"/>
      <c r="T130" s="454"/>
      <c r="U130" s="454"/>
      <c r="V130" s="454"/>
      <c r="W130" s="454"/>
      <c r="X130" s="454"/>
    </row>
    <row r="131" spans="9:24" ht="13.15" customHeight="1" x14ac:dyDescent="0.4">
      <c r="I131" s="556" t="s">
        <v>185</v>
      </c>
      <c r="K131" s="577" t="s">
        <v>142</v>
      </c>
      <c r="L131" s="577" t="s">
        <v>143</v>
      </c>
      <c r="M131" s="577" t="s">
        <v>144</v>
      </c>
      <c r="N131" s="577" t="s">
        <v>145</v>
      </c>
      <c r="O131" s="577" t="s">
        <v>146</v>
      </c>
      <c r="P131" s="577" t="s">
        <v>147</v>
      </c>
      <c r="Q131" s="577" t="s">
        <v>148</v>
      </c>
      <c r="R131" s="577" t="s">
        <v>149</v>
      </c>
      <c r="S131" s="577" t="s">
        <v>150</v>
      </c>
      <c r="T131" s="577" t="s">
        <v>151</v>
      </c>
      <c r="U131" s="577" t="s">
        <v>152</v>
      </c>
      <c r="V131" s="577" t="s">
        <v>153</v>
      </c>
      <c r="W131" s="577" t="s">
        <v>19</v>
      </c>
      <c r="X131" s="423" t="s">
        <v>158</v>
      </c>
    </row>
    <row r="132" spans="9:24" ht="13.15" customHeight="1" x14ac:dyDescent="0.4">
      <c r="I132" s="444" t="s">
        <v>183</v>
      </c>
      <c r="K132" s="454">
        <f t="shared" ref="K132:V132" si="114">K64-K133</f>
        <v>9</v>
      </c>
      <c r="L132" s="454">
        <f t="shared" si="114"/>
        <v>9</v>
      </c>
      <c r="M132" s="454">
        <f t="shared" si="114"/>
        <v>18</v>
      </c>
      <c r="N132" s="454">
        <f t="shared" si="114"/>
        <v>15</v>
      </c>
      <c r="O132" s="454">
        <f t="shared" si="114"/>
        <v>11</v>
      </c>
      <c r="P132" s="454">
        <f t="shared" si="114"/>
        <v>16</v>
      </c>
      <c r="Q132" s="454">
        <f t="shared" si="114"/>
        <v>16</v>
      </c>
      <c r="R132" s="454">
        <f t="shared" si="114"/>
        <v>13</v>
      </c>
      <c r="S132" s="454">
        <f t="shared" si="114"/>
        <v>21</v>
      </c>
      <c r="T132" s="454">
        <f t="shared" si="114"/>
        <v>20</v>
      </c>
      <c r="U132" s="454">
        <f t="shared" si="114"/>
        <v>8</v>
      </c>
      <c r="V132" s="454">
        <f t="shared" si="114"/>
        <v>22</v>
      </c>
      <c r="W132" s="554">
        <f>SUM(K132:V132)</f>
        <v>178</v>
      </c>
      <c r="X132" s="475">
        <f>W132/W134</f>
        <v>0.37872340425531914</v>
      </c>
    </row>
    <row r="133" spans="9:24" ht="13.15" customHeight="1" x14ac:dyDescent="0.4">
      <c r="I133" s="561" t="s">
        <v>175</v>
      </c>
      <c r="K133" s="454">
        <f>COUNTIFS($A$150:$A$635,"&gt;31/12/2020",$A$150:$A$635,"&lt;1/2/2021",$G$150:$G$635,"Existing")</f>
        <v>18</v>
      </c>
      <c r="L133" s="432">
        <f>COUNTIFS($A$150:$A$635,"&gt;31/1/2021",$A$150:$A$635,"&lt;1/3/2021",$G$150:$G$635,$I133)</f>
        <v>37</v>
      </c>
      <c r="M133" s="432">
        <f>COUNTIFS($A$150:$A$635,"&gt;28/2/2021",$A$150:$A$635,"&lt;1/4/2021",$G$150:$G$635,$I133)</f>
        <v>49</v>
      </c>
      <c r="N133" s="432">
        <f>COUNTIFS($A$150:$A$635,"&gt;31/3/2021",$A$150:$A$635,"&lt;1/5/2021",$G$150:$G$635,$I133)</f>
        <v>15</v>
      </c>
      <c r="O133" s="432">
        <f>COUNTIFS($A$150:$A$635,"&gt;30/4/2021",$A$150:$A$635,"&lt;1/6/2021",$G$150:$G$635,$I133)</f>
        <v>26</v>
      </c>
      <c r="P133" s="432">
        <f>COUNTIFS($A$150:$A$635,"&gt;31/5/2021",$A$150:$A$635,"&lt;1/7/2021",$G$150:$G$635,$I133)</f>
        <v>13</v>
      </c>
      <c r="Q133" s="432">
        <f>COUNTIFS($A$150:$A$635,"&gt;30/6/2021",$A$150:$A$635,"&lt;1/8/2021",$G$150:$G$635,$I133)</f>
        <v>21</v>
      </c>
      <c r="R133" s="432">
        <f>COUNTIFS($A$150:$A$635,"&gt;31/7/2021",$A$150:$A$635,"&lt;1/9/2021",$G$150:$G$635,$I133)</f>
        <v>38</v>
      </c>
      <c r="S133" s="432">
        <f>COUNTIFS($A$150:$A$635,"&gt;31/8/2021",$A$150:$A$635,"&lt;1/10/2021",$G$150:$G$635,$I133)</f>
        <v>23</v>
      </c>
      <c r="T133" s="432">
        <f>COUNTIFS($A$150:$A$635,"&gt;30/9/2021",$A$150:$A$635,"&lt;1/11/2021",$G$150:$G$635,$I133)</f>
        <v>14</v>
      </c>
      <c r="U133" s="432">
        <f>COUNTIFS($A$150:$A$635,"&gt;31/10/2021",$A$150:$A$635,"&lt;1/12/2021",$G$150:$G$635,$I133)</f>
        <v>15</v>
      </c>
      <c r="V133" s="432">
        <f>COUNTIFS($A$150:$A$635,"&gt;30/11/2021",$A$150:$A$635,"&lt;1/1/2022",$G$150:$G$635,$I133)</f>
        <v>23</v>
      </c>
      <c r="W133" s="554">
        <f>SUM(K133:V133)</f>
        <v>292</v>
      </c>
      <c r="X133" s="475">
        <f>W133/$W$134</f>
        <v>0.62127659574468086</v>
      </c>
    </row>
    <row r="134" spans="9:24" ht="13.15" customHeight="1" x14ac:dyDescent="0.4">
      <c r="J134" s="454"/>
      <c r="K134" s="563">
        <f t="shared" ref="K134:W134" si="115">K132+K133</f>
        <v>27</v>
      </c>
      <c r="L134" s="563">
        <f t="shared" si="115"/>
        <v>46</v>
      </c>
      <c r="M134" s="563">
        <f t="shared" si="115"/>
        <v>67</v>
      </c>
      <c r="N134" s="563">
        <f t="shared" si="115"/>
        <v>30</v>
      </c>
      <c r="O134" s="563">
        <f t="shared" si="115"/>
        <v>37</v>
      </c>
      <c r="P134" s="563">
        <f t="shared" si="115"/>
        <v>29</v>
      </c>
      <c r="Q134" s="563">
        <f t="shared" si="115"/>
        <v>37</v>
      </c>
      <c r="R134" s="563">
        <f t="shared" si="115"/>
        <v>51</v>
      </c>
      <c r="S134" s="563">
        <f t="shared" si="115"/>
        <v>44</v>
      </c>
      <c r="T134" s="563">
        <f t="shared" si="115"/>
        <v>34</v>
      </c>
      <c r="U134" s="563">
        <f t="shared" si="115"/>
        <v>23</v>
      </c>
      <c r="V134" s="563">
        <f t="shared" si="115"/>
        <v>45</v>
      </c>
      <c r="W134" s="563">
        <f t="shared" si="115"/>
        <v>470</v>
      </c>
      <c r="X134" s="564"/>
    </row>
    <row r="135" spans="9:24" ht="13.15" customHeight="1" x14ac:dyDescent="0.4">
      <c r="J135" s="454"/>
      <c r="K135" s="613">
        <f t="shared" ref="K135:W135" si="116">K64-K134</f>
        <v>0</v>
      </c>
      <c r="L135" s="613">
        <f t="shared" si="116"/>
        <v>0</v>
      </c>
      <c r="M135" s="613">
        <f t="shared" si="116"/>
        <v>0</v>
      </c>
      <c r="N135" s="613">
        <f t="shared" si="116"/>
        <v>0</v>
      </c>
      <c r="O135" s="613">
        <f t="shared" si="116"/>
        <v>0</v>
      </c>
      <c r="P135" s="613">
        <f t="shared" si="116"/>
        <v>0</v>
      </c>
      <c r="Q135" s="613">
        <f t="shared" si="116"/>
        <v>0</v>
      </c>
      <c r="R135" s="613">
        <f t="shared" si="116"/>
        <v>0</v>
      </c>
      <c r="S135" s="613">
        <f t="shared" si="116"/>
        <v>0</v>
      </c>
      <c r="T135" s="613">
        <f t="shared" si="116"/>
        <v>0</v>
      </c>
      <c r="U135" s="613">
        <f t="shared" si="116"/>
        <v>0</v>
      </c>
      <c r="V135" s="613">
        <f t="shared" si="116"/>
        <v>0</v>
      </c>
      <c r="W135" s="613">
        <f t="shared" si="116"/>
        <v>0</v>
      </c>
      <c r="X135" s="475"/>
    </row>
    <row r="136" spans="9:24" ht="13.15" customHeight="1" x14ac:dyDescent="0.4">
      <c r="I136" s="556" t="s">
        <v>186</v>
      </c>
      <c r="K136" s="577" t="s">
        <v>142</v>
      </c>
      <c r="L136" s="577" t="s">
        <v>143</v>
      </c>
      <c r="M136" s="577" t="s">
        <v>144</v>
      </c>
      <c r="N136" s="577" t="s">
        <v>145</v>
      </c>
      <c r="O136" s="577" t="s">
        <v>146</v>
      </c>
      <c r="P136" s="577" t="s">
        <v>147</v>
      </c>
      <c r="Q136" s="577" t="s">
        <v>148</v>
      </c>
      <c r="R136" s="577" t="s">
        <v>149</v>
      </c>
      <c r="S136" s="577" t="s">
        <v>150</v>
      </c>
      <c r="T136" s="577" t="s">
        <v>151</v>
      </c>
      <c r="U136" s="577" t="s">
        <v>152</v>
      </c>
      <c r="V136" s="577" t="s">
        <v>153</v>
      </c>
      <c r="W136" s="577" t="s">
        <v>19</v>
      </c>
      <c r="X136" s="423" t="s">
        <v>158</v>
      </c>
    </row>
    <row r="137" spans="9:24" ht="13.15" customHeight="1" x14ac:dyDescent="0.4">
      <c r="I137" s="444" t="s">
        <v>183</v>
      </c>
      <c r="K137" s="454">
        <f t="shared" ref="K137:V137" si="117">IFERROR(K127/K132,0)</f>
        <v>65</v>
      </c>
      <c r="L137" s="454">
        <f t="shared" si="117"/>
        <v>34.444444444444443</v>
      </c>
      <c r="M137" s="454">
        <f t="shared" si="117"/>
        <v>130.16666666666666</v>
      </c>
      <c r="N137" s="454">
        <f t="shared" si="117"/>
        <v>165.66666666666666</v>
      </c>
      <c r="O137" s="454">
        <f t="shared" si="117"/>
        <v>120.63636363636364</v>
      </c>
      <c r="P137" s="454">
        <f t="shared" si="117"/>
        <v>190.73437500000003</v>
      </c>
      <c r="Q137" s="454">
        <f t="shared" si="117"/>
        <v>120.125</v>
      </c>
      <c r="R137" s="454">
        <f t="shared" si="117"/>
        <v>145.76923076923077</v>
      </c>
      <c r="S137" s="454">
        <f t="shared" si="117"/>
        <v>160.66666666666666</v>
      </c>
      <c r="T137" s="454">
        <f t="shared" si="117"/>
        <v>175.7</v>
      </c>
      <c r="U137" s="454">
        <f t="shared" si="117"/>
        <v>211.125</v>
      </c>
      <c r="V137" s="454">
        <f t="shared" si="117"/>
        <v>204.81818181818181</v>
      </c>
      <c r="W137" s="554">
        <f>AVERAGE(K137:V137)</f>
        <v>143.73771630568504</v>
      </c>
      <c r="X137" s="475">
        <f>W137/W139</f>
        <v>0.52738749284053887</v>
      </c>
    </row>
    <row r="138" spans="9:24" ht="13.15" customHeight="1" x14ac:dyDescent="0.4">
      <c r="I138" s="444" t="s">
        <v>184</v>
      </c>
      <c r="K138" s="454">
        <f t="shared" ref="K138:V138" si="118">IFERROR(K128/K133,0)</f>
        <v>58.222222222222221</v>
      </c>
      <c r="L138" s="454">
        <f t="shared" si="118"/>
        <v>92.437567567567569</v>
      </c>
      <c r="M138" s="454">
        <f t="shared" si="118"/>
        <v>323.78938775510204</v>
      </c>
      <c r="N138" s="454">
        <f t="shared" si="118"/>
        <v>86.533333333333331</v>
      </c>
      <c r="O138" s="454">
        <f t="shared" si="118"/>
        <v>93.206923076923076</v>
      </c>
      <c r="P138" s="454">
        <f t="shared" si="118"/>
        <v>138.98846153846154</v>
      </c>
      <c r="Q138" s="454">
        <f t="shared" si="118"/>
        <v>88.730952380952374</v>
      </c>
      <c r="R138" s="454">
        <f t="shared" si="118"/>
        <v>144.65157894736842</v>
      </c>
      <c r="S138" s="454">
        <f t="shared" si="118"/>
        <v>86.140434782608693</v>
      </c>
      <c r="T138" s="454">
        <f t="shared" si="118"/>
        <v>120.5</v>
      </c>
      <c r="U138" s="454">
        <f t="shared" si="118"/>
        <v>176.7346666666667</v>
      </c>
      <c r="V138" s="454">
        <f t="shared" si="118"/>
        <v>135.77217391304347</v>
      </c>
      <c r="W138" s="554">
        <f>AVERAGE(K138:V138)</f>
        <v>128.80897518202082</v>
      </c>
      <c r="X138" s="475">
        <f>W138/$W$139</f>
        <v>0.47261250715946107</v>
      </c>
    </row>
    <row r="139" spans="9:24" ht="13.15" customHeight="1" x14ac:dyDescent="0.4">
      <c r="J139" s="454"/>
      <c r="K139" s="563">
        <f t="shared" ref="K139:W139" si="119">K137+K138</f>
        <v>123.22222222222223</v>
      </c>
      <c r="L139" s="563">
        <f t="shared" si="119"/>
        <v>126.88201201201201</v>
      </c>
      <c r="M139" s="563">
        <f t="shared" si="119"/>
        <v>453.95605442176873</v>
      </c>
      <c r="N139" s="563">
        <f t="shared" si="119"/>
        <v>252.2</v>
      </c>
      <c r="O139" s="563">
        <f t="shared" si="119"/>
        <v>213.84328671328672</v>
      </c>
      <c r="P139" s="563">
        <f t="shared" si="119"/>
        <v>329.72283653846159</v>
      </c>
      <c r="Q139" s="563">
        <f t="shared" si="119"/>
        <v>208.85595238095237</v>
      </c>
      <c r="R139" s="563">
        <f t="shared" si="119"/>
        <v>290.42080971659919</v>
      </c>
      <c r="S139" s="563">
        <f t="shared" si="119"/>
        <v>246.80710144927536</v>
      </c>
      <c r="T139" s="563">
        <f t="shared" si="119"/>
        <v>296.2</v>
      </c>
      <c r="U139" s="563">
        <f t="shared" si="119"/>
        <v>387.85966666666673</v>
      </c>
      <c r="V139" s="563">
        <f t="shared" si="119"/>
        <v>340.59035573122526</v>
      </c>
      <c r="W139" s="563">
        <f t="shared" si="119"/>
        <v>272.54669148770586</v>
      </c>
      <c r="X139" s="564"/>
    </row>
    <row r="146" spans="1:7" ht="13.15" customHeight="1" x14ac:dyDescent="0.4">
      <c r="E146" s="605">
        <f>SUM(E150:E635)</f>
        <v>69665.969999999987</v>
      </c>
    </row>
    <row r="147" spans="1:7" ht="13.9" customHeight="1" x14ac:dyDescent="0.4">
      <c r="A147" s="482" t="s">
        <v>187</v>
      </c>
      <c r="B147" s="459" t="s">
        <v>188</v>
      </c>
      <c r="C147" s="459" t="s">
        <v>189</v>
      </c>
      <c r="D147" s="459" t="s">
        <v>190</v>
      </c>
      <c r="E147" s="483" t="s">
        <v>74</v>
      </c>
      <c r="F147" s="459" t="s">
        <v>75</v>
      </c>
      <c r="G147" s="459" t="s">
        <v>191</v>
      </c>
    </row>
    <row r="150" spans="1:7" ht="13.5" customHeight="1" x14ac:dyDescent="0.35">
      <c r="A150" s="838"/>
      <c r="B150" s="839"/>
      <c r="C150" s="840"/>
      <c r="D150" s="839"/>
      <c r="E150" s="841"/>
      <c r="F150" s="839"/>
      <c r="G150" s="839"/>
    </row>
    <row r="151" spans="1:7" ht="13.5" customHeight="1" x14ac:dyDescent="0.35">
      <c r="A151" s="838"/>
      <c r="B151" s="839"/>
      <c r="C151" s="840"/>
      <c r="D151" s="839"/>
      <c r="E151" s="841"/>
      <c r="F151" s="839"/>
      <c r="G151" s="839"/>
    </row>
    <row r="152" spans="1:7" ht="13.5" customHeight="1" x14ac:dyDescent="0.35">
      <c r="A152" s="838"/>
      <c r="B152" s="839"/>
      <c r="C152" s="840"/>
      <c r="D152" s="839"/>
      <c r="E152" s="841"/>
      <c r="F152" s="839"/>
      <c r="G152" s="839"/>
    </row>
    <row r="153" spans="1:7" ht="13.5" customHeight="1" x14ac:dyDescent="0.35">
      <c r="A153" s="838"/>
      <c r="B153" s="839"/>
      <c r="C153" s="840"/>
      <c r="D153" s="839"/>
      <c r="E153" s="841"/>
      <c r="F153" s="839"/>
      <c r="G153" s="839"/>
    </row>
    <row r="154" spans="1:7" ht="13.5" customHeight="1" x14ac:dyDescent="0.35">
      <c r="A154" s="838">
        <v>44561</v>
      </c>
      <c r="B154" s="839" t="s">
        <v>1970</v>
      </c>
      <c r="C154" s="840" t="s">
        <v>1274</v>
      </c>
      <c r="D154" s="839" t="s">
        <v>159</v>
      </c>
      <c r="E154" s="841">
        <v>525</v>
      </c>
      <c r="F154" s="839" t="s">
        <v>495</v>
      </c>
      <c r="G154" s="839" t="s">
        <v>174</v>
      </c>
    </row>
    <row r="155" spans="1:7" ht="13.5" customHeight="1" x14ac:dyDescent="0.35">
      <c r="A155" s="838">
        <v>44558</v>
      </c>
      <c r="B155" s="839" t="s">
        <v>1046</v>
      </c>
      <c r="C155" s="840" t="s">
        <v>1274</v>
      </c>
      <c r="D155" s="839" t="s">
        <v>159</v>
      </c>
      <c r="E155" s="841">
        <v>12</v>
      </c>
      <c r="F155" s="839" t="s">
        <v>324</v>
      </c>
      <c r="G155" s="839" t="s">
        <v>175</v>
      </c>
    </row>
    <row r="156" spans="1:7" ht="13.5" customHeight="1" x14ac:dyDescent="0.35">
      <c r="A156" s="838">
        <v>44558</v>
      </c>
      <c r="B156" s="839" t="s">
        <v>1693</v>
      </c>
      <c r="C156" s="840" t="s">
        <v>1274</v>
      </c>
      <c r="D156" s="839" t="s">
        <v>160</v>
      </c>
      <c r="E156" s="841">
        <v>12</v>
      </c>
      <c r="F156" s="839" t="s">
        <v>324</v>
      </c>
      <c r="G156" s="839" t="s">
        <v>175</v>
      </c>
    </row>
    <row r="157" spans="1:7" ht="13.5" customHeight="1" x14ac:dyDescent="0.35">
      <c r="A157" s="838">
        <v>44561</v>
      </c>
      <c r="B157" s="839" t="s">
        <v>78</v>
      </c>
      <c r="C157" s="840" t="s">
        <v>1282</v>
      </c>
      <c r="D157" s="839" t="s">
        <v>160</v>
      </c>
      <c r="E157" s="841">
        <v>75.959999999999994</v>
      </c>
      <c r="F157" s="839" t="s">
        <v>1971</v>
      </c>
      <c r="G157" s="839" t="s">
        <v>175</v>
      </c>
    </row>
    <row r="158" spans="1:7" ht="13.5" customHeight="1" x14ac:dyDescent="0.35">
      <c r="A158" s="838">
        <v>44557</v>
      </c>
      <c r="B158" s="839" t="s">
        <v>1972</v>
      </c>
      <c r="C158" s="840" t="s">
        <v>1282</v>
      </c>
      <c r="D158" s="839" t="s">
        <v>160</v>
      </c>
      <c r="E158" s="841">
        <v>200.8</v>
      </c>
      <c r="F158" s="839" t="s">
        <v>414</v>
      </c>
      <c r="G158" s="839" t="s">
        <v>175</v>
      </c>
    </row>
    <row r="159" spans="1:7" ht="13.5" customHeight="1" x14ac:dyDescent="0.35">
      <c r="A159" s="838">
        <v>44555</v>
      </c>
      <c r="B159" s="839" t="s">
        <v>1973</v>
      </c>
      <c r="C159" s="840" t="s">
        <v>1279</v>
      </c>
      <c r="D159" s="839" t="s">
        <v>159</v>
      </c>
      <c r="E159" s="841">
        <v>20</v>
      </c>
      <c r="F159" s="848" t="s">
        <v>1974</v>
      </c>
      <c r="G159" s="839" t="s">
        <v>175</v>
      </c>
    </row>
    <row r="160" spans="1:7" ht="13.5" customHeight="1" x14ac:dyDescent="0.35">
      <c r="A160" s="838">
        <v>44555</v>
      </c>
      <c r="B160" s="839" t="s">
        <v>1973</v>
      </c>
      <c r="C160" s="840" t="s">
        <v>1279</v>
      </c>
      <c r="D160" s="839" t="s">
        <v>165</v>
      </c>
      <c r="E160" s="841">
        <v>100</v>
      </c>
      <c r="F160" s="848" t="s">
        <v>1974</v>
      </c>
      <c r="G160" s="839" t="s">
        <v>175</v>
      </c>
    </row>
    <row r="161" spans="1:7" ht="13.5" customHeight="1" x14ac:dyDescent="0.35">
      <c r="A161" s="838">
        <v>44555</v>
      </c>
      <c r="B161" s="839" t="s">
        <v>1973</v>
      </c>
      <c r="C161" s="840" t="s">
        <v>1281</v>
      </c>
      <c r="D161" s="839" t="s">
        <v>165</v>
      </c>
      <c r="E161" s="841">
        <v>-100</v>
      </c>
      <c r="F161" s="848" t="s">
        <v>1974</v>
      </c>
      <c r="G161" s="839" t="s">
        <v>175</v>
      </c>
    </row>
    <row r="162" spans="1:7" ht="13.5" customHeight="1" x14ac:dyDescent="0.35">
      <c r="A162" s="838">
        <v>44555</v>
      </c>
      <c r="B162" s="839" t="s">
        <v>1975</v>
      </c>
      <c r="C162" s="840" t="s">
        <v>1274</v>
      </c>
      <c r="D162" s="839" t="s">
        <v>159</v>
      </c>
      <c r="E162" s="841">
        <v>24</v>
      </c>
      <c r="F162" s="839" t="s">
        <v>1976</v>
      </c>
      <c r="G162" s="839" t="s">
        <v>174</v>
      </c>
    </row>
    <row r="163" spans="1:7" ht="13.5" customHeight="1" x14ac:dyDescent="0.35">
      <c r="A163" s="838">
        <v>44553</v>
      </c>
      <c r="B163" s="839" t="s">
        <v>1977</v>
      </c>
      <c r="C163" s="840" t="s">
        <v>1280</v>
      </c>
      <c r="D163" s="839" t="s">
        <v>160</v>
      </c>
      <c r="E163" s="841">
        <v>30</v>
      </c>
      <c r="F163" s="839" t="s">
        <v>734</v>
      </c>
      <c r="G163" s="839" t="s">
        <v>175</v>
      </c>
    </row>
    <row r="164" spans="1:7" ht="13.5" customHeight="1" x14ac:dyDescent="0.35">
      <c r="A164" s="838">
        <v>44552</v>
      </c>
      <c r="B164" s="839" t="s">
        <v>1690</v>
      </c>
      <c r="C164" s="840" t="s">
        <v>1279</v>
      </c>
      <c r="D164" s="839" t="s">
        <v>159</v>
      </c>
      <c r="E164" s="841">
        <v>50</v>
      </c>
      <c r="F164" s="839" t="s">
        <v>1978</v>
      </c>
      <c r="G164" s="839" t="s">
        <v>175</v>
      </c>
    </row>
    <row r="165" spans="1:7" ht="13.5" customHeight="1" x14ac:dyDescent="0.35">
      <c r="A165" s="838">
        <v>44552</v>
      </c>
      <c r="B165" s="839" t="s">
        <v>1979</v>
      </c>
      <c r="C165" s="840" t="s">
        <v>1279</v>
      </c>
      <c r="D165" s="839" t="s">
        <v>159</v>
      </c>
      <c r="E165" s="841">
        <v>50</v>
      </c>
      <c r="F165" s="839" t="s">
        <v>1980</v>
      </c>
      <c r="G165" s="839" t="s">
        <v>174</v>
      </c>
    </row>
    <row r="166" spans="1:7" ht="13.5" customHeight="1" x14ac:dyDescent="0.35">
      <c r="A166" s="838">
        <v>44550</v>
      </c>
      <c r="B166" s="839" t="s">
        <v>1981</v>
      </c>
      <c r="C166" s="840" t="s">
        <v>1280</v>
      </c>
      <c r="D166" s="839" t="s">
        <v>159</v>
      </c>
      <c r="E166" s="841">
        <v>75</v>
      </c>
      <c r="F166" s="839" t="s">
        <v>734</v>
      </c>
      <c r="G166" s="839" t="s">
        <v>174</v>
      </c>
    </row>
    <row r="167" spans="1:7" ht="13.5" customHeight="1" x14ac:dyDescent="0.35">
      <c r="A167" s="838">
        <v>44550</v>
      </c>
      <c r="B167" s="839" t="s">
        <v>1982</v>
      </c>
      <c r="C167" s="840" t="s">
        <v>1278</v>
      </c>
      <c r="D167" s="839" t="s">
        <v>159</v>
      </c>
      <c r="E167" s="841">
        <v>20</v>
      </c>
      <c r="F167" s="839" t="s">
        <v>293</v>
      </c>
      <c r="G167" s="839" t="s">
        <v>174</v>
      </c>
    </row>
    <row r="168" spans="1:7" ht="13.5" customHeight="1" x14ac:dyDescent="0.35">
      <c r="A168" s="838">
        <v>44550</v>
      </c>
      <c r="B168" s="839" t="s">
        <v>1983</v>
      </c>
      <c r="C168" s="840" t="s">
        <v>1279</v>
      </c>
      <c r="D168" s="839" t="s">
        <v>159</v>
      </c>
      <c r="E168" s="841">
        <v>360</v>
      </c>
      <c r="F168" s="839" t="s">
        <v>1984</v>
      </c>
      <c r="G168" s="839" t="s">
        <v>174</v>
      </c>
    </row>
    <row r="169" spans="1:7" ht="13.5" customHeight="1" x14ac:dyDescent="0.35">
      <c r="A169" s="838">
        <v>44548</v>
      </c>
      <c r="B169" s="839" t="s">
        <v>1985</v>
      </c>
      <c r="C169" s="840" t="s">
        <v>1280</v>
      </c>
      <c r="D169" s="839" t="s">
        <v>159</v>
      </c>
      <c r="E169" s="841">
        <v>50</v>
      </c>
      <c r="F169" s="839" t="s">
        <v>734</v>
      </c>
      <c r="G169" s="839" t="s">
        <v>174</v>
      </c>
    </row>
    <row r="170" spans="1:7" ht="13.5" customHeight="1" x14ac:dyDescent="0.35">
      <c r="A170" s="838">
        <v>44547</v>
      </c>
      <c r="B170" s="839" t="s">
        <v>784</v>
      </c>
      <c r="C170" s="840" t="s">
        <v>1274</v>
      </c>
      <c r="D170" s="839" t="s">
        <v>162</v>
      </c>
      <c r="E170" s="841">
        <v>80</v>
      </c>
      <c r="F170" s="839" t="s">
        <v>1986</v>
      </c>
      <c r="G170" s="839" t="s">
        <v>175</v>
      </c>
    </row>
    <row r="171" spans="1:7" ht="13.5" customHeight="1" x14ac:dyDescent="0.35">
      <c r="A171" s="838">
        <v>44547</v>
      </c>
      <c r="B171" s="839" t="s">
        <v>1987</v>
      </c>
      <c r="C171" s="840" t="s">
        <v>1280</v>
      </c>
      <c r="D171" s="839" t="s">
        <v>159</v>
      </c>
      <c r="E171" s="841">
        <v>600</v>
      </c>
      <c r="F171" s="839" t="s">
        <v>734</v>
      </c>
      <c r="G171" s="839" t="s">
        <v>174</v>
      </c>
    </row>
    <row r="172" spans="1:7" ht="13.5" customHeight="1" x14ac:dyDescent="0.35">
      <c r="A172" s="838">
        <v>44547</v>
      </c>
      <c r="B172" s="839" t="s">
        <v>1988</v>
      </c>
      <c r="C172" s="840" t="s">
        <v>1279</v>
      </c>
      <c r="D172" s="839" t="s">
        <v>159</v>
      </c>
      <c r="E172" s="841">
        <v>360</v>
      </c>
      <c r="F172" s="839" t="s">
        <v>1984</v>
      </c>
      <c r="G172" s="839" t="s">
        <v>174</v>
      </c>
    </row>
    <row r="173" spans="1:7" ht="13.5" customHeight="1" x14ac:dyDescent="0.35">
      <c r="A173" s="838">
        <v>44546</v>
      </c>
      <c r="B173" s="839" t="s">
        <v>1989</v>
      </c>
      <c r="C173" s="840" t="s">
        <v>1279</v>
      </c>
      <c r="D173" s="839" t="s">
        <v>159</v>
      </c>
      <c r="E173" s="841">
        <v>55</v>
      </c>
      <c r="F173" s="839" t="s">
        <v>1990</v>
      </c>
      <c r="G173" s="839" t="s">
        <v>174</v>
      </c>
    </row>
    <row r="174" spans="1:7" ht="13.5" customHeight="1" x14ac:dyDescent="0.35">
      <c r="A174" s="838">
        <v>44545</v>
      </c>
      <c r="B174" s="839" t="s">
        <v>1989</v>
      </c>
      <c r="C174" s="840" t="s">
        <v>1279</v>
      </c>
      <c r="D174" s="839" t="s">
        <v>159</v>
      </c>
      <c r="E174" s="841">
        <v>50</v>
      </c>
      <c r="F174" s="839" t="s">
        <v>1980</v>
      </c>
      <c r="G174" s="839" t="s">
        <v>175</v>
      </c>
    </row>
    <row r="175" spans="1:7" ht="13.5" customHeight="1" x14ac:dyDescent="0.35">
      <c r="A175" s="838">
        <v>44545</v>
      </c>
      <c r="B175" s="839" t="s">
        <v>87</v>
      </c>
      <c r="C175" s="840" t="s">
        <v>1282</v>
      </c>
      <c r="D175" s="839" t="s">
        <v>160</v>
      </c>
      <c r="E175" s="841">
        <v>622</v>
      </c>
      <c r="F175" s="839" t="s">
        <v>414</v>
      </c>
      <c r="G175" s="839" t="s">
        <v>175</v>
      </c>
    </row>
    <row r="176" spans="1:7" ht="13.5" customHeight="1" x14ac:dyDescent="0.35">
      <c r="A176" s="838">
        <v>44544</v>
      </c>
      <c r="B176" s="839" t="s">
        <v>1991</v>
      </c>
      <c r="C176" s="840" t="s">
        <v>1284</v>
      </c>
      <c r="D176" s="839" t="s">
        <v>159</v>
      </c>
      <c r="E176" s="841">
        <v>22</v>
      </c>
      <c r="F176" s="839" t="s">
        <v>1992</v>
      </c>
      <c r="G176" s="839" t="s">
        <v>174</v>
      </c>
    </row>
    <row r="177" spans="1:7" ht="13.5" customHeight="1" x14ac:dyDescent="0.35">
      <c r="A177" s="838">
        <v>44544</v>
      </c>
      <c r="B177" s="839" t="s">
        <v>1797</v>
      </c>
      <c r="C177" s="840" t="s">
        <v>1279</v>
      </c>
      <c r="D177" s="839" t="s">
        <v>159</v>
      </c>
      <c r="E177" s="841">
        <v>50</v>
      </c>
      <c r="F177" s="839" t="s">
        <v>1993</v>
      </c>
      <c r="G177" s="839" t="s">
        <v>176</v>
      </c>
    </row>
    <row r="178" spans="1:7" ht="13.5" customHeight="1" x14ac:dyDescent="0.35">
      <c r="A178" s="838">
        <v>44544</v>
      </c>
      <c r="B178" s="839" t="s">
        <v>1994</v>
      </c>
      <c r="C178" s="840" t="s">
        <v>1282</v>
      </c>
      <c r="D178" s="839" t="s">
        <v>159</v>
      </c>
      <c r="E178" s="841">
        <v>175</v>
      </c>
      <c r="F178" s="839" t="s">
        <v>1995</v>
      </c>
      <c r="G178" s="839" t="s">
        <v>174</v>
      </c>
    </row>
    <row r="179" spans="1:7" ht="13.5" customHeight="1" x14ac:dyDescent="0.35">
      <c r="A179" s="838">
        <v>44543</v>
      </c>
      <c r="B179" s="839" t="s">
        <v>1704</v>
      </c>
      <c r="C179" s="840" t="s">
        <v>1279</v>
      </c>
      <c r="D179" s="839" t="s">
        <v>159</v>
      </c>
      <c r="E179" s="841">
        <v>50</v>
      </c>
      <c r="F179" s="839" t="s">
        <v>1993</v>
      </c>
      <c r="G179" s="839" t="s">
        <v>175</v>
      </c>
    </row>
    <row r="180" spans="1:7" ht="13.5" customHeight="1" x14ac:dyDescent="0.35">
      <c r="A180" s="838">
        <v>44543</v>
      </c>
      <c r="B180" s="839" t="s">
        <v>1996</v>
      </c>
      <c r="C180" s="840" t="s">
        <v>1274</v>
      </c>
      <c r="D180" s="839" t="s">
        <v>159</v>
      </c>
      <c r="E180" s="841">
        <v>695</v>
      </c>
      <c r="F180" s="839" t="s">
        <v>1997</v>
      </c>
      <c r="G180" s="839" t="s">
        <v>174</v>
      </c>
    </row>
    <row r="181" spans="1:7" ht="13.5" customHeight="1" x14ac:dyDescent="0.35">
      <c r="A181" s="838">
        <v>44542</v>
      </c>
      <c r="B181" s="839" t="s">
        <v>1690</v>
      </c>
      <c r="C181" s="840" t="s">
        <v>1279</v>
      </c>
      <c r="D181" s="839" t="s">
        <v>159</v>
      </c>
      <c r="E181" s="841">
        <v>850</v>
      </c>
      <c r="F181" s="839" t="s">
        <v>1978</v>
      </c>
      <c r="G181" s="839" t="s">
        <v>175</v>
      </c>
    </row>
    <row r="182" spans="1:7" ht="13.5" customHeight="1" x14ac:dyDescent="0.35">
      <c r="A182" s="838">
        <v>44540</v>
      </c>
      <c r="B182" s="839" t="s">
        <v>1429</v>
      </c>
      <c r="C182" s="840" t="s">
        <v>1279</v>
      </c>
      <c r="D182" s="839" t="s">
        <v>159</v>
      </c>
      <c r="E182" s="841">
        <v>50</v>
      </c>
      <c r="F182" s="839" t="s">
        <v>1993</v>
      </c>
      <c r="G182" s="839" t="s">
        <v>175</v>
      </c>
    </row>
    <row r="183" spans="1:7" ht="13.5" customHeight="1" x14ac:dyDescent="0.35">
      <c r="A183" s="838">
        <v>44540</v>
      </c>
      <c r="B183" s="839" t="s">
        <v>1998</v>
      </c>
      <c r="C183" s="840" t="s">
        <v>1274</v>
      </c>
      <c r="D183" s="839" t="s">
        <v>160</v>
      </c>
      <c r="E183" s="841">
        <v>50</v>
      </c>
      <c r="F183" s="839" t="s">
        <v>1999</v>
      </c>
      <c r="G183" s="839" t="s">
        <v>174</v>
      </c>
    </row>
    <row r="184" spans="1:7" ht="13.5" customHeight="1" x14ac:dyDescent="0.35">
      <c r="A184" s="838">
        <v>44540</v>
      </c>
      <c r="B184" s="839" t="s">
        <v>1998</v>
      </c>
      <c r="C184" s="840" t="s">
        <v>1274</v>
      </c>
      <c r="D184" s="839" t="s">
        <v>159</v>
      </c>
      <c r="E184" s="841">
        <v>395</v>
      </c>
      <c r="F184" s="839" t="s">
        <v>1999</v>
      </c>
      <c r="G184" s="839" t="s">
        <v>174</v>
      </c>
    </row>
    <row r="185" spans="1:7" ht="13.5" customHeight="1" x14ac:dyDescent="0.35">
      <c r="A185" s="838">
        <v>44540</v>
      </c>
      <c r="B185" s="839" t="s">
        <v>2000</v>
      </c>
      <c r="C185" s="840" t="s">
        <v>1274</v>
      </c>
      <c r="D185" s="839" t="s">
        <v>159</v>
      </c>
      <c r="E185" s="841">
        <v>150</v>
      </c>
      <c r="F185" s="839" t="s">
        <v>235</v>
      </c>
      <c r="G185" s="839" t="s">
        <v>174</v>
      </c>
    </row>
    <row r="186" spans="1:7" ht="13.5" customHeight="1" x14ac:dyDescent="0.35">
      <c r="A186" s="838">
        <v>44538</v>
      </c>
      <c r="B186" s="839" t="s">
        <v>2001</v>
      </c>
      <c r="C186" s="840" t="s">
        <v>1280</v>
      </c>
      <c r="D186" s="839" t="s">
        <v>159</v>
      </c>
      <c r="E186" s="841">
        <v>100</v>
      </c>
      <c r="F186" s="839" t="s">
        <v>734</v>
      </c>
      <c r="G186" s="839" t="s">
        <v>174</v>
      </c>
    </row>
    <row r="187" spans="1:7" ht="13.5" customHeight="1" x14ac:dyDescent="0.35">
      <c r="A187" s="838">
        <v>44538</v>
      </c>
      <c r="B187" s="839" t="s">
        <v>2001</v>
      </c>
      <c r="C187" s="840" t="s">
        <v>1280</v>
      </c>
      <c r="D187" s="839" t="s">
        <v>159</v>
      </c>
      <c r="E187" s="841">
        <v>100</v>
      </c>
      <c r="F187" s="839" t="s">
        <v>734</v>
      </c>
      <c r="G187" s="839" t="s">
        <v>174</v>
      </c>
    </row>
    <row r="188" spans="1:7" ht="13.5" customHeight="1" x14ac:dyDescent="0.35">
      <c r="A188" s="838">
        <v>44538</v>
      </c>
      <c r="B188" s="839" t="s">
        <v>64</v>
      </c>
      <c r="C188" s="840" t="s">
        <v>1279</v>
      </c>
      <c r="D188" s="839" t="s">
        <v>159</v>
      </c>
      <c r="E188" s="841">
        <v>50</v>
      </c>
      <c r="F188" s="839" t="s">
        <v>1993</v>
      </c>
      <c r="G188" s="839" t="s">
        <v>175</v>
      </c>
    </row>
    <row r="189" spans="1:7" ht="13.5" customHeight="1" x14ac:dyDescent="0.35">
      <c r="A189" s="838">
        <v>44537</v>
      </c>
      <c r="B189" s="839" t="s">
        <v>2002</v>
      </c>
      <c r="C189" s="840" t="s">
        <v>28</v>
      </c>
      <c r="D189" s="839" t="s">
        <v>159</v>
      </c>
      <c r="E189" s="841">
        <v>250</v>
      </c>
      <c r="F189" s="839" t="s">
        <v>1025</v>
      </c>
      <c r="G189" s="839" t="s">
        <v>174</v>
      </c>
    </row>
    <row r="190" spans="1:7" ht="13.5" customHeight="1" x14ac:dyDescent="0.35">
      <c r="A190" s="838">
        <v>44536</v>
      </c>
      <c r="B190" s="839" t="s">
        <v>2003</v>
      </c>
      <c r="C190" s="840" t="s">
        <v>1274</v>
      </c>
      <c r="D190" s="839" t="s">
        <v>159</v>
      </c>
      <c r="E190" s="841">
        <v>125</v>
      </c>
      <c r="F190" s="839" t="s">
        <v>2004</v>
      </c>
      <c r="G190" s="839" t="s">
        <v>174</v>
      </c>
    </row>
    <row r="191" spans="1:7" ht="13.5" customHeight="1" x14ac:dyDescent="0.35">
      <c r="A191" s="838">
        <v>44536</v>
      </c>
      <c r="B191" s="839" t="s">
        <v>1690</v>
      </c>
      <c r="C191" s="840" t="s">
        <v>1279</v>
      </c>
      <c r="D191" s="839" t="s">
        <v>159</v>
      </c>
      <c r="E191" s="841">
        <v>50</v>
      </c>
      <c r="F191" s="839" t="s">
        <v>2005</v>
      </c>
      <c r="G191" s="839" t="s">
        <v>175</v>
      </c>
    </row>
    <row r="192" spans="1:7" ht="13.5" customHeight="1" x14ac:dyDescent="0.35">
      <c r="A192" s="838">
        <v>44535</v>
      </c>
      <c r="B192" s="839" t="s">
        <v>2006</v>
      </c>
      <c r="C192" s="840" t="s">
        <v>1281</v>
      </c>
      <c r="D192" s="839" t="s">
        <v>165</v>
      </c>
      <c r="E192" s="841">
        <v>-300</v>
      </c>
      <c r="F192" s="839" t="s">
        <v>1999</v>
      </c>
      <c r="G192" s="839" t="s">
        <v>175</v>
      </c>
    </row>
    <row r="193" spans="1:7" ht="13.5" customHeight="1" x14ac:dyDescent="0.35">
      <c r="A193" s="838">
        <v>44535</v>
      </c>
      <c r="B193" s="839" t="s">
        <v>2006</v>
      </c>
      <c r="C193" s="840" t="s">
        <v>1274</v>
      </c>
      <c r="D193" s="839" t="s">
        <v>165</v>
      </c>
      <c r="E193" s="841">
        <v>300</v>
      </c>
      <c r="F193" s="839" t="s">
        <v>1999</v>
      </c>
      <c r="G193" s="839" t="s">
        <v>175</v>
      </c>
    </row>
    <row r="194" spans="1:7" ht="13.5" customHeight="1" x14ac:dyDescent="0.35">
      <c r="A194" s="838">
        <v>44535</v>
      </c>
      <c r="B194" s="839" t="s">
        <v>2006</v>
      </c>
      <c r="C194" s="840" t="s">
        <v>1274</v>
      </c>
      <c r="D194" s="839" t="s">
        <v>160</v>
      </c>
      <c r="E194" s="841">
        <v>95</v>
      </c>
      <c r="F194" s="839" t="s">
        <v>1999</v>
      </c>
      <c r="G194" s="839" t="s">
        <v>175</v>
      </c>
    </row>
    <row r="195" spans="1:7" ht="13.5" customHeight="1" x14ac:dyDescent="0.35">
      <c r="A195" s="838">
        <v>44534</v>
      </c>
      <c r="B195" s="839" t="s">
        <v>2007</v>
      </c>
      <c r="C195" s="840" t="s">
        <v>1279</v>
      </c>
      <c r="D195" s="839" t="s">
        <v>160</v>
      </c>
      <c r="E195" s="841">
        <v>275</v>
      </c>
      <c r="F195" s="839" t="s">
        <v>2008</v>
      </c>
      <c r="G195" s="839" t="s">
        <v>174</v>
      </c>
    </row>
    <row r="196" spans="1:7" ht="13.5" customHeight="1" x14ac:dyDescent="0.35">
      <c r="A196" s="838">
        <v>44531</v>
      </c>
      <c r="B196" s="839" t="s">
        <v>1690</v>
      </c>
      <c r="C196" s="840" t="s">
        <v>1279</v>
      </c>
      <c r="D196" s="839" t="s">
        <v>159</v>
      </c>
      <c r="E196" s="841">
        <v>100</v>
      </c>
      <c r="F196" s="839" t="s">
        <v>2009</v>
      </c>
      <c r="G196" s="839" t="s">
        <v>175</v>
      </c>
    </row>
    <row r="197" spans="1:7" ht="13.5" customHeight="1" x14ac:dyDescent="0.35">
      <c r="A197" s="838">
        <v>44531</v>
      </c>
      <c r="B197" s="839" t="s">
        <v>1077</v>
      </c>
      <c r="C197" s="840" t="s">
        <v>1276</v>
      </c>
      <c r="D197" s="839" t="s">
        <v>161</v>
      </c>
      <c r="E197" s="841">
        <v>625</v>
      </c>
      <c r="F197" s="839" t="s">
        <v>1078</v>
      </c>
      <c r="G197" s="839" t="s">
        <v>175</v>
      </c>
    </row>
    <row r="198" spans="1:7" ht="13.5" customHeight="1" x14ac:dyDescent="0.35">
      <c r="A198" s="838">
        <v>44531</v>
      </c>
      <c r="B198" s="839" t="s">
        <v>292</v>
      </c>
      <c r="C198" s="840" t="s">
        <v>1278</v>
      </c>
      <c r="D198" s="840" t="s">
        <v>161</v>
      </c>
      <c r="E198" s="841">
        <v>100</v>
      </c>
      <c r="F198" s="840" t="s">
        <v>292</v>
      </c>
      <c r="G198" s="840" t="s">
        <v>175</v>
      </c>
    </row>
    <row r="199" spans="1:7" ht="13.5" customHeight="1" x14ac:dyDescent="0.35">
      <c r="A199" s="838"/>
      <c r="B199" s="839"/>
      <c r="C199" s="840"/>
      <c r="D199" s="839"/>
      <c r="E199" s="841"/>
      <c r="F199" s="839"/>
      <c r="G199" s="839"/>
    </row>
    <row r="200" spans="1:7" ht="13.5" customHeight="1" x14ac:dyDescent="0.35">
      <c r="A200" s="838">
        <v>44530</v>
      </c>
      <c r="B200" s="839" t="s">
        <v>2010</v>
      </c>
      <c r="C200" s="840" t="s">
        <v>1274</v>
      </c>
      <c r="D200" s="839" t="s">
        <v>159</v>
      </c>
      <c r="E200" s="841">
        <v>12</v>
      </c>
      <c r="F200" s="839" t="s">
        <v>324</v>
      </c>
      <c r="G200" s="839" t="s">
        <v>174</v>
      </c>
    </row>
    <row r="201" spans="1:7" ht="13.5" customHeight="1" x14ac:dyDescent="0.35">
      <c r="A201" s="838">
        <v>44524</v>
      </c>
      <c r="B201" s="839" t="s">
        <v>87</v>
      </c>
      <c r="C201" s="840" t="s">
        <v>1282</v>
      </c>
      <c r="D201" s="839" t="s">
        <v>160</v>
      </c>
      <c r="E201" s="841">
        <v>494.04</v>
      </c>
      <c r="F201" s="839" t="s">
        <v>1026</v>
      </c>
      <c r="G201" s="839" t="s">
        <v>175</v>
      </c>
    </row>
    <row r="202" spans="1:7" ht="13.5" customHeight="1" x14ac:dyDescent="0.35">
      <c r="A202" s="838">
        <v>44523</v>
      </c>
      <c r="B202" s="839" t="s">
        <v>2011</v>
      </c>
      <c r="C202" s="840" t="s">
        <v>1284</v>
      </c>
      <c r="D202" s="839" t="s">
        <v>160</v>
      </c>
      <c r="E202" s="841">
        <v>22</v>
      </c>
      <c r="F202" s="839" t="s">
        <v>1992</v>
      </c>
      <c r="G202" s="839" t="s">
        <v>175</v>
      </c>
    </row>
    <row r="203" spans="1:7" ht="13.5" customHeight="1" x14ac:dyDescent="0.35">
      <c r="A203" s="838">
        <v>44522</v>
      </c>
      <c r="B203" s="839" t="s">
        <v>1690</v>
      </c>
      <c r="C203" s="840" t="s">
        <v>1283</v>
      </c>
      <c r="D203" s="839" t="s">
        <v>159</v>
      </c>
      <c r="E203" s="841">
        <f>3484-4.99-8.99-2294.15</f>
        <v>1175.8700000000003</v>
      </c>
      <c r="F203" s="839" t="s">
        <v>1978</v>
      </c>
      <c r="G203" s="839" t="s">
        <v>175</v>
      </c>
    </row>
    <row r="204" spans="1:7" ht="13.5" customHeight="1" x14ac:dyDescent="0.35">
      <c r="A204" s="838">
        <v>44522</v>
      </c>
      <c r="B204" s="839" t="s">
        <v>2012</v>
      </c>
      <c r="C204" s="840" t="s">
        <v>1274</v>
      </c>
      <c r="D204" s="839" t="s">
        <v>159</v>
      </c>
      <c r="E204" s="841">
        <v>12</v>
      </c>
      <c r="F204" s="839" t="s">
        <v>324</v>
      </c>
      <c r="G204" s="839" t="s">
        <v>174</v>
      </c>
    </row>
    <row r="205" spans="1:7" ht="13.5" customHeight="1" x14ac:dyDescent="0.35">
      <c r="A205" s="838">
        <v>44522</v>
      </c>
      <c r="B205" s="839" t="s">
        <v>2013</v>
      </c>
      <c r="C205" s="840" t="s">
        <v>1274</v>
      </c>
      <c r="D205" s="839" t="s">
        <v>159</v>
      </c>
      <c r="E205" s="841">
        <v>525</v>
      </c>
      <c r="F205" s="839" t="s">
        <v>2014</v>
      </c>
      <c r="G205" s="839" t="s">
        <v>174</v>
      </c>
    </row>
    <row r="206" spans="1:7" ht="13.5" customHeight="1" x14ac:dyDescent="0.35">
      <c r="A206" s="838">
        <v>44521</v>
      </c>
      <c r="B206" s="839" t="s">
        <v>2015</v>
      </c>
      <c r="C206" s="840" t="s">
        <v>1280</v>
      </c>
      <c r="D206" s="839" t="s">
        <v>160</v>
      </c>
      <c r="E206" s="841">
        <v>30</v>
      </c>
      <c r="F206" s="839" t="s">
        <v>734</v>
      </c>
      <c r="G206" s="839" t="s">
        <v>174</v>
      </c>
    </row>
    <row r="207" spans="1:7" ht="13.5" customHeight="1" x14ac:dyDescent="0.35">
      <c r="A207" s="838">
        <v>44517</v>
      </c>
      <c r="B207" s="839" t="s">
        <v>2016</v>
      </c>
      <c r="C207" s="840" t="s">
        <v>1274</v>
      </c>
      <c r="D207" s="839" t="s">
        <v>159</v>
      </c>
      <c r="E207" s="841">
        <v>100</v>
      </c>
      <c r="F207" s="839" t="s">
        <v>2017</v>
      </c>
      <c r="G207" s="839" t="s">
        <v>175</v>
      </c>
    </row>
    <row r="208" spans="1:7" ht="13.5" customHeight="1" x14ac:dyDescent="0.35">
      <c r="A208" s="838">
        <v>44516</v>
      </c>
      <c r="B208" s="839" t="s">
        <v>1690</v>
      </c>
      <c r="C208" s="840" t="s">
        <v>1283</v>
      </c>
      <c r="D208" s="839" t="s">
        <v>159</v>
      </c>
      <c r="E208" s="841">
        <f>300-181.89</f>
        <v>118.11000000000001</v>
      </c>
      <c r="F208" s="839" t="s">
        <v>2018</v>
      </c>
      <c r="G208" s="839" t="s">
        <v>175</v>
      </c>
    </row>
    <row r="209" spans="1:7" ht="13.5" customHeight="1" x14ac:dyDescent="0.35">
      <c r="A209" s="838">
        <v>44516</v>
      </c>
      <c r="B209" s="839" t="s">
        <v>1690</v>
      </c>
      <c r="C209" s="840" t="s">
        <v>1279</v>
      </c>
      <c r="D209" s="839" t="s">
        <v>159</v>
      </c>
      <c r="E209" s="841">
        <f>300-182</f>
        <v>118</v>
      </c>
      <c r="F209" s="839" t="s">
        <v>2019</v>
      </c>
      <c r="G209" s="839" t="s">
        <v>175</v>
      </c>
    </row>
    <row r="210" spans="1:7" ht="13.5" customHeight="1" x14ac:dyDescent="0.35">
      <c r="A210" s="838">
        <v>44515</v>
      </c>
      <c r="B210" s="839" t="s">
        <v>2020</v>
      </c>
      <c r="C210" s="840" t="s">
        <v>1278</v>
      </c>
      <c r="D210" s="839" t="s">
        <v>159</v>
      </c>
      <c r="E210" s="841">
        <v>20</v>
      </c>
      <c r="F210" s="839" t="s">
        <v>2021</v>
      </c>
      <c r="G210" s="839" t="s">
        <v>175</v>
      </c>
    </row>
    <row r="211" spans="1:7" ht="13.5" customHeight="1" x14ac:dyDescent="0.35">
      <c r="A211" s="838">
        <v>44513</v>
      </c>
      <c r="B211" s="839" t="s">
        <v>1466</v>
      </c>
      <c r="C211" s="840" t="s">
        <v>1276</v>
      </c>
      <c r="D211" s="839" t="s">
        <v>160</v>
      </c>
      <c r="E211" s="841">
        <v>118</v>
      </c>
      <c r="F211" s="839" t="s">
        <v>2022</v>
      </c>
      <c r="G211" s="839" t="s">
        <v>175</v>
      </c>
    </row>
    <row r="212" spans="1:7" ht="13.5" customHeight="1" x14ac:dyDescent="0.35">
      <c r="A212" s="838">
        <v>44511</v>
      </c>
      <c r="B212" s="839" t="s">
        <v>1213</v>
      </c>
      <c r="C212" s="840" t="s">
        <v>1278</v>
      </c>
      <c r="D212" s="839" t="s">
        <v>159</v>
      </c>
      <c r="E212" s="841">
        <v>20</v>
      </c>
      <c r="F212" s="839" t="s">
        <v>2021</v>
      </c>
      <c r="G212" s="839" t="s">
        <v>174</v>
      </c>
    </row>
    <row r="213" spans="1:7" ht="13.5" customHeight="1" x14ac:dyDescent="0.35">
      <c r="A213" s="838">
        <v>44509</v>
      </c>
      <c r="B213" s="839" t="s">
        <v>1782</v>
      </c>
      <c r="C213" s="840" t="s">
        <v>1278</v>
      </c>
      <c r="D213" s="839" t="s">
        <v>159</v>
      </c>
      <c r="E213" s="841">
        <v>20</v>
      </c>
      <c r="F213" s="839" t="s">
        <v>2021</v>
      </c>
      <c r="G213" s="839" t="s">
        <v>174</v>
      </c>
    </row>
    <row r="214" spans="1:7" ht="13.5" customHeight="1" x14ac:dyDescent="0.35">
      <c r="A214" s="838">
        <v>44508</v>
      </c>
      <c r="B214" s="839" t="s">
        <v>2023</v>
      </c>
      <c r="C214" s="840" t="s">
        <v>1274</v>
      </c>
      <c r="D214" s="839" t="s">
        <v>159</v>
      </c>
      <c r="E214" s="841">
        <f>825-150</f>
        <v>675</v>
      </c>
      <c r="F214" s="839" t="s">
        <v>496</v>
      </c>
      <c r="G214" s="839" t="s">
        <v>174</v>
      </c>
    </row>
    <row r="215" spans="1:7" ht="13.5" customHeight="1" x14ac:dyDescent="0.35">
      <c r="A215" s="838">
        <v>44506</v>
      </c>
      <c r="B215" s="839" t="s">
        <v>2024</v>
      </c>
      <c r="C215" s="840" t="s">
        <v>1274</v>
      </c>
      <c r="D215" s="839" t="s">
        <v>159</v>
      </c>
      <c r="E215" s="841">
        <v>395</v>
      </c>
      <c r="F215" s="839" t="s">
        <v>2025</v>
      </c>
      <c r="G215" s="839" t="s">
        <v>174</v>
      </c>
    </row>
    <row r="216" spans="1:7" ht="13.5" customHeight="1" x14ac:dyDescent="0.35">
      <c r="A216" s="838">
        <v>44505</v>
      </c>
      <c r="B216" s="839" t="s">
        <v>1466</v>
      </c>
      <c r="C216" s="840" t="s">
        <v>1279</v>
      </c>
      <c r="D216" s="839" t="s">
        <v>166</v>
      </c>
      <c r="E216" s="841">
        <v>225</v>
      </c>
      <c r="F216" s="839" t="s">
        <v>1267</v>
      </c>
      <c r="G216" s="839" t="s">
        <v>175</v>
      </c>
    </row>
    <row r="217" spans="1:7" ht="13.5" customHeight="1" x14ac:dyDescent="0.35">
      <c r="A217" s="838">
        <v>44505</v>
      </c>
      <c r="B217" s="839" t="s">
        <v>1466</v>
      </c>
      <c r="C217" s="840" t="s">
        <v>1277</v>
      </c>
      <c r="D217" s="839" t="s">
        <v>166</v>
      </c>
      <c r="E217" s="841">
        <v>-225</v>
      </c>
      <c r="F217" s="839" t="s">
        <v>1267</v>
      </c>
      <c r="G217" s="839" t="s">
        <v>175</v>
      </c>
    </row>
    <row r="218" spans="1:7" ht="13.5" customHeight="1" x14ac:dyDescent="0.35">
      <c r="A218" s="838">
        <v>44502</v>
      </c>
      <c r="B218" s="839" t="s">
        <v>2026</v>
      </c>
      <c r="C218" s="840" t="s">
        <v>1279</v>
      </c>
      <c r="D218" s="839" t="s">
        <v>160</v>
      </c>
      <c r="E218" s="841">
        <v>110</v>
      </c>
      <c r="F218" s="839" t="s">
        <v>2027</v>
      </c>
      <c r="G218" s="839" t="s">
        <v>175</v>
      </c>
    </row>
    <row r="219" spans="1:7" ht="13.5" customHeight="1" x14ac:dyDescent="0.35">
      <c r="A219" s="838">
        <v>44502</v>
      </c>
      <c r="B219" s="839" t="s">
        <v>2026</v>
      </c>
      <c r="C219" s="840" t="s">
        <v>1279</v>
      </c>
      <c r="D219" s="839" t="s">
        <v>160</v>
      </c>
      <c r="E219" s="841">
        <v>110</v>
      </c>
      <c r="F219" s="839" t="s">
        <v>2027</v>
      </c>
      <c r="G219" s="839" t="s">
        <v>175</v>
      </c>
    </row>
    <row r="220" spans="1:7" ht="13.5" customHeight="1" x14ac:dyDescent="0.35">
      <c r="A220" s="838">
        <v>44501</v>
      </c>
      <c r="B220" s="839" t="s">
        <v>2028</v>
      </c>
      <c r="C220" s="840" t="s">
        <v>1274</v>
      </c>
      <c r="D220" s="839" t="s">
        <v>159</v>
      </c>
      <c r="E220" s="841">
        <v>50</v>
      </c>
      <c r="F220" s="839" t="s">
        <v>2029</v>
      </c>
      <c r="G220" s="839" t="s">
        <v>175</v>
      </c>
    </row>
    <row r="221" spans="1:7" ht="13.5" customHeight="1" x14ac:dyDescent="0.35">
      <c r="A221" s="838">
        <v>44501</v>
      </c>
      <c r="B221" s="839" t="s">
        <v>1077</v>
      </c>
      <c r="C221" s="840" t="s">
        <v>1276</v>
      </c>
      <c r="D221" s="839" t="s">
        <v>161</v>
      </c>
      <c r="E221" s="841">
        <v>175</v>
      </c>
      <c r="F221" s="839" t="s">
        <v>1078</v>
      </c>
      <c r="G221" s="839" t="s">
        <v>175</v>
      </c>
    </row>
    <row r="222" spans="1:7" ht="13.5" customHeight="1" x14ac:dyDescent="0.35">
      <c r="A222" s="838">
        <v>44501</v>
      </c>
      <c r="B222" s="839" t="s">
        <v>292</v>
      </c>
      <c r="C222" s="840" t="s">
        <v>1278</v>
      </c>
      <c r="D222" s="840" t="s">
        <v>161</v>
      </c>
      <c r="E222" s="841">
        <v>40</v>
      </c>
      <c r="F222" s="840" t="s">
        <v>292</v>
      </c>
      <c r="G222" s="840" t="s">
        <v>175</v>
      </c>
    </row>
    <row r="223" spans="1:7" ht="13.5" customHeight="1" x14ac:dyDescent="0.35">
      <c r="A223" s="838"/>
      <c r="B223" s="839"/>
      <c r="C223" s="840"/>
      <c r="D223" s="839"/>
      <c r="E223" s="841"/>
      <c r="F223" s="839"/>
      <c r="G223" s="839"/>
    </row>
    <row r="224" spans="1:7" ht="13.5" customHeight="1" x14ac:dyDescent="0.35">
      <c r="A224" s="838">
        <v>44500</v>
      </c>
      <c r="B224" s="839" t="s">
        <v>2030</v>
      </c>
      <c r="C224" s="840" t="s">
        <v>1274</v>
      </c>
      <c r="D224" s="839" t="s">
        <v>159</v>
      </c>
      <c r="E224" s="841">
        <v>550</v>
      </c>
      <c r="F224" s="839" t="s">
        <v>463</v>
      </c>
      <c r="G224" s="839" t="s">
        <v>175</v>
      </c>
    </row>
    <row r="225" spans="1:7" ht="13.5" customHeight="1" x14ac:dyDescent="0.35">
      <c r="A225" s="838">
        <v>44496</v>
      </c>
      <c r="B225" s="839" t="s">
        <v>1712</v>
      </c>
      <c r="C225" s="840" t="s">
        <v>1274</v>
      </c>
      <c r="D225" s="839" t="s">
        <v>165</v>
      </c>
      <c r="E225" s="841">
        <v>500</v>
      </c>
      <c r="F225" s="839" t="s">
        <v>504</v>
      </c>
      <c r="G225" s="839" t="s">
        <v>174</v>
      </c>
    </row>
    <row r="226" spans="1:7" ht="13.5" customHeight="1" x14ac:dyDescent="0.35">
      <c r="A226" s="838">
        <v>44496</v>
      </c>
      <c r="B226" s="839" t="s">
        <v>1712</v>
      </c>
      <c r="C226" s="840" t="s">
        <v>1281</v>
      </c>
      <c r="D226" s="839" t="s">
        <v>165</v>
      </c>
      <c r="E226" s="841">
        <v>-500</v>
      </c>
      <c r="F226" s="839" t="s">
        <v>504</v>
      </c>
      <c r="G226" s="839" t="s">
        <v>174</v>
      </c>
    </row>
    <row r="227" spans="1:7" ht="13.5" customHeight="1" x14ac:dyDescent="0.35">
      <c r="A227" s="838">
        <v>44496</v>
      </c>
      <c r="B227" s="839" t="s">
        <v>1712</v>
      </c>
      <c r="C227" s="840" t="s">
        <v>1274</v>
      </c>
      <c r="D227" s="839" t="s">
        <v>159</v>
      </c>
      <c r="E227" s="841">
        <v>-485</v>
      </c>
      <c r="F227" s="839" t="s">
        <v>504</v>
      </c>
      <c r="G227" s="839" t="s">
        <v>174</v>
      </c>
    </row>
    <row r="228" spans="1:7" ht="13.5" customHeight="1" x14ac:dyDescent="0.35">
      <c r="A228" s="838">
        <v>44495</v>
      </c>
      <c r="B228" s="839" t="s">
        <v>1802</v>
      </c>
      <c r="C228" s="840" t="s">
        <v>1284</v>
      </c>
      <c r="D228" s="839" t="s">
        <v>159</v>
      </c>
      <c r="E228" s="841">
        <v>17</v>
      </c>
      <c r="F228" s="839" t="s">
        <v>1381</v>
      </c>
      <c r="G228" s="839" t="s">
        <v>174</v>
      </c>
    </row>
    <row r="229" spans="1:7" ht="13.5" customHeight="1" x14ac:dyDescent="0.35">
      <c r="A229" s="838">
        <v>44497</v>
      </c>
      <c r="B229" s="839" t="s">
        <v>2031</v>
      </c>
      <c r="C229" s="840" t="s">
        <v>1274</v>
      </c>
      <c r="D229" s="839" t="s">
        <v>159</v>
      </c>
      <c r="E229" s="841">
        <v>695</v>
      </c>
      <c r="F229" s="839" t="s">
        <v>357</v>
      </c>
      <c r="G229" s="839" t="s">
        <v>174</v>
      </c>
    </row>
    <row r="230" spans="1:7" ht="13.5" customHeight="1" x14ac:dyDescent="0.35">
      <c r="A230" s="838">
        <v>44494</v>
      </c>
      <c r="B230" s="839" t="s">
        <v>2032</v>
      </c>
      <c r="C230" s="840" t="s">
        <v>1274</v>
      </c>
      <c r="D230" s="839" t="s">
        <v>159</v>
      </c>
      <c r="E230" s="841">
        <v>250</v>
      </c>
      <c r="F230" s="839" t="s">
        <v>230</v>
      </c>
      <c r="G230" s="839" t="s">
        <v>174</v>
      </c>
    </row>
    <row r="231" spans="1:7" ht="13.5" customHeight="1" x14ac:dyDescent="0.35">
      <c r="A231" s="838">
        <v>44494</v>
      </c>
      <c r="B231" s="839" t="s">
        <v>2033</v>
      </c>
      <c r="C231" s="840" t="s">
        <v>1274</v>
      </c>
      <c r="D231" s="839" t="s">
        <v>159</v>
      </c>
      <c r="E231" s="841">
        <v>1390</v>
      </c>
      <c r="F231" s="839" t="s">
        <v>2034</v>
      </c>
      <c r="G231" s="839" t="s">
        <v>174</v>
      </c>
    </row>
    <row r="232" spans="1:7" ht="13.5" customHeight="1" x14ac:dyDescent="0.35">
      <c r="A232" s="838">
        <v>44493</v>
      </c>
      <c r="B232" s="839" t="s">
        <v>1643</v>
      </c>
      <c r="C232" s="840" t="s">
        <v>1278</v>
      </c>
      <c r="D232" s="839" t="s">
        <v>159</v>
      </c>
      <c r="E232" s="841">
        <v>200</v>
      </c>
      <c r="F232" s="839" t="s">
        <v>293</v>
      </c>
      <c r="G232" s="839" t="s">
        <v>175</v>
      </c>
    </row>
    <row r="233" spans="1:7" ht="13.5" customHeight="1" x14ac:dyDescent="0.35">
      <c r="A233" s="838">
        <v>44492</v>
      </c>
      <c r="B233" s="839" t="s">
        <v>2035</v>
      </c>
      <c r="C233" s="840" t="s">
        <v>1274</v>
      </c>
      <c r="D233" s="839" t="s">
        <v>160</v>
      </c>
      <c r="E233" s="841">
        <v>24</v>
      </c>
      <c r="F233" s="839" t="s">
        <v>1085</v>
      </c>
      <c r="G233" s="839" t="s">
        <v>174</v>
      </c>
    </row>
    <row r="234" spans="1:7" ht="13.5" customHeight="1" x14ac:dyDescent="0.35">
      <c r="A234" s="838">
        <v>44491</v>
      </c>
      <c r="B234" s="839" t="s">
        <v>2036</v>
      </c>
      <c r="C234" s="840" t="s">
        <v>1274</v>
      </c>
      <c r="D234" s="839" t="s">
        <v>159</v>
      </c>
      <c r="E234" s="841">
        <v>198</v>
      </c>
      <c r="F234" s="839" t="s">
        <v>177</v>
      </c>
      <c r="G234" s="839" t="s">
        <v>177</v>
      </c>
    </row>
    <row r="235" spans="1:7" ht="13.5" customHeight="1" x14ac:dyDescent="0.35">
      <c r="A235" s="838">
        <v>44490</v>
      </c>
      <c r="B235" s="839" t="s">
        <v>2037</v>
      </c>
      <c r="C235" s="840" t="s">
        <v>28</v>
      </c>
      <c r="D235" s="839" t="s">
        <v>160</v>
      </c>
      <c r="E235" s="841">
        <v>250</v>
      </c>
      <c r="F235" s="839" t="s">
        <v>1025</v>
      </c>
      <c r="G235" s="839" t="s">
        <v>174</v>
      </c>
    </row>
    <row r="236" spans="1:7" ht="13.5" customHeight="1" x14ac:dyDescent="0.35">
      <c r="A236" s="838">
        <v>44490</v>
      </c>
      <c r="B236" s="839" t="s">
        <v>2038</v>
      </c>
      <c r="C236" s="840" t="s">
        <v>1284</v>
      </c>
      <c r="D236" s="839" t="s">
        <v>159</v>
      </c>
      <c r="E236" s="841">
        <v>17</v>
      </c>
      <c r="F236" s="839" t="s">
        <v>1381</v>
      </c>
      <c r="G236" s="839" t="s">
        <v>174</v>
      </c>
    </row>
    <row r="237" spans="1:7" ht="13.5" customHeight="1" x14ac:dyDescent="0.35">
      <c r="A237" s="838">
        <v>44489</v>
      </c>
      <c r="B237" s="839" t="s">
        <v>2028</v>
      </c>
      <c r="C237" s="840" t="s">
        <v>1274</v>
      </c>
      <c r="D237" s="839" t="s">
        <v>159</v>
      </c>
      <c r="E237" s="841">
        <v>99</v>
      </c>
      <c r="F237" s="839" t="s">
        <v>177</v>
      </c>
      <c r="G237" s="839" t="s">
        <v>177</v>
      </c>
    </row>
    <row r="238" spans="1:7" ht="13.5" customHeight="1" x14ac:dyDescent="0.35">
      <c r="A238" s="838">
        <v>44488</v>
      </c>
      <c r="B238" s="839" t="s">
        <v>2039</v>
      </c>
      <c r="C238" s="840" t="s">
        <v>1274</v>
      </c>
      <c r="D238" s="839" t="s">
        <v>160</v>
      </c>
      <c r="E238" s="841">
        <v>99</v>
      </c>
      <c r="F238" s="839" t="s">
        <v>177</v>
      </c>
      <c r="G238" s="839" t="s">
        <v>175</v>
      </c>
    </row>
    <row r="239" spans="1:7" ht="13.5" customHeight="1" x14ac:dyDescent="0.35">
      <c r="A239" s="838">
        <v>44488</v>
      </c>
      <c r="B239" s="839" t="s">
        <v>2040</v>
      </c>
      <c r="C239" s="840" t="s">
        <v>1274</v>
      </c>
      <c r="D239" s="839" t="s">
        <v>159</v>
      </c>
      <c r="E239" s="841">
        <v>99</v>
      </c>
      <c r="F239" s="839" t="s">
        <v>177</v>
      </c>
      <c r="G239" s="839" t="s">
        <v>175</v>
      </c>
    </row>
    <row r="240" spans="1:7" ht="13.5" customHeight="1" x14ac:dyDescent="0.35">
      <c r="A240" s="838">
        <v>44488</v>
      </c>
      <c r="B240" s="839" t="s">
        <v>2041</v>
      </c>
      <c r="C240" s="840" t="s">
        <v>1279</v>
      </c>
      <c r="D240" s="839" t="s">
        <v>159</v>
      </c>
      <c r="E240" s="841">
        <v>225</v>
      </c>
      <c r="F240" s="839" t="s">
        <v>1423</v>
      </c>
      <c r="G240" s="839" t="s">
        <v>175</v>
      </c>
    </row>
    <row r="241" spans="1:7" ht="13.5" customHeight="1" x14ac:dyDescent="0.35">
      <c r="A241" s="838">
        <v>44488</v>
      </c>
      <c r="B241" s="839" t="s">
        <v>1522</v>
      </c>
      <c r="C241" s="840" t="s">
        <v>1274</v>
      </c>
      <c r="D241" s="839" t="s">
        <v>160</v>
      </c>
      <c r="E241" s="841">
        <v>99</v>
      </c>
      <c r="F241" s="839" t="s">
        <v>177</v>
      </c>
      <c r="G241" s="839" t="s">
        <v>174</v>
      </c>
    </row>
    <row r="242" spans="1:7" ht="13.5" customHeight="1" x14ac:dyDescent="0.35">
      <c r="A242" s="838">
        <v>44487</v>
      </c>
      <c r="B242" s="839" t="s">
        <v>2042</v>
      </c>
      <c r="C242" s="840" t="s">
        <v>1274</v>
      </c>
      <c r="D242" s="839" t="s">
        <v>159</v>
      </c>
      <c r="E242" s="841">
        <v>99</v>
      </c>
      <c r="F242" s="839" t="s">
        <v>177</v>
      </c>
      <c r="G242" s="839" t="s">
        <v>174</v>
      </c>
    </row>
    <row r="243" spans="1:7" ht="13.5" customHeight="1" x14ac:dyDescent="0.35">
      <c r="A243" s="838">
        <v>44487</v>
      </c>
      <c r="B243" s="839" t="s">
        <v>2043</v>
      </c>
      <c r="C243" s="840" t="s">
        <v>1274</v>
      </c>
      <c r="D243" s="839" t="s">
        <v>159</v>
      </c>
      <c r="E243" s="841">
        <v>99</v>
      </c>
      <c r="F243" s="839" t="s">
        <v>177</v>
      </c>
      <c r="G243" s="839" t="s">
        <v>174</v>
      </c>
    </row>
    <row r="244" spans="1:7" ht="13.5" customHeight="1" x14ac:dyDescent="0.35">
      <c r="A244" s="838">
        <v>44486</v>
      </c>
      <c r="B244" s="839" t="s">
        <v>1466</v>
      </c>
      <c r="C244" s="840" t="s">
        <v>1274</v>
      </c>
      <c r="D244" s="839" t="s">
        <v>159</v>
      </c>
      <c r="E244" s="841">
        <v>99</v>
      </c>
      <c r="F244" s="839" t="s">
        <v>177</v>
      </c>
      <c r="G244" s="839" t="s">
        <v>175</v>
      </c>
    </row>
    <row r="245" spans="1:7" ht="13.5" customHeight="1" x14ac:dyDescent="0.35">
      <c r="A245" s="838">
        <v>44485</v>
      </c>
      <c r="B245" s="839" t="s">
        <v>1712</v>
      </c>
      <c r="C245" s="840" t="s">
        <v>1274</v>
      </c>
      <c r="D245" s="839" t="s">
        <v>159</v>
      </c>
      <c r="E245" s="841">
        <v>502</v>
      </c>
      <c r="F245" s="839" t="s">
        <v>504</v>
      </c>
      <c r="G245" s="839" t="s">
        <v>174</v>
      </c>
    </row>
    <row r="246" spans="1:7" ht="13.5" customHeight="1" x14ac:dyDescent="0.35">
      <c r="A246" s="838">
        <v>44484</v>
      </c>
      <c r="B246" s="839" t="s">
        <v>2044</v>
      </c>
      <c r="C246" s="840" t="s">
        <v>1283</v>
      </c>
      <c r="D246" s="839" t="s">
        <v>160</v>
      </c>
      <c r="E246" s="841">
        <v>150</v>
      </c>
      <c r="F246" s="839" t="s">
        <v>2045</v>
      </c>
      <c r="G246" s="839" t="s">
        <v>174</v>
      </c>
    </row>
    <row r="247" spans="1:7" ht="13.5" customHeight="1" x14ac:dyDescent="0.35">
      <c r="A247" s="838">
        <v>44484</v>
      </c>
      <c r="B247" s="839" t="s">
        <v>2046</v>
      </c>
      <c r="C247" s="840" t="s">
        <v>1274</v>
      </c>
      <c r="D247" s="839" t="s">
        <v>159</v>
      </c>
      <c r="E247" s="841">
        <v>50</v>
      </c>
      <c r="F247" s="839" t="s">
        <v>2047</v>
      </c>
      <c r="G247" s="839" t="s">
        <v>174</v>
      </c>
    </row>
    <row r="248" spans="1:7" ht="13.5" customHeight="1" x14ac:dyDescent="0.35">
      <c r="A248" s="838">
        <v>44484</v>
      </c>
      <c r="B248" s="839" t="s">
        <v>1704</v>
      </c>
      <c r="C248" s="840" t="s">
        <v>1279</v>
      </c>
      <c r="D248" s="839" t="s">
        <v>160</v>
      </c>
      <c r="E248" s="841">
        <v>50</v>
      </c>
      <c r="F248" s="839" t="s">
        <v>1377</v>
      </c>
      <c r="G248" s="839" t="s">
        <v>175</v>
      </c>
    </row>
    <row r="249" spans="1:7" ht="13.5" customHeight="1" x14ac:dyDescent="0.35">
      <c r="A249" s="838">
        <v>44476</v>
      </c>
      <c r="B249" s="839" t="s">
        <v>2048</v>
      </c>
      <c r="C249" s="840" t="s">
        <v>1280</v>
      </c>
      <c r="D249" s="839" t="s">
        <v>160</v>
      </c>
      <c r="E249" s="841">
        <v>50</v>
      </c>
      <c r="F249" s="839" t="s">
        <v>734</v>
      </c>
      <c r="G249" s="839" t="s">
        <v>175</v>
      </c>
    </row>
    <row r="250" spans="1:7" ht="13.5" customHeight="1" x14ac:dyDescent="0.35">
      <c r="A250" s="838">
        <v>44480</v>
      </c>
      <c r="B250" s="839" t="s">
        <v>2049</v>
      </c>
      <c r="C250" s="840" t="s">
        <v>28</v>
      </c>
      <c r="D250" s="839" t="s">
        <v>159</v>
      </c>
      <c r="E250" s="841">
        <v>30</v>
      </c>
      <c r="F250" s="839" t="s">
        <v>1236</v>
      </c>
      <c r="G250" s="839" t="s">
        <v>174</v>
      </c>
    </row>
    <row r="251" spans="1:7" ht="13.5" customHeight="1" x14ac:dyDescent="0.35">
      <c r="A251" s="838">
        <v>44480</v>
      </c>
      <c r="B251" s="839" t="s">
        <v>2041</v>
      </c>
      <c r="C251" s="840" t="s">
        <v>28</v>
      </c>
      <c r="D251" s="839" t="s">
        <v>159</v>
      </c>
      <c r="E251" s="841">
        <v>30</v>
      </c>
      <c r="F251" s="839" t="s">
        <v>1236</v>
      </c>
      <c r="G251" s="839" t="s">
        <v>174</v>
      </c>
    </row>
    <row r="252" spans="1:7" ht="13.5" customHeight="1" x14ac:dyDescent="0.35">
      <c r="A252" s="838">
        <v>44474</v>
      </c>
      <c r="B252" s="839" t="s">
        <v>346</v>
      </c>
      <c r="C252" s="840" t="s">
        <v>1279</v>
      </c>
      <c r="D252" s="839" t="s">
        <v>166</v>
      </c>
      <c r="E252" s="841">
        <v>135</v>
      </c>
      <c r="F252" s="839" t="s">
        <v>2050</v>
      </c>
      <c r="G252" s="839" t="s">
        <v>175</v>
      </c>
    </row>
    <row r="253" spans="1:7" ht="13.5" customHeight="1" x14ac:dyDescent="0.35">
      <c r="A253" s="838">
        <v>44474</v>
      </c>
      <c r="B253" s="839" t="s">
        <v>346</v>
      </c>
      <c r="C253" s="840" t="s">
        <v>1277</v>
      </c>
      <c r="D253" s="839" t="s">
        <v>166</v>
      </c>
      <c r="E253" s="841">
        <v>-135</v>
      </c>
      <c r="F253" s="839" t="s">
        <v>2050</v>
      </c>
      <c r="G253" s="839" t="s">
        <v>175</v>
      </c>
    </row>
    <row r="254" spans="1:7" ht="13.5" customHeight="1" x14ac:dyDescent="0.35">
      <c r="A254" s="838">
        <v>44470</v>
      </c>
      <c r="B254" s="839" t="s">
        <v>1077</v>
      </c>
      <c r="C254" s="840" t="s">
        <v>1276</v>
      </c>
      <c r="D254" s="839" t="s">
        <v>161</v>
      </c>
      <c r="E254" s="841">
        <v>175</v>
      </c>
      <c r="F254" s="839" t="s">
        <v>1078</v>
      </c>
      <c r="G254" s="839" t="s">
        <v>175</v>
      </c>
    </row>
    <row r="255" spans="1:7" ht="13.5" customHeight="1" x14ac:dyDescent="0.35">
      <c r="A255" s="838">
        <v>44470</v>
      </c>
      <c r="B255" s="839" t="s">
        <v>292</v>
      </c>
      <c r="C255" s="840" t="s">
        <v>1278</v>
      </c>
      <c r="D255" s="840" t="s">
        <v>161</v>
      </c>
      <c r="E255" s="841">
        <v>40</v>
      </c>
      <c r="F255" s="840" t="s">
        <v>292</v>
      </c>
      <c r="G255" s="840" t="s">
        <v>175</v>
      </c>
    </row>
    <row r="256" spans="1:7" ht="13.5" customHeight="1" x14ac:dyDescent="0.35">
      <c r="A256" s="838">
        <v>44470</v>
      </c>
      <c r="B256" s="839" t="s">
        <v>401</v>
      </c>
      <c r="C256" s="840" t="s">
        <v>1274</v>
      </c>
      <c r="D256" s="839" t="s">
        <v>159</v>
      </c>
      <c r="E256" s="841">
        <v>50</v>
      </c>
      <c r="F256" s="839" t="s">
        <v>472</v>
      </c>
      <c r="G256" s="839" t="s">
        <v>175</v>
      </c>
    </row>
    <row r="257" spans="1:7" ht="13.5" customHeight="1" x14ac:dyDescent="0.35">
      <c r="A257" s="838">
        <v>44470</v>
      </c>
      <c r="B257" s="839" t="s">
        <v>2051</v>
      </c>
      <c r="C257" s="840" t="s">
        <v>1274</v>
      </c>
      <c r="D257" s="839" t="s">
        <v>159</v>
      </c>
      <c r="E257" s="841">
        <v>50</v>
      </c>
      <c r="F257" s="839" t="s">
        <v>472</v>
      </c>
      <c r="G257" s="839" t="s">
        <v>175</v>
      </c>
    </row>
    <row r="258" spans="1:7" ht="13.5" customHeight="1" x14ac:dyDescent="0.35">
      <c r="A258" s="838"/>
      <c r="B258" s="839"/>
      <c r="C258" s="840"/>
      <c r="D258" s="839"/>
      <c r="E258" s="841"/>
      <c r="F258" s="839"/>
      <c r="G258" s="839"/>
    </row>
    <row r="259" spans="1:7" ht="13.5" customHeight="1" x14ac:dyDescent="0.35">
      <c r="A259" s="838">
        <v>44469</v>
      </c>
      <c r="B259" s="839" t="s">
        <v>1761</v>
      </c>
      <c r="C259" s="840" t="s">
        <v>1274</v>
      </c>
      <c r="D259" s="839" t="s">
        <v>159</v>
      </c>
      <c r="E259" s="841">
        <v>99</v>
      </c>
      <c r="F259" s="839" t="s">
        <v>177</v>
      </c>
      <c r="G259" s="839" t="s">
        <v>174</v>
      </c>
    </row>
    <row r="260" spans="1:7" ht="13.5" customHeight="1" x14ac:dyDescent="0.35">
      <c r="A260" s="838">
        <v>44469</v>
      </c>
      <c r="B260" s="839" t="s">
        <v>2052</v>
      </c>
      <c r="C260" s="840" t="s">
        <v>1274</v>
      </c>
      <c r="D260" s="839" t="s">
        <v>160</v>
      </c>
      <c r="E260" s="841">
        <v>99</v>
      </c>
      <c r="F260" s="839" t="s">
        <v>177</v>
      </c>
      <c r="G260" s="839" t="s">
        <v>174</v>
      </c>
    </row>
    <row r="261" spans="1:7" ht="13.5" customHeight="1" x14ac:dyDescent="0.35">
      <c r="A261" s="838">
        <v>44468</v>
      </c>
      <c r="B261" s="839" t="s">
        <v>2053</v>
      </c>
      <c r="C261" s="840" t="s">
        <v>1274</v>
      </c>
      <c r="D261" s="839" t="s">
        <v>159</v>
      </c>
      <c r="E261" s="841">
        <v>150</v>
      </c>
      <c r="F261" s="839" t="s">
        <v>177</v>
      </c>
      <c r="G261" s="839" t="s">
        <v>175</v>
      </c>
    </row>
    <row r="262" spans="1:7" ht="13.5" customHeight="1" x14ac:dyDescent="0.35">
      <c r="A262" s="838">
        <v>44468</v>
      </c>
      <c r="B262" s="839" t="s">
        <v>1009</v>
      </c>
      <c r="C262" s="840" t="s">
        <v>1274</v>
      </c>
      <c r="D262" s="839" t="s">
        <v>166</v>
      </c>
      <c r="E262" s="841">
        <v>825</v>
      </c>
      <c r="F262" s="839" t="s">
        <v>496</v>
      </c>
      <c r="G262" s="839" t="s">
        <v>175</v>
      </c>
    </row>
    <row r="263" spans="1:7" ht="13.5" customHeight="1" x14ac:dyDescent="0.35">
      <c r="A263" s="838">
        <v>44468</v>
      </c>
      <c r="B263" s="839" t="s">
        <v>1009</v>
      </c>
      <c r="C263" s="840" t="s">
        <v>1277</v>
      </c>
      <c r="D263" s="839" t="s">
        <v>166</v>
      </c>
      <c r="E263" s="841">
        <v>-825</v>
      </c>
      <c r="F263" s="839" t="s">
        <v>496</v>
      </c>
      <c r="G263" s="839" t="s">
        <v>175</v>
      </c>
    </row>
    <row r="264" spans="1:7" ht="13.5" customHeight="1" x14ac:dyDescent="0.35">
      <c r="A264" s="838">
        <v>44462</v>
      </c>
      <c r="B264" s="839" t="s">
        <v>2054</v>
      </c>
      <c r="C264" s="840" t="s">
        <v>1282</v>
      </c>
      <c r="D264" s="839" t="s">
        <v>160</v>
      </c>
      <c r="E264" s="841">
        <v>66.03</v>
      </c>
      <c r="F264" s="839" t="s">
        <v>414</v>
      </c>
      <c r="G264" s="839" t="s">
        <v>175</v>
      </c>
    </row>
    <row r="265" spans="1:7" ht="13.5" customHeight="1" x14ac:dyDescent="0.35">
      <c r="A265" s="838">
        <v>44461</v>
      </c>
      <c r="B265" s="839" t="s">
        <v>1555</v>
      </c>
      <c r="C265" s="840" t="s">
        <v>1274</v>
      </c>
      <c r="D265" s="839" t="s">
        <v>159</v>
      </c>
      <c r="E265" s="841">
        <v>150</v>
      </c>
      <c r="F265" s="839" t="s">
        <v>177</v>
      </c>
      <c r="G265" s="839" t="s">
        <v>179</v>
      </c>
    </row>
    <row r="266" spans="1:7" ht="13.5" customHeight="1" x14ac:dyDescent="0.35">
      <c r="A266" s="838">
        <v>44461</v>
      </c>
      <c r="B266" s="839" t="s">
        <v>2055</v>
      </c>
      <c r="C266" s="840" t="s">
        <v>1274</v>
      </c>
      <c r="D266" s="839" t="s">
        <v>159</v>
      </c>
      <c r="E266" s="841">
        <v>99</v>
      </c>
      <c r="F266" s="839" t="s">
        <v>177</v>
      </c>
      <c r="G266" s="839" t="s">
        <v>179</v>
      </c>
    </row>
    <row r="267" spans="1:7" ht="13.5" customHeight="1" x14ac:dyDescent="0.35">
      <c r="A267" s="838">
        <v>44460</v>
      </c>
      <c r="B267" s="839" t="s">
        <v>1102</v>
      </c>
      <c r="C267" s="840" t="s">
        <v>1274</v>
      </c>
      <c r="D267" s="839" t="s">
        <v>160</v>
      </c>
      <c r="E267" s="841">
        <v>198</v>
      </c>
      <c r="F267" s="839" t="s">
        <v>177</v>
      </c>
      <c r="G267" s="839" t="s">
        <v>175</v>
      </c>
    </row>
    <row r="268" spans="1:7" ht="13.5" customHeight="1" x14ac:dyDescent="0.35">
      <c r="A268" s="838">
        <v>44460</v>
      </c>
      <c r="B268" s="839" t="s">
        <v>2056</v>
      </c>
      <c r="C268" s="840" t="s">
        <v>1274</v>
      </c>
      <c r="D268" s="839" t="s">
        <v>159</v>
      </c>
      <c r="E268" s="841">
        <v>12</v>
      </c>
      <c r="F268" s="839" t="s">
        <v>324</v>
      </c>
      <c r="G268" s="839" t="s">
        <v>174</v>
      </c>
    </row>
    <row r="269" spans="1:7" ht="13.5" customHeight="1" x14ac:dyDescent="0.35">
      <c r="A269" s="838">
        <v>44460</v>
      </c>
      <c r="B269" s="839" t="s">
        <v>2057</v>
      </c>
      <c r="C269" s="840" t="s">
        <v>1274</v>
      </c>
      <c r="D269" s="839" t="s">
        <v>160</v>
      </c>
      <c r="E269" s="841">
        <v>24</v>
      </c>
      <c r="F269" s="839" t="s">
        <v>2058</v>
      </c>
      <c r="G269" s="839" t="s">
        <v>175</v>
      </c>
    </row>
    <row r="270" spans="1:7" ht="13.5" customHeight="1" x14ac:dyDescent="0.35">
      <c r="A270" s="838">
        <v>44459</v>
      </c>
      <c r="B270" s="839" t="s">
        <v>2059</v>
      </c>
      <c r="C270" s="840" t="s">
        <v>1283</v>
      </c>
      <c r="D270" s="839" t="s">
        <v>162</v>
      </c>
      <c r="E270" s="841">
        <v>500</v>
      </c>
      <c r="F270" s="839" t="s">
        <v>2060</v>
      </c>
      <c r="G270" s="839" t="s">
        <v>174</v>
      </c>
    </row>
    <row r="271" spans="1:7" ht="13.5" customHeight="1" x14ac:dyDescent="0.35">
      <c r="A271" s="838">
        <v>44458</v>
      </c>
      <c r="B271" s="839" t="s">
        <v>2061</v>
      </c>
      <c r="C271" s="840" t="s">
        <v>1274</v>
      </c>
      <c r="D271" s="839" t="s">
        <v>159</v>
      </c>
      <c r="E271" s="841">
        <v>99</v>
      </c>
      <c r="F271" s="839" t="s">
        <v>177</v>
      </c>
      <c r="G271" s="45" t="s">
        <v>176</v>
      </c>
    </row>
    <row r="272" spans="1:7" ht="13.5" customHeight="1" x14ac:dyDescent="0.35">
      <c r="A272" s="838">
        <v>44458</v>
      </c>
      <c r="B272" s="839" t="s">
        <v>1466</v>
      </c>
      <c r="C272" s="840" t="s">
        <v>1274</v>
      </c>
      <c r="D272" s="839" t="s">
        <v>166</v>
      </c>
      <c r="E272" s="841">
        <v>99</v>
      </c>
      <c r="F272" s="839" t="s">
        <v>177</v>
      </c>
      <c r="G272" s="839" t="s">
        <v>175</v>
      </c>
    </row>
    <row r="273" spans="1:7" ht="13.5" customHeight="1" x14ac:dyDescent="0.35">
      <c r="A273" s="838">
        <v>44458</v>
      </c>
      <c r="B273" s="839" t="s">
        <v>1466</v>
      </c>
      <c r="C273" s="840" t="s">
        <v>1277</v>
      </c>
      <c r="D273" s="839" t="s">
        <v>166</v>
      </c>
      <c r="E273" s="841">
        <v>-99</v>
      </c>
      <c r="F273" s="839" t="s">
        <v>177</v>
      </c>
      <c r="G273" s="839" t="s">
        <v>175</v>
      </c>
    </row>
    <row r="274" spans="1:7" ht="13.5" customHeight="1" x14ac:dyDescent="0.35">
      <c r="A274" s="838">
        <v>44458</v>
      </c>
      <c r="B274" s="839" t="s">
        <v>2062</v>
      </c>
      <c r="C274" s="840" t="s">
        <v>1274</v>
      </c>
      <c r="D274" s="839" t="s">
        <v>159</v>
      </c>
      <c r="E274" s="841">
        <v>150</v>
      </c>
      <c r="F274" s="839" t="s">
        <v>177</v>
      </c>
      <c r="G274" s="839" t="s">
        <v>177</v>
      </c>
    </row>
    <row r="275" spans="1:7" ht="13.5" customHeight="1" x14ac:dyDescent="0.35">
      <c r="A275" s="838">
        <v>44458</v>
      </c>
      <c r="B275" s="839" t="s">
        <v>1200</v>
      </c>
      <c r="C275" s="840" t="s">
        <v>1274</v>
      </c>
      <c r="D275" s="839" t="s">
        <v>159</v>
      </c>
      <c r="E275" s="841">
        <v>99</v>
      </c>
      <c r="F275" s="839" t="s">
        <v>177</v>
      </c>
      <c r="G275" s="839" t="s">
        <v>177</v>
      </c>
    </row>
    <row r="276" spans="1:7" ht="13.5" customHeight="1" x14ac:dyDescent="0.35">
      <c r="A276" s="838">
        <v>44455</v>
      </c>
      <c r="B276" s="839" t="s">
        <v>2063</v>
      </c>
      <c r="C276" s="840" t="s">
        <v>28</v>
      </c>
      <c r="D276" s="839" t="s">
        <v>160</v>
      </c>
      <c r="E276" s="841">
        <v>250</v>
      </c>
      <c r="F276" s="839" t="s">
        <v>2064</v>
      </c>
      <c r="G276" s="839" t="s">
        <v>175</v>
      </c>
    </row>
    <row r="277" spans="1:7" ht="13.5" customHeight="1" x14ac:dyDescent="0.35">
      <c r="A277" s="838">
        <v>44456</v>
      </c>
      <c r="B277" s="839" t="s">
        <v>401</v>
      </c>
      <c r="C277" s="840" t="s">
        <v>1274</v>
      </c>
      <c r="D277" s="839" t="s">
        <v>159</v>
      </c>
      <c r="E277" s="841">
        <v>12</v>
      </c>
      <c r="F277" s="839" t="s">
        <v>324</v>
      </c>
      <c r="G277" s="839" t="s">
        <v>175</v>
      </c>
    </row>
    <row r="278" spans="1:7" ht="13.5" customHeight="1" x14ac:dyDescent="0.35">
      <c r="A278" s="838">
        <v>44456</v>
      </c>
      <c r="B278" s="839" t="s">
        <v>2065</v>
      </c>
      <c r="C278" s="840" t="s">
        <v>1274</v>
      </c>
      <c r="D278" s="839" t="s">
        <v>159</v>
      </c>
      <c r="E278" s="841">
        <v>198</v>
      </c>
      <c r="F278" s="839" t="s">
        <v>177</v>
      </c>
      <c r="G278" s="839" t="s">
        <v>179</v>
      </c>
    </row>
    <row r="279" spans="1:7" ht="13.5" customHeight="1" x14ac:dyDescent="0.35">
      <c r="A279" s="838">
        <v>44454</v>
      </c>
      <c r="B279" s="839" t="s">
        <v>2066</v>
      </c>
      <c r="C279" s="840" t="s">
        <v>1274</v>
      </c>
      <c r="D279" s="839" t="s">
        <v>160</v>
      </c>
      <c r="E279" s="841">
        <v>12</v>
      </c>
      <c r="F279" s="839" t="s">
        <v>324</v>
      </c>
      <c r="G279" s="839" t="s">
        <v>175</v>
      </c>
    </row>
    <row r="280" spans="1:7" ht="13.5" customHeight="1" x14ac:dyDescent="0.35">
      <c r="A280" s="838">
        <v>44454</v>
      </c>
      <c r="B280" s="839" t="s">
        <v>2067</v>
      </c>
      <c r="C280" s="840" t="s">
        <v>28</v>
      </c>
      <c r="D280" s="839" t="s">
        <v>160</v>
      </c>
      <c r="E280" s="841">
        <v>230</v>
      </c>
      <c r="F280" s="839" t="s">
        <v>2068</v>
      </c>
      <c r="G280" s="839" t="s">
        <v>174</v>
      </c>
    </row>
    <row r="281" spans="1:7" ht="13.5" customHeight="1" x14ac:dyDescent="0.35">
      <c r="A281" s="838">
        <v>44452</v>
      </c>
      <c r="B281" s="839" t="s">
        <v>2069</v>
      </c>
      <c r="C281" s="840" t="s">
        <v>1274</v>
      </c>
      <c r="D281" s="839" t="s">
        <v>159</v>
      </c>
      <c r="E281" s="841">
        <v>300</v>
      </c>
      <c r="F281" s="839" t="s">
        <v>177</v>
      </c>
      <c r="G281" s="839" t="s">
        <v>177</v>
      </c>
    </row>
    <row r="282" spans="1:7" ht="13.5" customHeight="1" x14ac:dyDescent="0.35">
      <c r="A282" s="838">
        <v>44451</v>
      </c>
      <c r="B282" s="839" t="s">
        <v>2070</v>
      </c>
      <c r="C282" s="840" t="s">
        <v>1274</v>
      </c>
      <c r="D282" s="839" t="s">
        <v>159</v>
      </c>
      <c r="E282" s="841">
        <v>150</v>
      </c>
      <c r="F282" s="839" t="s">
        <v>235</v>
      </c>
      <c r="G282" s="839" t="s">
        <v>174</v>
      </c>
    </row>
    <row r="283" spans="1:7" ht="13.5" customHeight="1" x14ac:dyDescent="0.35">
      <c r="A283" s="838">
        <v>44450</v>
      </c>
      <c r="B283" s="839" t="s">
        <v>2051</v>
      </c>
      <c r="C283" s="840" t="s">
        <v>1274</v>
      </c>
      <c r="D283" s="839" t="s">
        <v>159</v>
      </c>
      <c r="E283" s="841">
        <v>150</v>
      </c>
      <c r="F283" s="839" t="s">
        <v>177</v>
      </c>
      <c r="G283" s="839" t="s">
        <v>177</v>
      </c>
    </row>
    <row r="284" spans="1:7" ht="13.5" customHeight="1" x14ac:dyDescent="0.35">
      <c r="A284" s="838">
        <v>44450</v>
      </c>
      <c r="B284" s="839" t="s">
        <v>2071</v>
      </c>
      <c r="C284" s="840" t="s">
        <v>1279</v>
      </c>
      <c r="D284" s="839" t="s">
        <v>159</v>
      </c>
      <c r="E284" s="841">
        <v>35</v>
      </c>
      <c r="F284" s="839" t="s">
        <v>1783</v>
      </c>
      <c r="G284" s="839" t="s">
        <v>175</v>
      </c>
    </row>
    <row r="285" spans="1:7" ht="13.5" customHeight="1" x14ac:dyDescent="0.35">
      <c r="A285" s="838">
        <v>44450</v>
      </c>
      <c r="B285" s="839" t="s">
        <v>2072</v>
      </c>
      <c r="C285" s="840" t="s">
        <v>1274</v>
      </c>
      <c r="D285" s="839" t="s">
        <v>159</v>
      </c>
      <c r="E285" s="841">
        <v>300</v>
      </c>
      <c r="F285" s="839" t="s">
        <v>177</v>
      </c>
      <c r="G285" s="839" t="s">
        <v>174</v>
      </c>
    </row>
    <row r="286" spans="1:7" ht="13.5" customHeight="1" x14ac:dyDescent="0.35">
      <c r="A286" s="838">
        <v>44449</v>
      </c>
      <c r="B286" s="839" t="s">
        <v>1704</v>
      </c>
      <c r="C286" s="840" t="s">
        <v>28</v>
      </c>
      <c r="D286" s="839" t="s">
        <v>159</v>
      </c>
      <c r="E286" s="841">
        <v>150</v>
      </c>
      <c r="F286" s="839" t="s">
        <v>1058</v>
      </c>
      <c r="G286" s="839" t="s">
        <v>174</v>
      </c>
    </row>
    <row r="287" spans="1:7" ht="13.5" customHeight="1" x14ac:dyDescent="0.35">
      <c r="A287" s="838">
        <v>44449</v>
      </c>
      <c r="B287" s="839" t="s">
        <v>2073</v>
      </c>
      <c r="C287" s="840" t="s">
        <v>1280</v>
      </c>
      <c r="D287" s="839" t="s">
        <v>159</v>
      </c>
      <c r="E287" s="841">
        <v>75</v>
      </c>
      <c r="F287" s="839" t="s">
        <v>1409</v>
      </c>
      <c r="G287" s="839" t="s">
        <v>174</v>
      </c>
    </row>
    <row r="288" spans="1:7" ht="13.5" customHeight="1" x14ac:dyDescent="0.35">
      <c r="A288" s="838">
        <v>44448</v>
      </c>
      <c r="B288" s="839" t="s">
        <v>2074</v>
      </c>
      <c r="C288" s="840" t="s">
        <v>1282</v>
      </c>
      <c r="D288" s="839" t="s">
        <v>162</v>
      </c>
      <c r="E288" s="841">
        <v>159.19999999999999</v>
      </c>
      <c r="F288" s="839" t="s">
        <v>414</v>
      </c>
      <c r="G288" s="839" t="s">
        <v>175</v>
      </c>
    </row>
    <row r="289" spans="1:7" ht="13.5" customHeight="1" x14ac:dyDescent="0.35">
      <c r="A289" s="838">
        <v>44446</v>
      </c>
      <c r="B289" s="839" t="s">
        <v>2075</v>
      </c>
      <c r="C289" s="840" t="s">
        <v>1274</v>
      </c>
      <c r="D289" s="839" t="s">
        <v>160</v>
      </c>
      <c r="E289" s="841">
        <v>99</v>
      </c>
      <c r="F289" s="839" t="s">
        <v>177</v>
      </c>
      <c r="G289" s="839" t="s">
        <v>174</v>
      </c>
    </row>
    <row r="290" spans="1:7" ht="13.5" customHeight="1" x14ac:dyDescent="0.35">
      <c r="A290" s="838">
        <v>44446</v>
      </c>
      <c r="B290" s="839" t="s">
        <v>2076</v>
      </c>
      <c r="C290" s="840" t="s">
        <v>28</v>
      </c>
      <c r="D290" s="839" t="s">
        <v>159</v>
      </c>
      <c r="E290" s="841">
        <v>20</v>
      </c>
      <c r="F290" s="839" t="s">
        <v>2077</v>
      </c>
      <c r="G290" s="839" t="s">
        <v>174</v>
      </c>
    </row>
    <row r="291" spans="1:7" ht="13.5" customHeight="1" x14ac:dyDescent="0.35">
      <c r="A291" s="838">
        <v>44440</v>
      </c>
      <c r="B291" s="839" t="s">
        <v>2078</v>
      </c>
      <c r="C291" s="840" t="s">
        <v>1274</v>
      </c>
      <c r="D291" s="839" t="s">
        <v>160</v>
      </c>
      <c r="E291" s="841">
        <v>35</v>
      </c>
      <c r="F291" s="839" t="s">
        <v>279</v>
      </c>
      <c r="G291" s="839" t="s">
        <v>174</v>
      </c>
    </row>
    <row r="292" spans="1:7" ht="13.5" customHeight="1" x14ac:dyDescent="0.35">
      <c r="A292" s="838">
        <v>44440</v>
      </c>
      <c r="B292" s="839" t="s">
        <v>2079</v>
      </c>
      <c r="C292" s="840" t="s">
        <v>1274</v>
      </c>
      <c r="D292" s="839" t="s">
        <v>165</v>
      </c>
      <c r="E292" s="841">
        <v>95</v>
      </c>
      <c r="F292" s="839" t="s">
        <v>235</v>
      </c>
      <c r="G292" s="839" t="s">
        <v>175</v>
      </c>
    </row>
    <row r="293" spans="1:7" ht="13.5" customHeight="1" x14ac:dyDescent="0.35">
      <c r="A293" s="838">
        <v>44440</v>
      </c>
      <c r="B293" s="839" t="s">
        <v>2079</v>
      </c>
      <c r="C293" s="840" t="s">
        <v>1281</v>
      </c>
      <c r="D293" s="839" t="s">
        <v>165</v>
      </c>
      <c r="E293" s="841">
        <v>-95</v>
      </c>
      <c r="F293" s="839" t="s">
        <v>235</v>
      </c>
      <c r="G293" s="839" t="s">
        <v>175</v>
      </c>
    </row>
    <row r="294" spans="1:7" ht="13.5" customHeight="1" x14ac:dyDescent="0.35">
      <c r="A294" s="838">
        <v>44440</v>
      </c>
      <c r="B294" s="839" t="s">
        <v>2080</v>
      </c>
      <c r="C294" s="840" t="s">
        <v>1274</v>
      </c>
      <c r="D294" s="839" t="s">
        <v>159</v>
      </c>
      <c r="E294" s="841">
        <v>150</v>
      </c>
      <c r="F294" s="839" t="s">
        <v>2081</v>
      </c>
      <c r="G294" s="839" t="s">
        <v>175</v>
      </c>
    </row>
    <row r="295" spans="1:7" ht="13.5" customHeight="1" x14ac:dyDescent="0.35">
      <c r="A295" s="838">
        <v>44440</v>
      </c>
      <c r="B295" s="839" t="s">
        <v>2082</v>
      </c>
      <c r="C295" s="840" t="s">
        <v>1279</v>
      </c>
      <c r="D295" s="839" t="s">
        <v>159</v>
      </c>
      <c r="E295" s="841">
        <v>360</v>
      </c>
      <c r="F295" s="839" t="s">
        <v>1209</v>
      </c>
      <c r="G295" s="839" t="s">
        <v>174</v>
      </c>
    </row>
    <row r="296" spans="1:7" ht="13.5" customHeight="1" x14ac:dyDescent="0.35">
      <c r="A296" s="838">
        <v>44440</v>
      </c>
      <c r="B296" s="839" t="s">
        <v>986</v>
      </c>
      <c r="C296" s="840" t="s">
        <v>1274</v>
      </c>
      <c r="D296" s="839" t="s">
        <v>159</v>
      </c>
      <c r="E296" s="841">
        <v>50</v>
      </c>
      <c r="F296" s="839" t="s">
        <v>1671</v>
      </c>
      <c r="G296" s="839" t="s">
        <v>175</v>
      </c>
    </row>
    <row r="297" spans="1:7" ht="13.5" customHeight="1" x14ac:dyDescent="0.35">
      <c r="A297" s="838">
        <v>44440</v>
      </c>
      <c r="B297" s="839" t="s">
        <v>986</v>
      </c>
      <c r="C297" s="840" t="s">
        <v>1274</v>
      </c>
      <c r="D297" s="839" t="s">
        <v>159</v>
      </c>
      <c r="E297" s="841">
        <v>50</v>
      </c>
      <c r="F297" s="839" t="s">
        <v>472</v>
      </c>
      <c r="G297" s="839" t="s">
        <v>175</v>
      </c>
    </row>
    <row r="298" spans="1:7" ht="13.5" customHeight="1" x14ac:dyDescent="0.35">
      <c r="A298" s="838">
        <v>44440</v>
      </c>
      <c r="B298" s="839" t="s">
        <v>402</v>
      </c>
      <c r="C298" s="840" t="s">
        <v>1279</v>
      </c>
      <c r="D298" s="839" t="s">
        <v>160</v>
      </c>
      <c r="E298" s="841">
        <v>130</v>
      </c>
      <c r="F298" s="839" t="s">
        <v>2083</v>
      </c>
      <c r="G298" s="839" t="s">
        <v>175</v>
      </c>
    </row>
    <row r="299" spans="1:7" ht="13.5" customHeight="1" x14ac:dyDescent="0.35">
      <c r="A299" s="838">
        <v>44440</v>
      </c>
      <c r="B299" s="839" t="s">
        <v>402</v>
      </c>
      <c r="C299" s="840" t="s">
        <v>1279</v>
      </c>
      <c r="D299" s="839" t="s">
        <v>160</v>
      </c>
      <c r="E299" s="841">
        <v>65</v>
      </c>
      <c r="F299" s="839" t="s">
        <v>2084</v>
      </c>
      <c r="G299" s="839" t="s">
        <v>175</v>
      </c>
    </row>
    <row r="300" spans="1:7" ht="13.5" customHeight="1" x14ac:dyDescent="0.35">
      <c r="A300" s="838">
        <v>44440</v>
      </c>
      <c r="B300" s="839" t="s">
        <v>402</v>
      </c>
      <c r="C300" s="840" t="s">
        <v>28</v>
      </c>
      <c r="D300" s="839" t="s">
        <v>160</v>
      </c>
      <c r="E300" s="841">
        <v>20</v>
      </c>
      <c r="F300" s="839" t="s">
        <v>2085</v>
      </c>
      <c r="G300" s="839" t="s">
        <v>175</v>
      </c>
    </row>
    <row r="301" spans="1:7" ht="13.5" customHeight="1" x14ac:dyDescent="0.35">
      <c r="A301" s="838">
        <v>44440</v>
      </c>
      <c r="B301" s="839" t="s">
        <v>1077</v>
      </c>
      <c r="C301" s="840" t="s">
        <v>1276</v>
      </c>
      <c r="D301" s="839" t="s">
        <v>161</v>
      </c>
      <c r="E301" s="841">
        <v>550</v>
      </c>
      <c r="F301" s="839" t="s">
        <v>1078</v>
      </c>
      <c r="G301" s="839" t="s">
        <v>175</v>
      </c>
    </row>
    <row r="302" spans="1:7" ht="13.5" customHeight="1" x14ac:dyDescent="0.35">
      <c r="A302" s="838">
        <v>44440</v>
      </c>
      <c r="B302" s="839" t="s">
        <v>292</v>
      </c>
      <c r="C302" s="840" t="s">
        <v>1278</v>
      </c>
      <c r="D302" s="840" t="s">
        <v>161</v>
      </c>
      <c r="E302" s="841">
        <v>60</v>
      </c>
      <c r="F302" s="840" t="s">
        <v>292</v>
      </c>
      <c r="G302" s="840" t="s">
        <v>175</v>
      </c>
    </row>
    <row r="305" spans="1:7" ht="13.5" customHeight="1" x14ac:dyDescent="0.35">
      <c r="A305" s="838">
        <v>44439</v>
      </c>
      <c r="B305" s="839" t="s">
        <v>402</v>
      </c>
      <c r="C305" s="840" t="s">
        <v>1279</v>
      </c>
      <c r="D305" s="839" t="s">
        <v>160</v>
      </c>
      <c r="E305" s="841">
        <v>65</v>
      </c>
      <c r="F305" s="839" t="s">
        <v>2084</v>
      </c>
      <c r="G305" s="839" t="s">
        <v>175</v>
      </c>
    </row>
    <row r="306" spans="1:7" ht="13.5" customHeight="1" x14ac:dyDescent="0.35">
      <c r="A306" s="838">
        <v>44438</v>
      </c>
      <c r="B306" s="839" t="s">
        <v>2086</v>
      </c>
      <c r="C306" s="840" t="s">
        <v>28</v>
      </c>
      <c r="D306" s="839" t="s">
        <v>159</v>
      </c>
      <c r="E306" s="841">
        <v>30</v>
      </c>
      <c r="F306" s="839" t="s">
        <v>1236</v>
      </c>
      <c r="G306" s="839" t="s">
        <v>174</v>
      </c>
    </row>
    <row r="307" spans="1:7" ht="13.5" customHeight="1" x14ac:dyDescent="0.35">
      <c r="A307" s="838">
        <v>44438</v>
      </c>
      <c r="B307" s="839" t="s">
        <v>2087</v>
      </c>
      <c r="C307" s="840" t="s">
        <v>1274</v>
      </c>
      <c r="D307" s="839" t="s">
        <v>159</v>
      </c>
      <c r="E307" s="841">
        <v>150</v>
      </c>
      <c r="F307" s="839" t="s">
        <v>235</v>
      </c>
      <c r="G307" s="839" t="s">
        <v>174</v>
      </c>
    </row>
    <row r="308" spans="1:7" ht="13.5" customHeight="1" x14ac:dyDescent="0.35">
      <c r="A308" s="838">
        <v>44438</v>
      </c>
      <c r="B308" s="839" t="s">
        <v>732</v>
      </c>
      <c r="C308" s="840" t="s">
        <v>1279</v>
      </c>
      <c r="D308" s="839" t="s">
        <v>159</v>
      </c>
      <c r="E308" s="841">
        <v>360</v>
      </c>
      <c r="F308" s="839" t="s">
        <v>2088</v>
      </c>
      <c r="G308" s="839" t="s">
        <v>175</v>
      </c>
    </row>
    <row r="309" spans="1:7" ht="13.5" customHeight="1" x14ac:dyDescent="0.35">
      <c r="A309" s="838">
        <v>44435</v>
      </c>
      <c r="B309" s="839" t="s">
        <v>1766</v>
      </c>
      <c r="C309" s="840" t="s">
        <v>1274</v>
      </c>
      <c r="D309" s="839" t="s">
        <v>159</v>
      </c>
      <c r="E309" s="841">
        <v>825</v>
      </c>
      <c r="F309" s="839" t="s">
        <v>1000</v>
      </c>
      <c r="G309" s="839" t="s">
        <v>175</v>
      </c>
    </row>
    <row r="310" spans="1:7" ht="13.5" customHeight="1" x14ac:dyDescent="0.35">
      <c r="A310" s="838">
        <v>44434</v>
      </c>
      <c r="B310" s="839" t="s">
        <v>2089</v>
      </c>
      <c r="C310" s="840" t="s">
        <v>1274</v>
      </c>
      <c r="D310" s="839" t="s">
        <v>159</v>
      </c>
      <c r="E310" s="841">
        <v>99</v>
      </c>
      <c r="F310" s="839" t="s">
        <v>2090</v>
      </c>
      <c r="G310" s="839" t="s">
        <v>174</v>
      </c>
    </row>
    <row r="311" spans="1:7" ht="13.5" customHeight="1" x14ac:dyDescent="0.35">
      <c r="A311" s="838">
        <v>44435</v>
      </c>
      <c r="B311" s="839" t="s">
        <v>2091</v>
      </c>
      <c r="C311" s="840" t="s">
        <v>1274</v>
      </c>
      <c r="D311" s="839" t="s">
        <v>159</v>
      </c>
      <c r="E311" s="841">
        <v>125</v>
      </c>
      <c r="F311" s="839" t="s">
        <v>2092</v>
      </c>
      <c r="G311" s="839" t="s">
        <v>175</v>
      </c>
    </row>
    <row r="312" spans="1:7" ht="13.5" customHeight="1" x14ac:dyDescent="0.35">
      <c r="A312" s="838">
        <v>44434</v>
      </c>
      <c r="B312" s="839" t="s">
        <v>2093</v>
      </c>
      <c r="C312" s="840" t="s">
        <v>1279</v>
      </c>
      <c r="D312" s="839" t="s">
        <v>159</v>
      </c>
      <c r="E312" s="841">
        <v>35</v>
      </c>
      <c r="F312" s="839" t="s">
        <v>2094</v>
      </c>
      <c r="G312" s="839" t="s">
        <v>174</v>
      </c>
    </row>
    <row r="313" spans="1:7" ht="13.5" customHeight="1" x14ac:dyDescent="0.35">
      <c r="A313" s="838">
        <v>44434</v>
      </c>
      <c r="B313" s="839" t="s">
        <v>2095</v>
      </c>
      <c r="C313" s="840" t="s">
        <v>1274</v>
      </c>
      <c r="D313" s="839" t="s">
        <v>165</v>
      </c>
      <c r="E313" s="841">
        <v>250</v>
      </c>
      <c r="F313" s="839" t="s">
        <v>463</v>
      </c>
      <c r="G313" s="839" t="s">
        <v>175</v>
      </c>
    </row>
    <row r="314" spans="1:7" ht="13.5" customHeight="1" x14ac:dyDescent="0.35">
      <c r="A314" s="838">
        <v>44434</v>
      </c>
      <c r="B314" s="839" t="s">
        <v>2095</v>
      </c>
      <c r="C314" s="840" t="s">
        <v>1281</v>
      </c>
      <c r="D314" s="839" t="s">
        <v>165</v>
      </c>
      <c r="E314" s="841">
        <v>-250</v>
      </c>
      <c r="F314" s="839" t="s">
        <v>463</v>
      </c>
      <c r="G314" s="839" t="s">
        <v>175</v>
      </c>
    </row>
    <row r="315" spans="1:7" ht="13.5" customHeight="1" x14ac:dyDescent="0.35">
      <c r="A315" s="838">
        <v>44434</v>
      </c>
      <c r="B315" s="839" t="s">
        <v>2095</v>
      </c>
      <c r="C315" s="840" t="s">
        <v>1274</v>
      </c>
      <c r="D315" s="839" t="s">
        <v>159</v>
      </c>
      <c r="E315" s="841">
        <v>500</v>
      </c>
      <c r="F315" s="839" t="s">
        <v>463</v>
      </c>
      <c r="G315" s="839" t="s">
        <v>175</v>
      </c>
    </row>
    <row r="316" spans="1:7" ht="13.5" customHeight="1" x14ac:dyDescent="0.35">
      <c r="A316" s="838">
        <v>44434</v>
      </c>
      <c r="B316" s="839" t="s">
        <v>2096</v>
      </c>
      <c r="C316" s="840" t="s">
        <v>1274</v>
      </c>
      <c r="D316" s="839" t="s">
        <v>159</v>
      </c>
      <c r="E316" s="841">
        <v>750</v>
      </c>
      <c r="F316" s="839" t="s">
        <v>463</v>
      </c>
      <c r="G316" s="839" t="s">
        <v>175</v>
      </c>
    </row>
    <row r="317" spans="1:7" ht="13.5" customHeight="1" x14ac:dyDescent="0.35">
      <c r="A317" s="838">
        <v>44434</v>
      </c>
      <c r="B317" s="839" t="s">
        <v>2097</v>
      </c>
      <c r="C317" s="840" t="s">
        <v>1274</v>
      </c>
      <c r="D317" s="839" t="s">
        <v>159</v>
      </c>
      <c r="E317" s="841">
        <v>750</v>
      </c>
      <c r="F317" s="839" t="s">
        <v>463</v>
      </c>
      <c r="G317" s="839" t="s">
        <v>175</v>
      </c>
    </row>
    <row r="318" spans="1:7" ht="13.5" customHeight="1" x14ac:dyDescent="0.35">
      <c r="A318" s="838">
        <v>44433</v>
      </c>
      <c r="B318" s="839" t="s">
        <v>2098</v>
      </c>
      <c r="C318" s="840" t="s">
        <v>1279</v>
      </c>
      <c r="D318" s="839" t="s">
        <v>159</v>
      </c>
      <c r="E318" s="841">
        <v>35</v>
      </c>
      <c r="F318" s="839" t="s">
        <v>2094</v>
      </c>
      <c r="G318" s="839" t="s">
        <v>174</v>
      </c>
    </row>
    <row r="319" spans="1:7" ht="13.5" customHeight="1" x14ac:dyDescent="0.35">
      <c r="A319" s="838">
        <v>44433</v>
      </c>
      <c r="B319" s="839" t="s">
        <v>2099</v>
      </c>
      <c r="C319" s="840" t="s">
        <v>1279</v>
      </c>
      <c r="D319" s="839" t="s">
        <v>159</v>
      </c>
      <c r="E319" s="841">
        <v>360</v>
      </c>
      <c r="F319" s="839" t="s">
        <v>2088</v>
      </c>
      <c r="G319" s="839" t="s">
        <v>174</v>
      </c>
    </row>
    <row r="320" spans="1:7" ht="13.5" customHeight="1" x14ac:dyDescent="0.35">
      <c r="A320" s="838">
        <v>44433</v>
      </c>
      <c r="B320" s="839" t="s">
        <v>1347</v>
      </c>
      <c r="C320" s="840" t="s">
        <v>1274</v>
      </c>
      <c r="D320" s="839" t="s">
        <v>159</v>
      </c>
      <c r="E320" s="841">
        <v>12</v>
      </c>
      <c r="F320" s="839" t="s">
        <v>324</v>
      </c>
      <c r="G320" s="839" t="s">
        <v>174</v>
      </c>
    </row>
    <row r="321" spans="1:7" ht="13.5" customHeight="1" x14ac:dyDescent="0.35">
      <c r="A321" s="838">
        <v>44432</v>
      </c>
      <c r="B321" s="839" t="s">
        <v>2100</v>
      </c>
      <c r="C321" s="840" t="s">
        <v>1274</v>
      </c>
      <c r="D321" s="839" t="s">
        <v>165</v>
      </c>
      <c r="E321" s="841">
        <v>50</v>
      </c>
      <c r="F321" s="839" t="s">
        <v>472</v>
      </c>
      <c r="G321" s="839" t="s">
        <v>175</v>
      </c>
    </row>
    <row r="322" spans="1:7" ht="13.5" customHeight="1" x14ac:dyDescent="0.35">
      <c r="A322" s="838">
        <v>44432</v>
      </c>
      <c r="B322" s="839" t="s">
        <v>2100</v>
      </c>
      <c r="C322" s="840" t="s">
        <v>1281</v>
      </c>
      <c r="D322" s="839" t="s">
        <v>165</v>
      </c>
      <c r="E322" s="841">
        <v>-50</v>
      </c>
      <c r="F322" s="839" t="s">
        <v>472</v>
      </c>
      <c r="G322" s="839" t="s">
        <v>175</v>
      </c>
    </row>
    <row r="323" spans="1:7" ht="13.5" customHeight="1" x14ac:dyDescent="0.35">
      <c r="A323" s="838">
        <v>44432</v>
      </c>
      <c r="B323" s="839" t="s">
        <v>2101</v>
      </c>
      <c r="C323" s="840" t="s">
        <v>1274</v>
      </c>
      <c r="D323" s="839" t="s">
        <v>162</v>
      </c>
      <c r="E323" s="841">
        <v>600</v>
      </c>
      <c r="F323" s="839" t="s">
        <v>2102</v>
      </c>
      <c r="G323" s="839" t="s">
        <v>174</v>
      </c>
    </row>
    <row r="324" spans="1:7" ht="13.5" customHeight="1" x14ac:dyDescent="0.35">
      <c r="A324" s="838">
        <v>44430</v>
      </c>
      <c r="B324" s="839" t="s">
        <v>2103</v>
      </c>
      <c r="C324" s="840" t="s">
        <v>1279</v>
      </c>
      <c r="D324" s="839" t="s">
        <v>159</v>
      </c>
      <c r="E324" s="841">
        <v>5</v>
      </c>
      <c r="F324" s="848" t="s">
        <v>2104</v>
      </c>
      <c r="G324" s="839" t="s">
        <v>175</v>
      </c>
    </row>
    <row r="325" spans="1:7" ht="13.5" customHeight="1" x14ac:dyDescent="0.35">
      <c r="A325" s="838">
        <v>44430</v>
      </c>
      <c r="B325" s="839" t="s">
        <v>2103</v>
      </c>
      <c r="C325" s="840" t="s">
        <v>1279</v>
      </c>
      <c r="D325" s="839" t="s">
        <v>165</v>
      </c>
      <c r="E325" s="841">
        <v>60</v>
      </c>
      <c r="F325" s="848" t="s">
        <v>2104</v>
      </c>
      <c r="G325" s="839" t="s">
        <v>175</v>
      </c>
    </row>
    <row r="326" spans="1:7" ht="13.5" customHeight="1" x14ac:dyDescent="0.35">
      <c r="A326" s="838">
        <v>44430</v>
      </c>
      <c r="B326" s="839" t="s">
        <v>2103</v>
      </c>
      <c r="C326" s="840" t="s">
        <v>1281</v>
      </c>
      <c r="D326" s="839" t="s">
        <v>165</v>
      </c>
      <c r="E326" s="841">
        <v>-60</v>
      </c>
      <c r="F326" s="848" t="s">
        <v>2104</v>
      </c>
      <c r="G326" s="839" t="s">
        <v>175</v>
      </c>
    </row>
    <row r="327" spans="1:7" ht="13.5" customHeight="1" x14ac:dyDescent="0.35">
      <c r="A327" s="838">
        <v>44427</v>
      </c>
      <c r="B327" s="839" t="s">
        <v>64</v>
      </c>
      <c r="C327" s="840" t="s">
        <v>1274</v>
      </c>
      <c r="D327" s="839" t="s">
        <v>159</v>
      </c>
      <c r="E327" s="841">
        <v>250</v>
      </c>
      <c r="F327" s="839" t="s">
        <v>2105</v>
      </c>
      <c r="G327" s="839" t="s">
        <v>175</v>
      </c>
    </row>
    <row r="328" spans="1:7" ht="13.5" customHeight="1" x14ac:dyDescent="0.35">
      <c r="A328" s="838">
        <v>44425</v>
      </c>
      <c r="B328" s="839" t="s">
        <v>2067</v>
      </c>
      <c r="C328" s="840" t="s">
        <v>28</v>
      </c>
      <c r="D328" s="839" t="s">
        <v>160</v>
      </c>
      <c r="E328" s="841">
        <v>30</v>
      </c>
      <c r="F328" s="839" t="s">
        <v>2106</v>
      </c>
      <c r="G328" s="839" t="s">
        <v>174</v>
      </c>
    </row>
    <row r="329" spans="1:7" ht="13.5" customHeight="1" x14ac:dyDescent="0.35">
      <c r="A329" s="838">
        <v>44425</v>
      </c>
      <c r="B329" s="839" t="s">
        <v>346</v>
      </c>
      <c r="C329" s="840" t="s">
        <v>1277</v>
      </c>
      <c r="D329" s="839" t="s">
        <v>166</v>
      </c>
      <c r="E329" s="841">
        <v>-20</v>
      </c>
      <c r="F329" s="839" t="s">
        <v>2107</v>
      </c>
      <c r="G329" s="839" t="s">
        <v>175</v>
      </c>
    </row>
    <row r="330" spans="1:7" ht="13.5" customHeight="1" x14ac:dyDescent="0.35">
      <c r="A330" s="838">
        <v>44425</v>
      </c>
      <c r="B330" s="839" t="s">
        <v>346</v>
      </c>
      <c r="C330" s="840" t="s">
        <v>28</v>
      </c>
      <c r="D330" s="839" t="s">
        <v>166</v>
      </c>
      <c r="E330" s="841">
        <v>20</v>
      </c>
      <c r="F330" s="839" t="s">
        <v>2107</v>
      </c>
      <c r="G330" s="839" t="s">
        <v>175</v>
      </c>
    </row>
    <row r="331" spans="1:7" ht="13.5" customHeight="1" x14ac:dyDescent="0.35">
      <c r="A331" s="838">
        <v>44424</v>
      </c>
      <c r="B331" s="839" t="s">
        <v>967</v>
      </c>
      <c r="C331" s="840" t="s">
        <v>1279</v>
      </c>
      <c r="D331" s="839" t="s">
        <v>160</v>
      </c>
      <c r="E331" s="841">
        <v>360</v>
      </c>
      <c r="F331" s="839" t="s">
        <v>2088</v>
      </c>
      <c r="G331" s="839" t="s">
        <v>175</v>
      </c>
    </row>
    <row r="332" spans="1:7" ht="13.5" customHeight="1" x14ac:dyDescent="0.35">
      <c r="A332" s="838">
        <v>44424</v>
      </c>
      <c r="B332" s="839" t="s">
        <v>1043</v>
      </c>
      <c r="C332" s="840" t="s">
        <v>1279</v>
      </c>
      <c r="D332" s="839" t="s">
        <v>159</v>
      </c>
      <c r="E332" s="841">
        <v>360</v>
      </c>
      <c r="F332" s="839" t="s">
        <v>2088</v>
      </c>
      <c r="G332" s="839" t="s">
        <v>175</v>
      </c>
    </row>
    <row r="333" spans="1:7" ht="13.5" customHeight="1" x14ac:dyDescent="0.35">
      <c r="A333" s="838">
        <v>44423</v>
      </c>
      <c r="B333" s="839" t="s">
        <v>2108</v>
      </c>
      <c r="C333" s="840" t="s">
        <v>1274</v>
      </c>
      <c r="D333" s="839" t="s">
        <v>159</v>
      </c>
      <c r="E333" s="841">
        <v>50</v>
      </c>
      <c r="F333" s="839" t="s">
        <v>1202</v>
      </c>
      <c r="G333" s="839" t="s">
        <v>175</v>
      </c>
    </row>
    <row r="334" spans="1:7" ht="13.5" customHeight="1" x14ac:dyDescent="0.35">
      <c r="A334" s="838">
        <v>44422</v>
      </c>
      <c r="B334" s="839" t="s">
        <v>346</v>
      </c>
      <c r="C334" s="840" t="s">
        <v>1277</v>
      </c>
      <c r="D334" s="839" t="s">
        <v>166</v>
      </c>
      <c r="E334" s="841">
        <v>-150</v>
      </c>
      <c r="F334" s="839" t="s">
        <v>177</v>
      </c>
      <c r="G334" s="839" t="s">
        <v>175</v>
      </c>
    </row>
    <row r="335" spans="1:7" ht="13.5" customHeight="1" x14ac:dyDescent="0.35">
      <c r="A335" s="838">
        <v>44422</v>
      </c>
      <c r="B335" s="839" t="s">
        <v>346</v>
      </c>
      <c r="C335" s="840" t="s">
        <v>1274</v>
      </c>
      <c r="D335" s="839" t="s">
        <v>166</v>
      </c>
      <c r="E335" s="841">
        <v>150</v>
      </c>
      <c r="F335" s="839" t="s">
        <v>177</v>
      </c>
      <c r="G335" s="839" t="s">
        <v>175</v>
      </c>
    </row>
    <row r="336" spans="1:7" ht="13.5" customHeight="1" x14ac:dyDescent="0.35">
      <c r="A336" s="838">
        <v>44422</v>
      </c>
      <c r="B336" s="839" t="s">
        <v>346</v>
      </c>
      <c r="C336" s="840" t="s">
        <v>1277</v>
      </c>
      <c r="D336" s="839" t="s">
        <v>166</v>
      </c>
      <c r="E336" s="841">
        <v>-600</v>
      </c>
      <c r="F336" s="839" t="s">
        <v>2109</v>
      </c>
      <c r="G336" s="839" t="s">
        <v>175</v>
      </c>
    </row>
    <row r="337" spans="1:7" ht="13.5" customHeight="1" x14ac:dyDescent="0.35">
      <c r="A337" s="838">
        <v>44422</v>
      </c>
      <c r="B337" s="839" t="s">
        <v>346</v>
      </c>
      <c r="C337" s="840" t="s">
        <v>1278</v>
      </c>
      <c r="D337" s="839" t="s">
        <v>166</v>
      </c>
      <c r="E337" s="841">
        <v>600</v>
      </c>
      <c r="F337" s="839" t="s">
        <v>2109</v>
      </c>
      <c r="G337" s="839" t="s">
        <v>175</v>
      </c>
    </row>
    <row r="338" spans="1:7" ht="13.5" customHeight="1" x14ac:dyDescent="0.35">
      <c r="A338" s="838">
        <v>44422</v>
      </c>
      <c r="B338" s="839" t="s">
        <v>346</v>
      </c>
      <c r="C338" s="840" t="s">
        <v>1277</v>
      </c>
      <c r="D338" s="839" t="s">
        <v>166</v>
      </c>
      <c r="E338" s="841">
        <v>-50</v>
      </c>
      <c r="F338" s="839" t="s">
        <v>472</v>
      </c>
      <c r="G338" s="839" t="s">
        <v>175</v>
      </c>
    </row>
    <row r="339" spans="1:7" ht="13.5" customHeight="1" x14ac:dyDescent="0.35">
      <c r="A339" s="838">
        <v>44422</v>
      </c>
      <c r="B339" s="839" t="s">
        <v>346</v>
      </c>
      <c r="C339" s="840" t="s">
        <v>1274</v>
      </c>
      <c r="D339" s="839" t="s">
        <v>166</v>
      </c>
      <c r="E339" s="841">
        <v>50</v>
      </c>
      <c r="F339" s="839" t="s">
        <v>472</v>
      </c>
      <c r="G339" s="839" t="s">
        <v>175</v>
      </c>
    </row>
    <row r="340" spans="1:7" ht="13.5" customHeight="1" x14ac:dyDescent="0.35">
      <c r="A340" s="838">
        <v>44422</v>
      </c>
      <c r="B340" s="839" t="s">
        <v>346</v>
      </c>
      <c r="C340" s="840" t="s">
        <v>1277</v>
      </c>
      <c r="D340" s="839" t="s">
        <v>166</v>
      </c>
      <c r="E340" s="841">
        <v>-50</v>
      </c>
      <c r="F340" s="839" t="s">
        <v>1202</v>
      </c>
      <c r="G340" s="839" t="s">
        <v>175</v>
      </c>
    </row>
    <row r="341" spans="1:7" ht="13.5" customHeight="1" x14ac:dyDescent="0.35">
      <c r="A341" s="838">
        <v>44422</v>
      </c>
      <c r="B341" s="839" t="s">
        <v>346</v>
      </c>
      <c r="C341" s="840" t="s">
        <v>1274</v>
      </c>
      <c r="D341" s="839" t="s">
        <v>166</v>
      </c>
      <c r="E341" s="841">
        <v>50</v>
      </c>
      <c r="F341" s="839" t="s">
        <v>1202</v>
      </c>
      <c r="G341" s="839" t="s">
        <v>175</v>
      </c>
    </row>
    <row r="342" spans="1:7" ht="13.5" customHeight="1" x14ac:dyDescent="0.35">
      <c r="A342" s="838">
        <v>44420</v>
      </c>
      <c r="B342" s="839" t="s">
        <v>1623</v>
      </c>
      <c r="C342" s="840" t="s">
        <v>28</v>
      </c>
      <c r="D342" s="839" t="s">
        <v>160</v>
      </c>
      <c r="E342" s="841">
        <v>395</v>
      </c>
      <c r="F342" s="839" t="s">
        <v>1058</v>
      </c>
      <c r="G342" s="839" t="s">
        <v>174</v>
      </c>
    </row>
    <row r="343" spans="1:7" ht="13.5" customHeight="1" x14ac:dyDescent="0.35">
      <c r="A343" s="838">
        <v>44418</v>
      </c>
      <c r="B343" s="839" t="s">
        <v>92</v>
      </c>
      <c r="C343" s="840" t="s">
        <v>1282</v>
      </c>
      <c r="D343" s="839" t="s">
        <v>162</v>
      </c>
      <c r="E343" s="841">
        <v>86.76</v>
      </c>
      <c r="F343" s="839" t="s">
        <v>2110</v>
      </c>
      <c r="G343" s="839" t="s">
        <v>175</v>
      </c>
    </row>
    <row r="344" spans="1:7" ht="13.5" customHeight="1" x14ac:dyDescent="0.35">
      <c r="A344" s="838">
        <v>44417</v>
      </c>
      <c r="B344" s="839" t="s">
        <v>2111</v>
      </c>
      <c r="C344" s="840" t="s">
        <v>28</v>
      </c>
      <c r="D344" s="839" t="s">
        <v>159</v>
      </c>
      <c r="E344" s="841">
        <v>20</v>
      </c>
      <c r="F344" s="839" t="s">
        <v>2112</v>
      </c>
      <c r="G344" s="839" t="s">
        <v>175</v>
      </c>
    </row>
    <row r="345" spans="1:7" ht="13.5" customHeight="1" x14ac:dyDescent="0.35">
      <c r="A345" s="838">
        <v>44417</v>
      </c>
      <c r="B345" s="839" t="s">
        <v>2111</v>
      </c>
      <c r="C345" s="840" t="s">
        <v>28</v>
      </c>
      <c r="D345" s="839" t="s">
        <v>159</v>
      </c>
      <c r="E345" s="841">
        <v>20</v>
      </c>
      <c r="F345" s="839" t="s">
        <v>2113</v>
      </c>
      <c r="G345" s="839" t="s">
        <v>175</v>
      </c>
    </row>
    <row r="346" spans="1:7" ht="13.5" customHeight="1" x14ac:dyDescent="0.35">
      <c r="A346" s="838">
        <v>44416</v>
      </c>
      <c r="B346" s="839" t="s">
        <v>2111</v>
      </c>
      <c r="C346" s="840" t="s">
        <v>28</v>
      </c>
      <c r="D346" s="839" t="s">
        <v>159</v>
      </c>
      <c r="E346" s="841">
        <v>20</v>
      </c>
      <c r="F346" s="839" t="s">
        <v>2114</v>
      </c>
      <c r="G346" s="839" t="s">
        <v>174</v>
      </c>
    </row>
    <row r="347" spans="1:7" ht="13.5" customHeight="1" x14ac:dyDescent="0.35">
      <c r="A347" s="838">
        <v>44414</v>
      </c>
      <c r="B347" s="839" t="s">
        <v>2115</v>
      </c>
      <c r="C347" s="840" t="s">
        <v>1274</v>
      </c>
      <c r="D347" s="839" t="s">
        <v>160</v>
      </c>
      <c r="E347" s="841">
        <v>99</v>
      </c>
      <c r="F347" s="839" t="s">
        <v>177</v>
      </c>
      <c r="G347" s="839" t="s">
        <v>174</v>
      </c>
    </row>
    <row r="348" spans="1:7" ht="13.5" customHeight="1" x14ac:dyDescent="0.35">
      <c r="A348" s="838">
        <v>44411</v>
      </c>
      <c r="B348" s="839" t="s">
        <v>2116</v>
      </c>
      <c r="C348" s="840" t="s">
        <v>1274</v>
      </c>
      <c r="D348" s="839" t="s">
        <v>159</v>
      </c>
      <c r="E348" s="841">
        <v>125</v>
      </c>
      <c r="F348" s="839" t="s">
        <v>2117</v>
      </c>
      <c r="G348" s="839" t="s">
        <v>175</v>
      </c>
    </row>
    <row r="349" spans="1:7" ht="13.5" customHeight="1" x14ac:dyDescent="0.35">
      <c r="A349" s="838">
        <v>44410</v>
      </c>
      <c r="B349" s="839" t="s">
        <v>2057</v>
      </c>
      <c r="C349" s="840" t="s">
        <v>1274</v>
      </c>
      <c r="D349" s="839" t="s">
        <v>159</v>
      </c>
      <c r="E349" s="841">
        <v>125</v>
      </c>
      <c r="F349" s="839" t="s">
        <v>2117</v>
      </c>
      <c r="G349" s="839" t="s">
        <v>175</v>
      </c>
    </row>
    <row r="350" spans="1:7" ht="13.5" customHeight="1" x14ac:dyDescent="0.35">
      <c r="A350" s="838">
        <v>44410</v>
      </c>
      <c r="B350" s="839" t="s">
        <v>2057</v>
      </c>
      <c r="C350" s="840" t="s">
        <v>1274</v>
      </c>
      <c r="D350" s="839" t="s">
        <v>159</v>
      </c>
      <c r="E350" s="841">
        <v>125</v>
      </c>
      <c r="F350" s="839" t="s">
        <v>2118</v>
      </c>
      <c r="G350" s="839" t="s">
        <v>175</v>
      </c>
    </row>
    <row r="351" spans="1:7" ht="13.5" customHeight="1" x14ac:dyDescent="0.35">
      <c r="A351" s="838">
        <v>44409</v>
      </c>
      <c r="B351" s="839" t="s">
        <v>2119</v>
      </c>
      <c r="C351" s="840" t="s">
        <v>28</v>
      </c>
      <c r="D351" s="839" t="s">
        <v>159</v>
      </c>
      <c r="E351" s="841">
        <v>30</v>
      </c>
      <c r="F351" s="839" t="s">
        <v>2106</v>
      </c>
      <c r="G351" s="839" t="s">
        <v>174</v>
      </c>
    </row>
    <row r="352" spans="1:7" ht="13.5" customHeight="1" x14ac:dyDescent="0.35">
      <c r="A352" s="838">
        <v>44409</v>
      </c>
      <c r="B352" s="839" t="s">
        <v>1009</v>
      </c>
      <c r="C352" s="840" t="s">
        <v>1279</v>
      </c>
      <c r="D352" s="839" t="s">
        <v>159</v>
      </c>
      <c r="E352" s="841">
        <v>360</v>
      </c>
      <c r="F352" s="839" t="s">
        <v>2088</v>
      </c>
      <c r="G352" s="839" t="s">
        <v>175</v>
      </c>
    </row>
    <row r="353" spans="1:7" ht="13.5" customHeight="1" x14ac:dyDescent="0.35">
      <c r="A353" s="838">
        <v>44409</v>
      </c>
      <c r="B353" s="839" t="s">
        <v>346</v>
      </c>
      <c r="C353" s="840" t="s">
        <v>1276</v>
      </c>
      <c r="D353" s="839" t="s">
        <v>159</v>
      </c>
      <c r="E353" s="841">
        <v>100</v>
      </c>
      <c r="F353" s="839" t="s">
        <v>2120</v>
      </c>
      <c r="G353" s="839" t="s">
        <v>175</v>
      </c>
    </row>
    <row r="354" spans="1:7" ht="13.5" customHeight="1" x14ac:dyDescent="0.35">
      <c r="A354" s="838">
        <v>44409</v>
      </c>
      <c r="B354" s="839" t="s">
        <v>1077</v>
      </c>
      <c r="C354" s="840" t="s">
        <v>1276</v>
      </c>
      <c r="D354" s="839" t="s">
        <v>161</v>
      </c>
      <c r="E354" s="841">
        <v>75</v>
      </c>
      <c r="F354" s="839" t="s">
        <v>1078</v>
      </c>
      <c r="G354" s="839" t="s">
        <v>175</v>
      </c>
    </row>
    <row r="355" spans="1:7" ht="13.5" customHeight="1" x14ac:dyDescent="0.35">
      <c r="A355" s="838">
        <v>44409</v>
      </c>
      <c r="B355" s="839" t="s">
        <v>292</v>
      </c>
      <c r="C355" s="840" t="s">
        <v>1278</v>
      </c>
      <c r="D355" s="840" t="s">
        <v>161</v>
      </c>
      <c r="E355" s="841">
        <v>60</v>
      </c>
      <c r="F355" s="840" t="s">
        <v>292</v>
      </c>
      <c r="G355" s="840" t="s">
        <v>175</v>
      </c>
    </row>
    <row r="356" spans="1:7" ht="13.5" customHeight="1" x14ac:dyDescent="0.35">
      <c r="A356" s="838"/>
      <c r="B356" s="839"/>
      <c r="C356" s="840"/>
      <c r="D356" s="839"/>
      <c r="E356" s="841"/>
      <c r="F356" s="839"/>
      <c r="G356" s="839"/>
    </row>
    <row r="357" spans="1:7" ht="13.5" customHeight="1" x14ac:dyDescent="0.35">
      <c r="A357" s="838">
        <v>44406</v>
      </c>
      <c r="B357" s="839" t="s">
        <v>1972</v>
      </c>
      <c r="C357" s="840" t="s">
        <v>1282</v>
      </c>
      <c r="D357" s="839" t="s">
        <v>160</v>
      </c>
      <c r="E357" s="841">
        <v>31.35</v>
      </c>
      <c r="F357" s="839" t="s">
        <v>1718</v>
      </c>
      <c r="G357" s="839" t="s">
        <v>175</v>
      </c>
    </row>
    <row r="358" spans="1:7" ht="13.5" customHeight="1" x14ac:dyDescent="0.35">
      <c r="A358" s="838">
        <v>44405</v>
      </c>
      <c r="B358" s="839" t="s">
        <v>1794</v>
      </c>
      <c r="C358" s="840" t="s">
        <v>1279</v>
      </c>
      <c r="D358" s="839" t="s">
        <v>159</v>
      </c>
      <c r="E358" s="841">
        <v>65</v>
      </c>
      <c r="F358" s="839" t="s">
        <v>2121</v>
      </c>
      <c r="G358" s="839" t="s">
        <v>175</v>
      </c>
    </row>
    <row r="359" spans="1:7" ht="13.5" customHeight="1" x14ac:dyDescent="0.35">
      <c r="A359" s="838">
        <v>44401</v>
      </c>
      <c r="B359" s="839" t="s">
        <v>2122</v>
      </c>
      <c r="C359" s="840" t="s">
        <v>1278</v>
      </c>
      <c r="D359" s="839" t="s">
        <v>159</v>
      </c>
      <c r="E359" s="841">
        <v>20</v>
      </c>
      <c r="F359" s="839" t="s">
        <v>293</v>
      </c>
      <c r="G359" s="839" t="s">
        <v>174</v>
      </c>
    </row>
    <row r="360" spans="1:7" ht="13.5" customHeight="1" x14ac:dyDescent="0.35">
      <c r="A360" s="838">
        <v>44405</v>
      </c>
      <c r="B360" s="839" t="s">
        <v>402</v>
      </c>
      <c r="C360" s="840" t="s">
        <v>1279</v>
      </c>
      <c r="D360" s="839" t="s">
        <v>160</v>
      </c>
      <c r="E360" s="841">
        <v>85</v>
      </c>
      <c r="F360" s="848" t="s">
        <v>1092</v>
      </c>
      <c r="G360" s="839" t="s">
        <v>175</v>
      </c>
    </row>
    <row r="361" spans="1:7" ht="13.5" customHeight="1" x14ac:dyDescent="0.35">
      <c r="A361" s="838">
        <v>44405</v>
      </c>
      <c r="B361" s="839" t="s">
        <v>402</v>
      </c>
      <c r="C361" s="840" t="s">
        <v>1279</v>
      </c>
      <c r="D361" s="839" t="s">
        <v>160</v>
      </c>
      <c r="E361" s="841">
        <v>65</v>
      </c>
      <c r="F361" s="839" t="s">
        <v>2121</v>
      </c>
      <c r="G361" s="839" t="s">
        <v>175</v>
      </c>
    </row>
    <row r="362" spans="1:7" ht="13.5" customHeight="1" x14ac:dyDescent="0.35">
      <c r="A362" s="838">
        <v>44405</v>
      </c>
      <c r="B362" s="839" t="s">
        <v>402</v>
      </c>
      <c r="C362" s="840" t="s">
        <v>1279</v>
      </c>
      <c r="D362" s="839" t="s">
        <v>160</v>
      </c>
      <c r="E362" s="841">
        <v>35</v>
      </c>
      <c r="F362" s="839" t="s">
        <v>2123</v>
      </c>
      <c r="G362" s="839" t="s">
        <v>175</v>
      </c>
    </row>
    <row r="363" spans="1:7" ht="13.5" customHeight="1" x14ac:dyDescent="0.35">
      <c r="A363" s="838">
        <v>44405</v>
      </c>
      <c r="B363" s="839" t="s">
        <v>402</v>
      </c>
      <c r="C363" s="840" t="s">
        <v>1279</v>
      </c>
      <c r="D363" s="839" t="s">
        <v>160</v>
      </c>
      <c r="E363" s="841">
        <v>35</v>
      </c>
      <c r="F363" s="839" t="s">
        <v>2123</v>
      </c>
      <c r="G363" s="839" t="s">
        <v>175</v>
      </c>
    </row>
    <row r="364" spans="1:7" ht="13.5" customHeight="1" x14ac:dyDescent="0.35">
      <c r="A364" s="838">
        <v>44399</v>
      </c>
      <c r="B364" s="839" t="s">
        <v>2124</v>
      </c>
      <c r="C364" s="840" t="s">
        <v>1284</v>
      </c>
      <c r="D364" s="839" t="s">
        <v>159</v>
      </c>
      <c r="E364" s="841">
        <v>17</v>
      </c>
      <c r="F364" s="839" t="s">
        <v>1381</v>
      </c>
      <c r="G364" s="839" t="s">
        <v>175</v>
      </c>
    </row>
    <row r="365" spans="1:7" ht="13.5" customHeight="1" x14ac:dyDescent="0.35">
      <c r="A365" s="838">
        <v>44399</v>
      </c>
      <c r="B365" s="839" t="s">
        <v>2125</v>
      </c>
      <c r="C365" s="840" t="s">
        <v>1279</v>
      </c>
      <c r="D365" s="839" t="s">
        <v>159</v>
      </c>
      <c r="E365" s="841">
        <v>120</v>
      </c>
      <c r="F365" s="848" t="s">
        <v>2126</v>
      </c>
      <c r="G365" s="839" t="s">
        <v>174</v>
      </c>
    </row>
    <row r="366" spans="1:7" ht="13.5" customHeight="1" x14ac:dyDescent="0.35">
      <c r="A366" s="838">
        <v>44398</v>
      </c>
      <c r="B366" s="839" t="s">
        <v>2127</v>
      </c>
      <c r="C366" s="840" t="s">
        <v>28</v>
      </c>
      <c r="D366" s="839" t="s">
        <v>159</v>
      </c>
      <c r="E366" s="841">
        <v>30</v>
      </c>
      <c r="F366" s="839" t="s">
        <v>1236</v>
      </c>
      <c r="G366" s="839" t="s">
        <v>174</v>
      </c>
    </row>
    <row r="367" spans="1:7" ht="13.5" customHeight="1" x14ac:dyDescent="0.35">
      <c r="A367" s="838">
        <v>44397</v>
      </c>
      <c r="B367" s="839" t="s">
        <v>1009</v>
      </c>
      <c r="C367" s="840" t="s">
        <v>1277</v>
      </c>
      <c r="D367" s="839" t="s">
        <v>166</v>
      </c>
      <c r="E367" s="841">
        <v>-200</v>
      </c>
      <c r="F367" s="839" t="s">
        <v>2128</v>
      </c>
      <c r="G367" s="839" t="s">
        <v>175</v>
      </c>
    </row>
    <row r="368" spans="1:7" ht="13.5" customHeight="1" x14ac:dyDescent="0.35">
      <c r="A368" s="838">
        <v>44397</v>
      </c>
      <c r="B368" s="839" t="s">
        <v>1009</v>
      </c>
      <c r="C368" s="840" t="s">
        <v>28</v>
      </c>
      <c r="D368" s="839" t="s">
        <v>166</v>
      </c>
      <c r="E368" s="841">
        <v>200</v>
      </c>
      <c r="F368" s="839" t="s">
        <v>2128</v>
      </c>
      <c r="G368" s="839" t="s">
        <v>175</v>
      </c>
    </row>
    <row r="369" spans="1:7" ht="13.5" customHeight="1" x14ac:dyDescent="0.35">
      <c r="A369" s="838">
        <v>44397</v>
      </c>
      <c r="B369" s="839" t="s">
        <v>2129</v>
      </c>
      <c r="C369" s="840" t="s">
        <v>28</v>
      </c>
      <c r="D369" s="839" t="s">
        <v>160</v>
      </c>
      <c r="E369" s="841">
        <v>20</v>
      </c>
      <c r="F369" s="839" t="s">
        <v>2130</v>
      </c>
      <c r="G369" s="839" t="s">
        <v>174</v>
      </c>
    </row>
    <row r="370" spans="1:7" ht="13.5" customHeight="1" x14ac:dyDescent="0.35">
      <c r="A370" s="838">
        <v>44395</v>
      </c>
      <c r="B370" s="839" t="s">
        <v>2131</v>
      </c>
      <c r="C370" s="840" t="s">
        <v>1274</v>
      </c>
      <c r="D370" s="839" t="s">
        <v>165</v>
      </c>
      <c r="E370" s="841">
        <v>150</v>
      </c>
      <c r="F370" s="839" t="s">
        <v>235</v>
      </c>
      <c r="G370" s="839" t="s">
        <v>174</v>
      </c>
    </row>
    <row r="371" spans="1:7" ht="13.5" customHeight="1" x14ac:dyDescent="0.35">
      <c r="A371" s="838">
        <v>44395</v>
      </c>
      <c r="B371" s="839" t="s">
        <v>2131</v>
      </c>
      <c r="C371" s="840" t="s">
        <v>1281</v>
      </c>
      <c r="D371" s="839" t="s">
        <v>165</v>
      </c>
      <c r="E371" s="841">
        <v>-150</v>
      </c>
      <c r="F371" s="839" t="s">
        <v>235</v>
      </c>
      <c r="G371" s="839" t="s">
        <v>174</v>
      </c>
    </row>
    <row r="372" spans="1:7" ht="13.5" customHeight="1" x14ac:dyDescent="0.35">
      <c r="A372" s="838">
        <v>44395</v>
      </c>
      <c r="B372" s="839" t="s">
        <v>2131</v>
      </c>
      <c r="C372" s="840" t="s">
        <v>1274</v>
      </c>
      <c r="D372" s="839" t="s">
        <v>165</v>
      </c>
      <c r="E372" s="841">
        <v>150</v>
      </c>
      <c r="F372" s="839" t="s">
        <v>235</v>
      </c>
      <c r="G372" s="839" t="s">
        <v>174</v>
      </c>
    </row>
    <row r="373" spans="1:7" ht="13.5" customHeight="1" x14ac:dyDescent="0.35">
      <c r="A373" s="838">
        <v>44395</v>
      </c>
      <c r="B373" s="839" t="s">
        <v>2131</v>
      </c>
      <c r="C373" s="840" t="s">
        <v>1281</v>
      </c>
      <c r="D373" s="839" t="s">
        <v>165</v>
      </c>
      <c r="E373" s="841">
        <v>-150</v>
      </c>
      <c r="F373" s="839" t="s">
        <v>235</v>
      </c>
      <c r="G373" s="839" t="s">
        <v>174</v>
      </c>
    </row>
    <row r="374" spans="1:7" ht="13.5" customHeight="1" x14ac:dyDescent="0.35">
      <c r="A374" s="838">
        <v>44395</v>
      </c>
      <c r="B374" s="839" t="s">
        <v>2132</v>
      </c>
      <c r="C374" s="840" t="s">
        <v>1279</v>
      </c>
      <c r="D374" s="839" t="s">
        <v>159</v>
      </c>
      <c r="E374" s="841">
        <v>120</v>
      </c>
      <c r="F374" s="848" t="s">
        <v>2133</v>
      </c>
      <c r="G374" s="839" t="s">
        <v>174</v>
      </c>
    </row>
    <row r="375" spans="1:7" ht="13.5" customHeight="1" x14ac:dyDescent="0.35">
      <c r="A375" s="838">
        <v>44392</v>
      </c>
      <c r="B375" s="839" t="s">
        <v>2134</v>
      </c>
      <c r="C375" s="840" t="s">
        <v>1274</v>
      </c>
      <c r="D375" s="839" t="s">
        <v>160</v>
      </c>
      <c r="E375" s="841">
        <v>275</v>
      </c>
      <c r="F375" s="839" t="s">
        <v>2135</v>
      </c>
      <c r="G375" s="839" t="s">
        <v>175</v>
      </c>
    </row>
    <row r="376" spans="1:7" ht="13.5" customHeight="1" x14ac:dyDescent="0.35">
      <c r="A376" s="838">
        <v>44391</v>
      </c>
      <c r="B376" s="839" t="s">
        <v>2136</v>
      </c>
      <c r="C376" s="840" t="s">
        <v>1279</v>
      </c>
      <c r="D376" s="839" t="s">
        <v>160</v>
      </c>
      <c r="E376" s="841">
        <v>35</v>
      </c>
      <c r="F376" s="839" t="s">
        <v>2123</v>
      </c>
      <c r="G376" s="839" t="s">
        <v>174</v>
      </c>
    </row>
    <row r="377" spans="1:7" ht="13.5" customHeight="1" x14ac:dyDescent="0.35">
      <c r="A377" s="838">
        <v>44389</v>
      </c>
      <c r="B377" s="839" t="s">
        <v>2134</v>
      </c>
      <c r="C377" s="840" t="s">
        <v>1277</v>
      </c>
      <c r="D377" s="839" t="s">
        <v>166</v>
      </c>
      <c r="E377" s="841">
        <v>-200</v>
      </c>
      <c r="F377" s="839" t="s">
        <v>2135</v>
      </c>
      <c r="G377" s="839" t="s">
        <v>175</v>
      </c>
    </row>
    <row r="378" spans="1:7" ht="13.5" customHeight="1" x14ac:dyDescent="0.35">
      <c r="A378" s="838">
        <v>44389</v>
      </c>
      <c r="B378" s="839" t="s">
        <v>2134</v>
      </c>
      <c r="C378" s="840" t="s">
        <v>1274</v>
      </c>
      <c r="D378" s="839" t="s">
        <v>166</v>
      </c>
      <c r="E378" s="841">
        <v>200</v>
      </c>
      <c r="F378" s="839" t="s">
        <v>2135</v>
      </c>
      <c r="G378" s="839" t="s">
        <v>175</v>
      </c>
    </row>
    <row r="379" spans="1:7" ht="13.5" customHeight="1" x14ac:dyDescent="0.35">
      <c r="A379" s="838">
        <v>44389</v>
      </c>
      <c r="B379" s="839" t="s">
        <v>2137</v>
      </c>
      <c r="C379" s="840" t="s">
        <v>1274</v>
      </c>
      <c r="D379" s="839" t="s">
        <v>160</v>
      </c>
      <c r="E379" s="841">
        <v>475</v>
      </c>
      <c r="F379" s="839" t="s">
        <v>2135</v>
      </c>
      <c r="G379" s="839" t="s">
        <v>175</v>
      </c>
    </row>
    <row r="380" spans="1:7" ht="13.5" customHeight="1" x14ac:dyDescent="0.35">
      <c r="A380" s="838">
        <v>44389</v>
      </c>
      <c r="B380" s="839" t="s">
        <v>2138</v>
      </c>
      <c r="C380" s="840" t="s">
        <v>1274</v>
      </c>
      <c r="D380" s="839" t="s">
        <v>159</v>
      </c>
      <c r="E380" s="841">
        <v>425</v>
      </c>
      <c r="F380" s="839" t="s">
        <v>2135</v>
      </c>
      <c r="G380" s="839" t="s">
        <v>175</v>
      </c>
    </row>
    <row r="381" spans="1:7" ht="13.5" customHeight="1" x14ac:dyDescent="0.35">
      <c r="A381" s="838">
        <v>44388</v>
      </c>
      <c r="B381" s="839" t="s">
        <v>2139</v>
      </c>
      <c r="C381" s="840" t="s">
        <v>1274</v>
      </c>
      <c r="D381" s="839" t="s">
        <v>159</v>
      </c>
      <c r="E381" s="841">
        <v>475</v>
      </c>
      <c r="F381" s="839" t="s">
        <v>2140</v>
      </c>
      <c r="G381" s="839" t="s">
        <v>174</v>
      </c>
    </row>
    <row r="382" spans="1:7" ht="13.5" customHeight="1" x14ac:dyDescent="0.35">
      <c r="A382" s="838">
        <v>44388</v>
      </c>
      <c r="B382" s="839" t="s">
        <v>2141</v>
      </c>
      <c r="C382" s="840" t="s">
        <v>1274</v>
      </c>
      <c r="D382" s="839" t="s">
        <v>160</v>
      </c>
      <c r="E382" s="841">
        <v>425</v>
      </c>
      <c r="F382" s="839" t="s">
        <v>2135</v>
      </c>
      <c r="G382" s="839" t="s">
        <v>174</v>
      </c>
    </row>
    <row r="383" spans="1:7" ht="13.5" customHeight="1" x14ac:dyDescent="0.35">
      <c r="A383" s="838">
        <v>44387</v>
      </c>
      <c r="B383" s="839" t="s">
        <v>2142</v>
      </c>
      <c r="C383" s="840" t="s">
        <v>1284</v>
      </c>
      <c r="D383" s="839" t="s">
        <v>159</v>
      </c>
      <c r="E383" s="841">
        <v>17</v>
      </c>
      <c r="F383" s="839" t="s">
        <v>1381</v>
      </c>
      <c r="G383" s="839" t="s">
        <v>174</v>
      </c>
    </row>
    <row r="384" spans="1:7" ht="13.5" customHeight="1" x14ac:dyDescent="0.35">
      <c r="A384" s="838">
        <v>44386</v>
      </c>
      <c r="B384" s="839" t="s">
        <v>402</v>
      </c>
      <c r="C384" s="840" t="s">
        <v>1279</v>
      </c>
      <c r="D384" s="839" t="s">
        <v>160</v>
      </c>
      <c r="E384" s="841">
        <v>35</v>
      </c>
      <c r="F384" s="839" t="s">
        <v>2094</v>
      </c>
      <c r="G384" s="839" t="s">
        <v>175</v>
      </c>
    </row>
    <row r="385" spans="1:7" ht="13.5" customHeight="1" x14ac:dyDescent="0.35">
      <c r="A385" s="838">
        <v>44385</v>
      </c>
      <c r="B385" s="839" t="s">
        <v>2143</v>
      </c>
      <c r="C385" s="840" t="s">
        <v>1274</v>
      </c>
      <c r="D385" s="839" t="s">
        <v>159</v>
      </c>
      <c r="E385" s="841">
        <v>150</v>
      </c>
      <c r="F385" s="839" t="s">
        <v>177</v>
      </c>
      <c r="G385" s="839" t="s">
        <v>174</v>
      </c>
    </row>
    <row r="386" spans="1:7" ht="13.5" customHeight="1" x14ac:dyDescent="0.35">
      <c r="A386" s="838">
        <v>44385</v>
      </c>
      <c r="B386" s="839" t="s">
        <v>1690</v>
      </c>
      <c r="C386" s="840" t="s">
        <v>1282</v>
      </c>
      <c r="D386" s="839" t="s">
        <v>159</v>
      </c>
      <c r="E386" s="841">
        <v>100</v>
      </c>
      <c r="F386" s="839" t="s">
        <v>2144</v>
      </c>
      <c r="G386" s="839" t="s">
        <v>175</v>
      </c>
    </row>
    <row r="387" spans="1:7" ht="13.5" customHeight="1" x14ac:dyDescent="0.35">
      <c r="A387" s="838">
        <v>44384</v>
      </c>
      <c r="B387" s="839" t="s">
        <v>2145</v>
      </c>
      <c r="C387" s="840" t="s">
        <v>1284</v>
      </c>
      <c r="D387" s="839" t="s">
        <v>159</v>
      </c>
      <c r="E387" s="841">
        <v>25</v>
      </c>
      <c r="F387" s="839" t="s">
        <v>753</v>
      </c>
      <c r="G387" s="839" t="s">
        <v>175</v>
      </c>
    </row>
    <row r="388" spans="1:7" ht="13.5" customHeight="1" x14ac:dyDescent="0.35">
      <c r="A388" s="838">
        <v>44384</v>
      </c>
      <c r="B388" s="839" t="s">
        <v>1792</v>
      </c>
      <c r="C388" s="840" t="s">
        <v>1274</v>
      </c>
      <c r="D388" s="839" t="s">
        <v>159</v>
      </c>
      <c r="E388" s="841">
        <v>475</v>
      </c>
      <c r="F388" s="839" t="s">
        <v>495</v>
      </c>
      <c r="G388" s="839" t="s">
        <v>174</v>
      </c>
    </row>
    <row r="389" spans="1:7" ht="13.5" customHeight="1" x14ac:dyDescent="0.35">
      <c r="A389" s="838">
        <v>44379</v>
      </c>
      <c r="B389" s="839" t="s">
        <v>1466</v>
      </c>
      <c r="C389" s="840" t="s">
        <v>1277</v>
      </c>
      <c r="D389" s="839" t="s">
        <v>166</v>
      </c>
      <c r="E389" s="841">
        <v>-35</v>
      </c>
      <c r="F389" s="839" t="s">
        <v>2123</v>
      </c>
      <c r="G389" s="839" t="s">
        <v>175</v>
      </c>
    </row>
    <row r="390" spans="1:7" ht="13.5" customHeight="1" x14ac:dyDescent="0.35">
      <c r="A390" s="838">
        <v>44379</v>
      </c>
      <c r="B390" s="839" t="s">
        <v>1466</v>
      </c>
      <c r="C390" s="840" t="s">
        <v>1279</v>
      </c>
      <c r="D390" s="839" t="s">
        <v>166</v>
      </c>
      <c r="E390" s="841">
        <v>35</v>
      </c>
      <c r="F390" s="839" t="s">
        <v>2123</v>
      </c>
      <c r="G390" s="839" t="s">
        <v>175</v>
      </c>
    </row>
    <row r="391" spans="1:7" ht="13.5" customHeight="1" x14ac:dyDescent="0.35">
      <c r="A391" s="838">
        <v>44378</v>
      </c>
      <c r="B391" s="839" t="s">
        <v>402</v>
      </c>
      <c r="C391" s="840" t="s">
        <v>1279</v>
      </c>
      <c r="D391" s="839" t="s">
        <v>160</v>
      </c>
      <c r="E391" s="841">
        <v>35</v>
      </c>
      <c r="F391" s="839" t="s">
        <v>2123</v>
      </c>
      <c r="G391" s="839" t="s">
        <v>174</v>
      </c>
    </row>
    <row r="392" spans="1:7" ht="13.5" customHeight="1" x14ac:dyDescent="0.35">
      <c r="A392" s="838">
        <v>44378</v>
      </c>
      <c r="B392" s="839" t="s">
        <v>1077</v>
      </c>
      <c r="C392" s="840" t="s">
        <v>1276</v>
      </c>
      <c r="D392" s="839" t="s">
        <v>161</v>
      </c>
      <c r="E392" s="841">
        <v>75</v>
      </c>
      <c r="F392" s="839" t="s">
        <v>1078</v>
      </c>
      <c r="G392" s="839" t="s">
        <v>175</v>
      </c>
    </row>
    <row r="393" spans="1:7" ht="13.5" customHeight="1" x14ac:dyDescent="0.35">
      <c r="A393" s="838">
        <v>44378</v>
      </c>
      <c r="B393" s="839" t="s">
        <v>292</v>
      </c>
      <c r="C393" s="840" t="s">
        <v>1278</v>
      </c>
      <c r="D393" s="840" t="s">
        <v>161</v>
      </c>
      <c r="E393" s="842">
        <v>120</v>
      </c>
      <c r="F393" s="840" t="s">
        <v>292</v>
      </c>
      <c r="G393" s="840" t="s">
        <v>175</v>
      </c>
    </row>
    <row r="394" spans="1:7" ht="13.5" customHeight="1" x14ac:dyDescent="0.35">
      <c r="A394" s="838"/>
      <c r="B394" s="839"/>
      <c r="C394" s="840"/>
      <c r="D394" s="839"/>
      <c r="E394" s="841"/>
      <c r="F394" s="839"/>
      <c r="G394" s="839"/>
    </row>
    <row r="395" spans="1:7" ht="13.5" customHeight="1" x14ac:dyDescent="0.35">
      <c r="A395" s="838">
        <v>44375</v>
      </c>
      <c r="B395" s="839" t="s">
        <v>2146</v>
      </c>
      <c r="C395" s="840" t="s">
        <v>1274</v>
      </c>
      <c r="D395" s="839" t="s">
        <v>160</v>
      </c>
      <c r="E395" s="841">
        <v>125</v>
      </c>
      <c r="F395" s="839" t="s">
        <v>230</v>
      </c>
      <c r="G395" s="839" t="s">
        <v>174</v>
      </c>
    </row>
    <row r="396" spans="1:7" ht="13.5" customHeight="1" x14ac:dyDescent="0.35">
      <c r="A396" s="838">
        <v>44373</v>
      </c>
      <c r="B396" s="839" t="s">
        <v>2147</v>
      </c>
      <c r="C396" s="840" t="s">
        <v>1274</v>
      </c>
      <c r="D396" s="839" t="s">
        <v>160</v>
      </c>
      <c r="E396" s="841">
        <v>150</v>
      </c>
      <c r="F396" s="839" t="s">
        <v>235</v>
      </c>
      <c r="G396" s="839" t="s">
        <v>174</v>
      </c>
    </row>
    <row r="397" spans="1:7" ht="13.5" customHeight="1" x14ac:dyDescent="0.35">
      <c r="A397" s="838">
        <v>44372</v>
      </c>
      <c r="B397" s="839" t="s">
        <v>2148</v>
      </c>
      <c r="C397" s="840" t="s">
        <v>1279</v>
      </c>
      <c r="D397" s="839" t="s">
        <v>159</v>
      </c>
      <c r="E397" s="841">
        <v>360</v>
      </c>
      <c r="F397" s="839" t="s">
        <v>1161</v>
      </c>
      <c r="G397" s="839" t="s">
        <v>176</v>
      </c>
    </row>
    <row r="398" spans="1:7" ht="13.5" customHeight="1" x14ac:dyDescent="0.35">
      <c r="A398" s="838">
        <v>44371</v>
      </c>
      <c r="B398" s="839" t="s">
        <v>2149</v>
      </c>
      <c r="C398" s="840" t="s">
        <v>1278</v>
      </c>
      <c r="D398" s="839" t="s">
        <v>159</v>
      </c>
      <c r="E398" s="841">
        <v>20</v>
      </c>
      <c r="F398" s="839" t="s">
        <v>293</v>
      </c>
      <c r="G398" s="839" t="s">
        <v>174</v>
      </c>
    </row>
    <row r="399" spans="1:7" ht="13.5" customHeight="1" x14ac:dyDescent="0.35">
      <c r="A399" s="838">
        <v>44371</v>
      </c>
      <c r="B399" s="839" t="s">
        <v>1794</v>
      </c>
      <c r="C399" s="840" t="s">
        <v>1274</v>
      </c>
      <c r="D399" s="839" t="s">
        <v>159</v>
      </c>
      <c r="E399" s="841">
        <v>475</v>
      </c>
      <c r="F399" s="839" t="s">
        <v>2140</v>
      </c>
      <c r="G399" s="839" t="s">
        <v>174</v>
      </c>
    </row>
    <row r="400" spans="1:7" ht="13.5" customHeight="1" x14ac:dyDescent="0.35">
      <c r="A400" s="838">
        <v>44371</v>
      </c>
      <c r="B400" s="839" t="s">
        <v>2150</v>
      </c>
      <c r="C400" s="840" t="s">
        <v>1279</v>
      </c>
      <c r="D400" s="839" t="s">
        <v>160</v>
      </c>
      <c r="E400" s="841">
        <v>360</v>
      </c>
      <c r="F400" s="839" t="s">
        <v>2151</v>
      </c>
      <c r="G400" s="839" t="s">
        <v>174</v>
      </c>
    </row>
    <row r="401" spans="1:7" ht="13.5" customHeight="1" x14ac:dyDescent="0.35">
      <c r="A401" s="838">
        <v>44368</v>
      </c>
      <c r="B401" s="839" t="s">
        <v>2152</v>
      </c>
      <c r="C401" s="840" t="s">
        <v>1279</v>
      </c>
      <c r="D401" s="839" t="s">
        <v>159</v>
      </c>
      <c r="E401" s="841">
        <v>50</v>
      </c>
      <c r="F401" s="839" t="s">
        <v>1377</v>
      </c>
      <c r="G401" s="839" t="s">
        <v>174</v>
      </c>
    </row>
    <row r="402" spans="1:7" ht="13.5" customHeight="1" x14ac:dyDescent="0.35">
      <c r="A402" s="838">
        <v>44368</v>
      </c>
      <c r="B402" s="839" t="s">
        <v>2152</v>
      </c>
      <c r="C402" s="840" t="s">
        <v>1279</v>
      </c>
      <c r="D402" s="839" t="s">
        <v>159</v>
      </c>
      <c r="E402" s="841">
        <v>35</v>
      </c>
      <c r="F402" s="839" t="s">
        <v>1377</v>
      </c>
      <c r="G402" s="839" t="s">
        <v>174</v>
      </c>
    </row>
    <row r="403" spans="1:7" ht="13.5" customHeight="1" x14ac:dyDescent="0.35">
      <c r="A403" s="838">
        <v>44368</v>
      </c>
      <c r="B403" s="839" t="s">
        <v>2153</v>
      </c>
      <c r="C403" s="840" t="s">
        <v>1274</v>
      </c>
      <c r="D403" s="839" t="s">
        <v>160</v>
      </c>
      <c r="E403" s="841">
        <v>18</v>
      </c>
      <c r="F403" s="839" t="s">
        <v>2154</v>
      </c>
      <c r="G403" s="839" t="s">
        <v>175</v>
      </c>
    </row>
    <row r="404" spans="1:7" ht="13.5" customHeight="1" x14ac:dyDescent="0.35">
      <c r="A404" s="838">
        <v>44366</v>
      </c>
      <c r="B404" s="839" t="s">
        <v>89</v>
      </c>
      <c r="C404" s="840" t="s">
        <v>1282</v>
      </c>
      <c r="D404" s="839" t="s">
        <v>160</v>
      </c>
      <c r="E404" s="841">
        <v>46.52</v>
      </c>
      <c r="F404" s="839" t="s">
        <v>284</v>
      </c>
      <c r="G404" s="839" t="s">
        <v>175</v>
      </c>
    </row>
    <row r="405" spans="1:7" ht="13.5" customHeight="1" x14ac:dyDescent="0.35">
      <c r="A405" s="838">
        <v>44363</v>
      </c>
      <c r="B405" s="839" t="s">
        <v>2155</v>
      </c>
      <c r="C405" s="840" t="s">
        <v>1274</v>
      </c>
      <c r="D405" s="839" t="s">
        <v>159</v>
      </c>
      <c r="E405" s="841">
        <v>85</v>
      </c>
      <c r="F405" s="839" t="s">
        <v>224</v>
      </c>
      <c r="G405" s="839" t="s">
        <v>174</v>
      </c>
    </row>
    <row r="406" spans="1:7" ht="13.5" customHeight="1" x14ac:dyDescent="0.35">
      <c r="A406" s="838">
        <v>44362</v>
      </c>
      <c r="B406" s="839" t="s">
        <v>2156</v>
      </c>
      <c r="C406" s="840" t="s">
        <v>1281</v>
      </c>
      <c r="D406" s="839" t="s">
        <v>165</v>
      </c>
      <c r="E406" s="841">
        <v>-65</v>
      </c>
      <c r="F406" s="839" t="s">
        <v>2157</v>
      </c>
      <c r="G406" s="839" t="s">
        <v>175</v>
      </c>
    </row>
    <row r="407" spans="1:7" ht="13.5" customHeight="1" x14ac:dyDescent="0.35">
      <c r="A407" s="838">
        <v>44362</v>
      </c>
      <c r="B407" s="839" t="s">
        <v>2156</v>
      </c>
      <c r="C407" s="840" t="s">
        <v>1279</v>
      </c>
      <c r="D407" s="839" t="s">
        <v>165</v>
      </c>
      <c r="E407" s="841">
        <v>65</v>
      </c>
      <c r="F407" s="839" t="s">
        <v>2157</v>
      </c>
      <c r="G407" s="839" t="s">
        <v>175</v>
      </c>
    </row>
    <row r="408" spans="1:7" ht="13.5" customHeight="1" x14ac:dyDescent="0.35">
      <c r="A408" s="838">
        <v>44362</v>
      </c>
      <c r="B408" s="839" t="s">
        <v>2057</v>
      </c>
      <c r="C408" s="840" t="s">
        <v>1274</v>
      </c>
      <c r="D408" s="839" t="s">
        <v>160</v>
      </c>
      <c r="E408" s="841">
        <v>85</v>
      </c>
      <c r="F408" s="839" t="s">
        <v>467</v>
      </c>
      <c r="G408" s="839" t="s">
        <v>174</v>
      </c>
    </row>
    <row r="409" spans="1:7" ht="13.5" customHeight="1" x14ac:dyDescent="0.35">
      <c r="A409" s="838">
        <v>44362</v>
      </c>
      <c r="B409" s="839" t="s">
        <v>2057</v>
      </c>
      <c r="C409" s="840" t="s">
        <v>1274</v>
      </c>
      <c r="D409" s="839" t="s">
        <v>159</v>
      </c>
      <c r="E409" s="841">
        <v>400</v>
      </c>
      <c r="F409" s="839" t="s">
        <v>467</v>
      </c>
      <c r="G409" s="839" t="s">
        <v>174</v>
      </c>
    </row>
    <row r="410" spans="1:7" ht="13.5" customHeight="1" x14ac:dyDescent="0.35">
      <c r="A410" s="838">
        <v>44362</v>
      </c>
      <c r="B410" s="839" t="s">
        <v>87</v>
      </c>
      <c r="C410" s="840" t="s">
        <v>1282</v>
      </c>
      <c r="D410" s="839" t="s">
        <v>160</v>
      </c>
      <c r="E410" s="841">
        <v>1167.33</v>
      </c>
      <c r="F410" s="839" t="s">
        <v>2158</v>
      </c>
      <c r="G410" s="839" t="s">
        <v>175</v>
      </c>
    </row>
    <row r="411" spans="1:7" ht="13.5" customHeight="1" x14ac:dyDescent="0.35">
      <c r="A411" s="838">
        <v>44356</v>
      </c>
      <c r="B411" s="839" t="s">
        <v>2159</v>
      </c>
      <c r="C411" s="840" t="s">
        <v>1280</v>
      </c>
      <c r="D411" s="839" t="s">
        <v>159</v>
      </c>
      <c r="E411" s="841">
        <v>50</v>
      </c>
      <c r="F411" s="839" t="s">
        <v>734</v>
      </c>
      <c r="G411" s="839" t="s">
        <v>174</v>
      </c>
    </row>
    <row r="412" spans="1:7" ht="13.5" customHeight="1" x14ac:dyDescent="0.35">
      <c r="A412" s="838">
        <v>44354</v>
      </c>
      <c r="B412" s="839" t="s">
        <v>2160</v>
      </c>
      <c r="C412" s="840" t="s">
        <v>1284</v>
      </c>
      <c r="D412" s="839" t="s">
        <v>159</v>
      </c>
      <c r="E412" s="841">
        <v>15</v>
      </c>
      <c r="F412" s="839" t="s">
        <v>1381</v>
      </c>
      <c r="G412" s="839" t="s">
        <v>175</v>
      </c>
    </row>
    <row r="413" spans="1:7" ht="13.5" customHeight="1" x14ac:dyDescent="0.35">
      <c r="A413" s="838">
        <v>44353</v>
      </c>
      <c r="B413" s="839" t="s">
        <v>2161</v>
      </c>
      <c r="C413" s="840" t="s">
        <v>1274</v>
      </c>
      <c r="D413" s="839" t="s">
        <v>159</v>
      </c>
      <c r="E413" s="841">
        <v>150</v>
      </c>
      <c r="F413" s="839" t="s">
        <v>2162</v>
      </c>
      <c r="G413" s="839" t="s">
        <v>174</v>
      </c>
    </row>
    <row r="414" spans="1:7" ht="13.5" customHeight="1" x14ac:dyDescent="0.35">
      <c r="A414" s="838">
        <v>44352</v>
      </c>
      <c r="B414" s="839" t="s">
        <v>2163</v>
      </c>
      <c r="C414" s="840" t="s">
        <v>1284</v>
      </c>
      <c r="D414" s="839" t="s">
        <v>160</v>
      </c>
      <c r="E414" s="841">
        <v>15.5</v>
      </c>
      <c r="F414" s="839" t="s">
        <v>1381</v>
      </c>
      <c r="G414" s="839" t="s">
        <v>174</v>
      </c>
    </row>
    <row r="415" spans="1:7" ht="13.5" customHeight="1" x14ac:dyDescent="0.35">
      <c r="A415" s="838">
        <v>44351</v>
      </c>
      <c r="B415" s="839" t="s">
        <v>2164</v>
      </c>
      <c r="C415" s="840" t="s">
        <v>1274</v>
      </c>
      <c r="D415" s="839" t="s">
        <v>159</v>
      </c>
      <c r="E415" s="841">
        <v>75</v>
      </c>
      <c r="F415" s="839" t="s">
        <v>501</v>
      </c>
      <c r="G415" s="839" t="s">
        <v>174</v>
      </c>
    </row>
    <row r="416" spans="1:7" ht="13.5" customHeight="1" x14ac:dyDescent="0.35">
      <c r="A416" s="838">
        <v>44351</v>
      </c>
      <c r="B416" s="839" t="s">
        <v>2165</v>
      </c>
      <c r="C416" s="840" t="s">
        <v>1279</v>
      </c>
      <c r="D416" s="839" t="s">
        <v>160</v>
      </c>
      <c r="E416" s="841">
        <v>616.25</v>
      </c>
      <c r="F416" s="848" t="s">
        <v>2166</v>
      </c>
      <c r="G416" s="839" t="s">
        <v>174</v>
      </c>
    </row>
    <row r="417" spans="1:7" ht="13.5" customHeight="1" x14ac:dyDescent="0.35">
      <c r="A417" s="838">
        <v>44349</v>
      </c>
      <c r="B417" s="839" t="s">
        <v>2167</v>
      </c>
      <c r="C417" s="840" t="s">
        <v>1281</v>
      </c>
      <c r="D417" s="839" t="s">
        <v>165</v>
      </c>
      <c r="E417" s="841">
        <v>-350</v>
      </c>
      <c r="F417" s="839" t="s">
        <v>1161</v>
      </c>
      <c r="G417" s="839" t="s">
        <v>175</v>
      </c>
    </row>
    <row r="418" spans="1:7" ht="13.5" customHeight="1" x14ac:dyDescent="0.35">
      <c r="A418" s="838">
        <v>44349</v>
      </c>
      <c r="B418" s="839" t="s">
        <v>2167</v>
      </c>
      <c r="C418" s="840" t="s">
        <v>1279</v>
      </c>
      <c r="D418" s="839" t="s">
        <v>165</v>
      </c>
      <c r="E418" s="841">
        <v>350</v>
      </c>
      <c r="F418" s="839" t="s">
        <v>1161</v>
      </c>
      <c r="G418" s="839" t="s">
        <v>175</v>
      </c>
    </row>
    <row r="419" spans="1:7" ht="13.5" customHeight="1" x14ac:dyDescent="0.35">
      <c r="A419" s="838">
        <v>44349</v>
      </c>
      <c r="B419" s="839" t="s">
        <v>2167</v>
      </c>
      <c r="C419" s="840" t="s">
        <v>1279</v>
      </c>
      <c r="D419" s="839" t="s">
        <v>159</v>
      </c>
      <c r="E419" s="841">
        <v>10</v>
      </c>
      <c r="F419" s="839" t="s">
        <v>1161</v>
      </c>
      <c r="G419" s="839" t="s">
        <v>175</v>
      </c>
    </row>
    <row r="420" spans="1:7" ht="13.5" customHeight="1" x14ac:dyDescent="0.35">
      <c r="A420" s="838">
        <v>44349</v>
      </c>
      <c r="B420" s="839" t="s">
        <v>2156</v>
      </c>
      <c r="C420" s="840" t="s">
        <v>1281</v>
      </c>
      <c r="D420" s="839" t="s">
        <v>165</v>
      </c>
      <c r="E420" s="841">
        <v>-65</v>
      </c>
      <c r="F420" s="839" t="s">
        <v>2168</v>
      </c>
      <c r="G420" s="839" t="s">
        <v>175</v>
      </c>
    </row>
    <row r="421" spans="1:7" ht="13.5" customHeight="1" x14ac:dyDescent="0.35">
      <c r="A421" s="838">
        <v>44349</v>
      </c>
      <c r="B421" s="839" t="s">
        <v>2156</v>
      </c>
      <c r="C421" s="840" t="s">
        <v>1279</v>
      </c>
      <c r="D421" s="839" t="s">
        <v>165</v>
      </c>
      <c r="E421" s="841">
        <v>65</v>
      </c>
      <c r="F421" s="839" t="s">
        <v>2168</v>
      </c>
      <c r="G421" s="839" t="s">
        <v>175</v>
      </c>
    </row>
    <row r="422" spans="1:7" ht="13.5" customHeight="1" x14ac:dyDescent="0.35">
      <c r="A422" s="838">
        <v>44348</v>
      </c>
      <c r="B422" s="839" t="s">
        <v>1077</v>
      </c>
      <c r="C422" s="840" t="s">
        <v>1276</v>
      </c>
      <c r="D422" s="839" t="s">
        <v>161</v>
      </c>
      <c r="E422" s="841">
        <v>450</v>
      </c>
      <c r="F422" s="839" t="s">
        <v>1078</v>
      </c>
      <c r="G422" s="839" t="s">
        <v>175</v>
      </c>
    </row>
    <row r="423" spans="1:7" ht="13.5" customHeight="1" x14ac:dyDescent="0.35">
      <c r="A423" s="838">
        <v>44348</v>
      </c>
      <c r="B423" s="839" t="s">
        <v>292</v>
      </c>
      <c r="C423" s="840" t="s">
        <v>1278</v>
      </c>
      <c r="D423" s="840" t="s">
        <v>161</v>
      </c>
      <c r="E423" s="842">
        <v>100</v>
      </c>
      <c r="F423" s="840" t="s">
        <v>292</v>
      </c>
      <c r="G423" s="840" t="s">
        <v>175</v>
      </c>
    </row>
    <row r="424" spans="1:7" ht="13.5" customHeight="1" x14ac:dyDescent="0.35">
      <c r="A424" s="838"/>
      <c r="B424" s="839"/>
      <c r="C424" s="840"/>
      <c r="D424" s="839"/>
      <c r="E424" s="841"/>
      <c r="F424" s="839"/>
      <c r="G424" s="839"/>
    </row>
    <row r="425" spans="1:7" ht="13.5" customHeight="1" x14ac:dyDescent="0.35">
      <c r="A425" s="838">
        <v>44346</v>
      </c>
      <c r="B425" s="839" t="s">
        <v>2169</v>
      </c>
      <c r="C425" s="840" t="s">
        <v>1278</v>
      </c>
      <c r="D425" s="839" t="s">
        <v>159</v>
      </c>
      <c r="E425" s="841">
        <v>20</v>
      </c>
      <c r="F425" s="839" t="s">
        <v>293</v>
      </c>
      <c r="G425" s="839" t="s">
        <v>174</v>
      </c>
    </row>
    <row r="426" spans="1:7" ht="13.5" customHeight="1" x14ac:dyDescent="0.35">
      <c r="A426" s="838">
        <v>44345</v>
      </c>
      <c r="B426" s="839" t="s">
        <v>89</v>
      </c>
      <c r="C426" s="840" t="s">
        <v>1282</v>
      </c>
      <c r="D426" s="839" t="s">
        <v>160</v>
      </c>
      <c r="E426" s="841">
        <v>39.340000000000003</v>
      </c>
      <c r="F426" s="839" t="s">
        <v>1026</v>
      </c>
      <c r="G426" s="839" t="s">
        <v>175</v>
      </c>
    </row>
    <row r="427" spans="1:7" ht="13.5" customHeight="1" x14ac:dyDescent="0.35">
      <c r="A427" s="838">
        <v>44344</v>
      </c>
      <c r="B427" s="839" t="s">
        <v>2170</v>
      </c>
      <c r="C427" s="840" t="s">
        <v>1279</v>
      </c>
      <c r="D427" s="839" t="s">
        <v>160</v>
      </c>
      <c r="E427" s="841">
        <v>35</v>
      </c>
      <c r="F427" s="839" t="s">
        <v>1783</v>
      </c>
      <c r="G427" s="839" t="s">
        <v>174</v>
      </c>
    </row>
    <row r="428" spans="1:7" ht="13.5" customHeight="1" x14ac:dyDescent="0.35">
      <c r="A428" s="838">
        <v>44343</v>
      </c>
      <c r="B428" s="839" t="s">
        <v>2171</v>
      </c>
      <c r="C428" s="840" t="s">
        <v>28</v>
      </c>
      <c r="D428" s="839" t="s">
        <v>160</v>
      </c>
      <c r="E428" s="841">
        <v>30</v>
      </c>
      <c r="F428" s="839" t="s">
        <v>1236</v>
      </c>
      <c r="G428" s="839" t="s">
        <v>174</v>
      </c>
    </row>
    <row r="429" spans="1:7" ht="13.5" customHeight="1" x14ac:dyDescent="0.35">
      <c r="A429" s="838">
        <v>44343</v>
      </c>
      <c r="B429" s="839" t="s">
        <v>1690</v>
      </c>
      <c r="C429" s="840" t="s">
        <v>1282</v>
      </c>
      <c r="D429" s="839" t="s">
        <v>159</v>
      </c>
      <c r="E429" s="841">
        <v>285</v>
      </c>
      <c r="F429" s="839" t="s">
        <v>2144</v>
      </c>
      <c r="G429" s="839" t="s">
        <v>175</v>
      </c>
    </row>
    <row r="430" spans="1:7" ht="13.5" customHeight="1" x14ac:dyDescent="0.35">
      <c r="A430" s="838">
        <v>44342</v>
      </c>
      <c r="B430" s="839" t="s">
        <v>2172</v>
      </c>
      <c r="C430" s="840" t="s">
        <v>28</v>
      </c>
      <c r="D430" s="839" t="s">
        <v>159</v>
      </c>
      <c r="E430" s="841">
        <v>250</v>
      </c>
      <c r="F430" s="839" t="s">
        <v>291</v>
      </c>
      <c r="G430" s="839" t="s">
        <v>175</v>
      </c>
    </row>
    <row r="431" spans="1:7" ht="13.5" customHeight="1" x14ac:dyDescent="0.35">
      <c r="A431" s="838">
        <v>44342</v>
      </c>
      <c r="B431" s="839" t="s">
        <v>1466</v>
      </c>
      <c r="C431" s="840" t="s">
        <v>1277</v>
      </c>
      <c r="D431" s="839" t="s">
        <v>166</v>
      </c>
      <c r="E431" s="841">
        <v>-45</v>
      </c>
      <c r="F431" s="839" t="s">
        <v>224</v>
      </c>
      <c r="G431" s="839" t="s">
        <v>175</v>
      </c>
    </row>
    <row r="432" spans="1:7" ht="13.5" customHeight="1" x14ac:dyDescent="0.35">
      <c r="A432" s="838">
        <v>44342</v>
      </c>
      <c r="B432" s="839" t="s">
        <v>1466</v>
      </c>
      <c r="C432" s="840" t="s">
        <v>1279</v>
      </c>
      <c r="D432" s="839" t="s">
        <v>166</v>
      </c>
      <c r="E432" s="841">
        <v>45</v>
      </c>
      <c r="F432" s="839" t="s">
        <v>224</v>
      </c>
      <c r="G432" s="839" t="s">
        <v>175</v>
      </c>
    </row>
    <row r="433" spans="1:7" ht="13.5" customHeight="1" x14ac:dyDescent="0.35">
      <c r="A433" s="838">
        <v>44338</v>
      </c>
      <c r="B433" s="839" t="s">
        <v>2173</v>
      </c>
      <c r="C433" s="840" t="s">
        <v>1279</v>
      </c>
      <c r="D433" s="839" t="s">
        <v>159</v>
      </c>
      <c r="E433" s="841">
        <v>65</v>
      </c>
      <c r="F433" s="839" t="s">
        <v>2174</v>
      </c>
      <c r="G433" s="839" t="s">
        <v>175</v>
      </c>
    </row>
    <row r="434" spans="1:7" ht="13.5" customHeight="1" x14ac:dyDescent="0.35">
      <c r="A434" s="838">
        <v>44338</v>
      </c>
      <c r="B434" s="839" t="s">
        <v>2175</v>
      </c>
      <c r="C434" s="840" t="s">
        <v>1279</v>
      </c>
      <c r="D434" s="839" t="s">
        <v>159</v>
      </c>
      <c r="E434" s="841">
        <v>360</v>
      </c>
      <c r="F434" s="839" t="s">
        <v>1209</v>
      </c>
      <c r="G434" s="839" t="s">
        <v>174</v>
      </c>
    </row>
    <row r="435" spans="1:7" ht="13.5" customHeight="1" x14ac:dyDescent="0.35">
      <c r="A435" s="838">
        <v>44338</v>
      </c>
      <c r="B435" s="839" t="s">
        <v>967</v>
      </c>
      <c r="C435" s="840" t="s">
        <v>28</v>
      </c>
      <c r="D435" s="839" t="s">
        <v>159</v>
      </c>
      <c r="E435" s="841">
        <v>27.5</v>
      </c>
      <c r="F435" s="839" t="s">
        <v>2176</v>
      </c>
      <c r="G435" s="839" t="s">
        <v>175</v>
      </c>
    </row>
    <row r="436" spans="1:7" ht="13.5" customHeight="1" x14ac:dyDescent="0.35">
      <c r="A436" s="838">
        <v>44334</v>
      </c>
      <c r="B436" s="839" t="s">
        <v>2172</v>
      </c>
      <c r="C436" s="840" t="s">
        <v>1284</v>
      </c>
      <c r="D436" s="839" t="s">
        <v>159</v>
      </c>
      <c r="E436" s="841">
        <v>17</v>
      </c>
      <c r="F436" s="839" t="s">
        <v>1381</v>
      </c>
      <c r="G436" s="839" t="s">
        <v>175</v>
      </c>
    </row>
    <row r="437" spans="1:7" ht="13.5" customHeight="1" x14ac:dyDescent="0.35">
      <c r="A437" s="838">
        <v>44334</v>
      </c>
      <c r="B437" s="839" t="s">
        <v>2177</v>
      </c>
      <c r="C437" s="840" t="s">
        <v>1283</v>
      </c>
      <c r="D437" s="839" t="s">
        <v>160</v>
      </c>
      <c r="E437" s="841">
        <v>150</v>
      </c>
      <c r="F437" s="839" t="s">
        <v>2178</v>
      </c>
      <c r="G437" s="839" t="s">
        <v>174</v>
      </c>
    </row>
    <row r="438" spans="1:7" ht="13.5" customHeight="1" x14ac:dyDescent="0.35">
      <c r="A438" s="838">
        <v>44332</v>
      </c>
      <c r="B438" s="839" t="s">
        <v>2179</v>
      </c>
      <c r="C438" s="840" t="s">
        <v>1284</v>
      </c>
      <c r="D438" s="839" t="s">
        <v>160</v>
      </c>
      <c r="E438" s="841">
        <v>16.600000000000001</v>
      </c>
      <c r="F438" s="839" t="s">
        <v>1381</v>
      </c>
      <c r="G438" s="839" t="s">
        <v>175</v>
      </c>
    </row>
    <row r="439" spans="1:7" ht="13.5" customHeight="1" x14ac:dyDescent="0.35">
      <c r="A439" s="838">
        <v>44332</v>
      </c>
      <c r="B439" s="839" t="s">
        <v>2053</v>
      </c>
      <c r="C439" s="840" t="s">
        <v>28</v>
      </c>
      <c r="D439" s="839" t="s">
        <v>159</v>
      </c>
      <c r="E439" s="841">
        <v>250</v>
      </c>
      <c r="F439" s="839" t="s">
        <v>2180</v>
      </c>
      <c r="G439" s="839" t="s">
        <v>174</v>
      </c>
    </row>
    <row r="440" spans="1:7" ht="13.5" customHeight="1" x14ac:dyDescent="0.35">
      <c r="A440" s="838">
        <v>44331</v>
      </c>
      <c r="B440" s="839" t="s">
        <v>2181</v>
      </c>
      <c r="C440" s="840" t="s">
        <v>28</v>
      </c>
      <c r="D440" s="839" t="s">
        <v>159</v>
      </c>
      <c r="E440" s="841">
        <v>250</v>
      </c>
      <c r="F440" s="839" t="s">
        <v>2180</v>
      </c>
      <c r="G440" s="839" t="s">
        <v>174</v>
      </c>
    </row>
    <row r="441" spans="1:7" ht="13.5" customHeight="1" x14ac:dyDescent="0.35">
      <c r="A441" s="838">
        <v>44330</v>
      </c>
      <c r="B441" s="839" t="s">
        <v>1142</v>
      </c>
      <c r="C441" s="840" t="s">
        <v>1274</v>
      </c>
      <c r="D441" s="839" t="s">
        <v>159</v>
      </c>
      <c r="E441" s="841">
        <v>84.15</v>
      </c>
      <c r="F441" s="839" t="s">
        <v>2162</v>
      </c>
      <c r="G441" s="839" t="s">
        <v>175</v>
      </c>
    </row>
    <row r="442" spans="1:7" ht="13.5" customHeight="1" x14ac:dyDescent="0.35">
      <c r="A442" s="838">
        <v>44329</v>
      </c>
      <c r="B442" s="839" t="s">
        <v>1466</v>
      </c>
      <c r="C442" s="840" t="s">
        <v>1277</v>
      </c>
      <c r="D442" s="839" t="s">
        <v>166</v>
      </c>
      <c r="E442" s="841">
        <v>-60</v>
      </c>
      <c r="F442" s="839" t="s">
        <v>467</v>
      </c>
      <c r="G442" s="839" t="s">
        <v>175</v>
      </c>
    </row>
    <row r="443" spans="1:7" ht="13.5" customHeight="1" x14ac:dyDescent="0.35">
      <c r="A443" s="838">
        <v>44329</v>
      </c>
      <c r="B443" s="839" t="s">
        <v>1466</v>
      </c>
      <c r="C443" s="840" t="s">
        <v>1279</v>
      </c>
      <c r="D443" s="839" t="s">
        <v>166</v>
      </c>
      <c r="E443" s="841">
        <v>60</v>
      </c>
      <c r="F443" s="839" t="s">
        <v>467</v>
      </c>
      <c r="G443" s="839" t="s">
        <v>175</v>
      </c>
    </row>
    <row r="444" spans="1:7" ht="13.5" customHeight="1" x14ac:dyDescent="0.35">
      <c r="A444" s="838">
        <v>44328</v>
      </c>
      <c r="B444" s="839" t="s">
        <v>2182</v>
      </c>
      <c r="C444" s="840" t="s">
        <v>1283</v>
      </c>
      <c r="D444" s="839" t="s">
        <v>160</v>
      </c>
      <c r="E444" s="841">
        <v>165</v>
      </c>
      <c r="F444" s="839" t="s">
        <v>2183</v>
      </c>
      <c r="G444" s="839" t="s">
        <v>174</v>
      </c>
    </row>
    <row r="445" spans="1:7" ht="13.5" customHeight="1" x14ac:dyDescent="0.35">
      <c r="A445" s="838">
        <v>44325</v>
      </c>
      <c r="B445" s="839" t="s">
        <v>848</v>
      </c>
      <c r="C445" s="840" t="s">
        <v>1279</v>
      </c>
      <c r="D445" s="839" t="s">
        <v>160</v>
      </c>
      <c r="E445" s="841">
        <v>52.5</v>
      </c>
      <c r="F445" s="839" t="s">
        <v>2184</v>
      </c>
      <c r="G445" s="839" t="s">
        <v>175</v>
      </c>
    </row>
    <row r="446" spans="1:7" ht="13.5" customHeight="1" x14ac:dyDescent="0.35">
      <c r="A446" s="838">
        <v>44324</v>
      </c>
      <c r="B446" s="839" t="s">
        <v>1466</v>
      </c>
      <c r="C446" s="840" t="s">
        <v>1277</v>
      </c>
      <c r="D446" s="839" t="s">
        <v>166</v>
      </c>
      <c r="E446" s="841">
        <v>-85</v>
      </c>
      <c r="F446" s="839" t="s">
        <v>224</v>
      </c>
      <c r="G446" s="839" t="s">
        <v>175</v>
      </c>
    </row>
    <row r="447" spans="1:7" ht="13.5" customHeight="1" x14ac:dyDescent="0.35">
      <c r="A447" s="838">
        <v>44324</v>
      </c>
      <c r="B447" s="839" t="s">
        <v>1466</v>
      </c>
      <c r="C447" s="840" t="s">
        <v>1274</v>
      </c>
      <c r="D447" s="839" t="s">
        <v>166</v>
      </c>
      <c r="E447" s="841">
        <v>85</v>
      </c>
      <c r="F447" s="839" t="s">
        <v>224</v>
      </c>
      <c r="G447" s="839" t="s">
        <v>175</v>
      </c>
    </row>
    <row r="448" spans="1:7" ht="13.5" customHeight="1" x14ac:dyDescent="0.35">
      <c r="A448" s="838">
        <v>44324</v>
      </c>
      <c r="B448" s="839" t="s">
        <v>1466</v>
      </c>
      <c r="C448" s="840" t="s">
        <v>1277</v>
      </c>
      <c r="D448" s="839" t="s">
        <v>166</v>
      </c>
      <c r="E448" s="841">
        <v>-475</v>
      </c>
      <c r="F448" s="839" t="s">
        <v>467</v>
      </c>
      <c r="G448" s="839" t="s">
        <v>175</v>
      </c>
    </row>
    <row r="449" spans="1:7" ht="13.5" customHeight="1" x14ac:dyDescent="0.35">
      <c r="A449" s="838">
        <v>44324</v>
      </c>
      <c r="B449" s="839" t="s">
        <v>1466</v>
      </c>
      <c r="C449" s="840" t="s">
        <v>1274</v>
      </c>
      <c r="D449" s="839" t="s">
        <v>166</v>
      </c>
      <c r="E449" s="841">
        <v>475</v>
      </c>
      <c r="F449" s="839" t="s">
        <v>467</v>
      </c>
      <c r="G449" s="839" t="s">
        <v>175</v>
      </c>
    </row>
    <row r="450" spans="1:7" ht="13.5" customHeight="1" x14ac:dyDescent="0.35">
      <c r="A450" s="838">
        <v>44324</v>
      </c>
      <c r="B450" s="839" t="s">
        <v>1466</v>
      </c>
      <c r="C450" s="840" t="s">
        <v>1274</v>
      </c>
      <c r="D450" s="839" t="s">
        <v>162</v>
      </c>
      <c r="E450" s="841">
        <v>85</v>
      </c>
      <c r="F450" s="839" t="s">
        <v>2185</v>
      </c>
      <c r="G450" s="839" t="s">
        <v>175</v>
      </c>
    </row>
    <row r="451" spans="1:7" ht="13.5" customHeight="1" x14ac:dyDescent="0.35">
      <c r="A451" s="838">
        <v>44324</v>
      </c>
      <c r="B451" s="839" t="s">
        <v>759</v>
      </c>
      <c r="C451" s="840" t="s">
        <v>1274</v>
      </c>
      <c r="D451" s="839" t="s">
        <v>160</v>
      </c>
      <c r="E451" s="841">
        <v>75</v>
      </c>
      <c r="F451" s="839" t="s">
        <v>2186</v>
      </c>
      <c r="G451" s="839" t="s">
        <v>175</v>
      </c>
    </row>
    <row r="452" spans="1:7" ht="13.5" customHeight="1" x14ac:dyDescent="0.35">
      <c r="A452" s="838">
        <v>44324</v>
      </c>
      <c r="B452" s="839" t="s">
        <v>968</v>
      </c>
      <c r="C452" s="840" t="s">
        <v>1274</v>
      </c>
      <c r="D452" s="839" t="s">
        <v>159</v>
      </c>
      <c r="E452" s="841">
        <v>63.75</v>
      </c>
      <c r="F452" s="839" t="s">
        <v>2186</v>
      </c>
      <c r="G452" s="839" t="s">
        <v>175</v>
      </c>
    </row>
    <row r="453" spans="1:7" ht="13.5" customHeight="1" x14ac:dyDescent="0.35">
      <c r="A453" s="838">
        <v>44323</v>
      </c>
      <c r="B453" s="839" t="s">
        <v>1690</v>
      </c>
      <c r="C453" s="840" t="s">
        <v>1279</v>
      </c>
      <c r="D453" s="839" t="s">
        <v>159</v>
      </c>
      <c r="E453" s="841">
        <f>SUM(1700)-1008</f>
        <v>692</v>
      </c>
      <c r="F453" s="839" t="s">
        <v>2187</v>
      </c>
      <c r="G453" s="839" t="s">
        <v>175</v>
      </c>
    </row>
    <row r="454" spans="1:7" ht="13.5" customHeight="1" x14ac:dyDescent="0.35">
      <c r="A454" s="838">
        <v>44323</v>
      </c>
      <c r="B454" s="839" t="s">
        <v>2188</v>
      </c>
      <c r="C454" s="840" t="s">
        <v>1279</v>
      </c>
      <c r="D454" s="839" t="s">
        <v>159</v>
      </c>
      <c r="E454" s="841">
        <v>35</v>
      </c>
      <c r="F454" s="839" t="s">
        <v>1421</v>
      </c>
      <c r="G454" s="839" t="s">
        <v>174</v>
      </c>
    </row>
    <row r="455" spans="1:7" ht="13.5" customHeight="1" x14ac:dyDescent="0.35">
      <c r="A455" s="838">
        <v>44323</v>
      </c>
      <c r="B455" s="839" t="s">
        <v>1466</v>
      </c>
      <c r="C455" s="840" t="s">
        <v>1276</v>
      </c>
      <c r="D455" s="839" t="s">
        <v>159</v>
      </c>
      <c r="E455" s="841">
        <v>75</v>
      </c>
      <c r="F455" s="839" t="s">
        <v>1477</v>
      </c>
      <c r="G455" s="839" t="s">
        <v>175</v>
      </c>
    </row>
    <row r="456" spans="1:7" ht="13.5" customHeight="1" x14ac:dyDescent="0.35">
      <c r="A456" s="838">
        <v>44321</v>
      </c>
      <c r="B456" s="839" t="s">
        <v>89</v>
      </c>
      <c r="C456" s="840" t="s">
        <v>1282</v>
      </c>
      <c r="D456" s="839" t="s">
        <v>160</v>
      </c>
      <c r="E456" s="841">
        <v>65.540000000000006</v>
      </c>
      <c r="F456" s="839" t="s">
        <v>1026</v>
      </c>
      <c r="G456" s="839" t="s">
        <v>175</v>
      </c>
    </row>
    <row r="457" spans="1:7" ht="13.5" customHeight="1" x14ac:dyDescent="0.35">
      <c r="A457" s="838">
        <v>44319</v>
      </c>
      <c r="B457" s="839" t="s">
        <v>2039</v>
      </c>
      <c r="C457" s="840" t="s">
        <v>28</v>
      </c>
      <c r="D457" s="839" t="s">
        <v>160</v>
      </c>
      <c r="E457" s="841">
        <v>225</v>
      </c>
      <c r="F457" s="839" t="s">
        <v>2180</v>
      </c>
      <c r="G457" s="839" t="s">
        <v>175</v>
      </c>
    </row>
    <row r="458" spans="1:7" ht="13.5" customHeight="1" x14ac:dyDescent="0.35">
      <c r="A458" s="838">
        <v>44319</v>
      </c>
      <c r="B458" s="839" t="s">
        <v>1046</v>
      </c>
      <c r="C458" s="840" t="s">
        <v>28</v>
      </c>
      <c r="D458" s="839" t="s">
        <v>159</v>
      </c>
      <c r="E458" s="841">
        <v>225</v>
      </c>
      <c r="F458" s="839" t="s">
        <v>2180</v>
      </c>
      <c r="G458" s="839" t="s">
        <v>175</v>
      </c>
    </row>
    <row r="459" spans="1:7" ht="13.5" customHeight="1" x14ac:dyDescent="0.35">
      <c r="A459" s="838">
        <v>44317</v>
      </c>
      <c r="B459" s="839" t="s">
        <v>2189</v>
      </c>
      <c r="C459" s="840" t="s">
        <v>28</v>
      </c>
      <c r="D459" s="839" t="s">
        <v>159</v>
      </c>
      <c r="E459" s="841">
        <v>20</v>
      </c>
      <c r="F459" s="839" t="s">
        <v>2190</v>
      </c>
      <c r="G459" s="839" t="s">
        <v>174</v>
      </c>
    </row>
    <row r="460" spans="1:7" ht="13.5" customHeight="1" x14ac:dyDescent="0.35">
      <c r="A460" s="838">
        <v>44317</v>
      </c>
      <c r="B460" s="839" t="s">
        <v>2191</v>
      </c>
      <c r="C460" s="840" t="s">
        <v>1274</v>
      </c>
      <c r="D460" s="839" t="s">
        <v>159</v>
      </c>
      <c r="E460" s="841">
        <v>12</v>
      </c>
      <c r="F460" s="839" t="s">
        <v>324</v>
      </c>
      <c r="G460" s="839" t="s">
        <v>174</v>
      </c>
    </row>
    <row r="461" spans="1:7" ht="13.5" customHeight="1" x14ac:dyDescent="0.35">
      <c r="A461" s="838">
        <v>44317</v>
      </c>
      <c r="B461" s="839" t="s">
        <v>292</v>
      </c>
      <c r="C461" s="840" t="s">
        <v>1278</v>
      </c>
      <c r="D461" s="840" t="s">
        <v>161</v>
      </c>
      <c r="E461" s="842">
        <v>80</v>
      </c>
      <c r="F461" s="840" t="s">
        <v>292</v>
      </c>
      <c r="G461" s="840" t="s">
        <v>175</v>
      </c>
    </row>
    <row r="462" spans="1:7" ht="13.5" customHeight="1" x14ac:dyDescent="0.35">
      <c r="A462" s="838"/>
      <c r="B462" s="839"/>
      <c r="C462" s="840"/>
      <c r="D462" s="839"/>
      <c r="E462" s="841"/>
      <c r="F462" s="839"/>
      <c r="G462" s="839"/>
    </row>
    <row r="463" spans="1:7" ht="13.5" customHeight="1" x14ac:dyDescent="0.35">
      <c r="A463" s="838">
        <v>44315</v>
      </c>
      <c r="B463" s="839" t="s">
        <v>2192</v>
      </c>
      <c r="C463" s="840" t="s">
        <v>1279</v>
      </c>
      <c r="D463" s="839" t="s">
        <v>162</v>
      </c>
      <c r="E463" s="841">
        <v>670</v>
      </c>
      <c r="F463" s="848" t="s">
        <v>2193</v>
      </c>
      <c r="G463" s="839" t="s">
        <v>175</v>
      </c>
    </row>
    <row r="464" spans="1:7" ht="13.5" customHeight="1" x14ac:dyDescent="0.35">
      <c r="A464" s="838">
        <v>44315</v>
      </c>
      <c r="B464" s="839" t="s">
        <v>2194</v>
      </c>
      <c r="C464" s="840" t="s">
        <v>28</v>
      </c>
      <c r="D464" s="839" t="s">
        <v>159</v>
      </c>
      <c r="E464" s="841">
        <v>250</v>
      </c>
      <c r="F464" s="839" t="s">
        <v>2195</v>
      </c>
      <c r="G464" s="839" t="s">
        <v>174</v>
      </c>
    </row>
    <row r="465" spans="1:7" ht="13.5" customHeight="1" x14ac:dyDescent="0.35">
      <c r="A465" s="838">
        <v>44314</v>
      </c>
      <c r="B465" s="839" t="s">
        <v>2196</v>
      </c>
      <c r="C465" s="840" t="s">
        <v>1279</v>
      </c>
      <c r="D465" s="839" t="s">
        <v>159</v>
      </c>
      <c r="E465" s="841">
        <v>360</v>
      </c>
      <c r="F465" s="839" t="s">
        <v>2197</v>
      </c>
      <c r="G465" s="839" t="s">
        <v>174</v>
      </c>
    </row>
    <row r="466" spans="1:7" ht="13.5" customHeight="1" x14ac:dyDescent="0.35">
      <c r="A466" s="838">
        <v>44310</v>
      </c>
      <c r="B466" s="839" t="s">
        <v>2198</v>
      </c>
      <c r="C466" s="840" t="s">
        <v>28</v>
      </c>
      <c r="D466" s="839" t="s">
        <v>159</v>
      </c>
      <c r="E466" s="841">
        <v>20</v>
      </c>
      <c r="F466" s="839" t="s">
        <v>2199</v>
      </c>
      <c r="G466" s="839" t="s">
        <v>175</v>
      </c>
    </row>
    <row r="467" spans="1:7" ht="13.5" customHeight="1" x14ac:dyDescent="0.35">
      <c r="A467" s="838">
        <v>44305</v>
      </c>
      <c r="B467" s="839" t="s">
        <v>1738</v>
      </c>
      <c r="C467" s="840" t="s">
        <v>1274</v>
      </c>
      <c r="D467" s="839" t="s">
        <v>159</v>
      </c>
      <c r="E467" s="841">
        <v>99</v>
      </c>
      <c r="F467" s="839" t="s">
        <v>2200</v>
      </c>
      <c r="G467" s="839" t="s">
        <v>174</v>
      </c>
    </row>
    <row r="468" spans="1:7" ht="13.5" customHeight="1" x14ac:dyDescent="0.35">
      <c r="A468" s="838">
        <v>44303</v>
      </c>
      <c r="B468" s="839" t="s">
        <v>2201</v>
      </c>
      <c r="C468" s="840" t="s">
        <v>1274</v>
      </c>
      <c r="D468" s="839" t="s">
        <v>159</v>
      </c>
      <c r="E468" s="841">
        <v>198</v>
      </c>
      <c r="F468" s="839" t="s">
        <v>2200</v>
      </c>
      <c r="G468" s="839" t="s">
        <v>174</v>
      </c>
    </row>
    <row r="469" spans="1:7" ht="13.5" customHeight="1" x14ac:dyDescent="0.35">
      <c r="A469" s="838">
        <v>44303</v>
      </c>
      <c r="B469" s="839" t="s">
        <v>1372</v>
      </c>
      <c r="C469" s="840" t="s">
        <v>1274</v>
      </c>
      <c r="D469" s="839" t="s">
        <v>159</v>
      </c>
      <c r="E469" s="841">
        <v>99</v>
      </c>
      <c r="F469" s="839" t="s">
        <v>2200</v>
      </c>
      <c r="G469" s="839" t="s">
        <v>176</v>
      </c>
    </row>
    <row r="470" spans="1:7" ht="13.5" customHeight="1" x14ac:dyDescent="0.35">
      <c r="A470" s="838">
        <v>44301</v>
      </c>
      <c r="B470" s="839" t="s">
        <v>2202</v>
      </c>
      <c r="C470" s="840" t="s">
        <v>1274</v>
      </c>
      <c r="D470" s="839" t="s">
        <v>160</v>
      </c>
      <c r="E470" s="841">
        <v>99</v>
      </c>
      <c r="F470" s="839" t="s">
        <v>2200</v>
      </c>
      <c r="G470" s="839" t="s">
        <v>175</v>
      </c>
    </row>
    <row r="471" spans="1:7" ht="13.5" customHeight="1" x14ac:dyDescent="0.35">
      <c r="A471" s="838">
        <v>44301</v>
      </c>
      <c r="B471" s="839" t="s">
        <v>1373</v>
      </c>
      <c r="C471" s="840" t="s">
        <v>1274</v>
      </c>
      <c r="D471" s="839" t="s">
        <v>159</v>
      </c>
      <c r="E471" s="841">
        <v>99</v>
      </c>
      <c r="F471" s="839" t="s">
        <v>2200</v>
      </c>
      <c r="G471" s="839" t="s">
        <v>179</v>
      </c>
    </row>
    <row r="472" spans="1:7" ht="13.5" customHeight="1" x14ac:dyDescent="0.35">
      <c r="A472" s="838">
        <v>44300</v>
      </c>
      <c r="B472" s="839" t="s">
        <v>2198</v>
      </c>
      <c r="C472" s="840" t="s">
        <v>28</v>
      </c>
      <c r="D472" s="839" t="s">
        <v>159</v>
      </c>
      <c r="E472" s="841">
        <v>20</v>
      </c>
      <c r="F472" s="839" t="s">
        <v>2190</v>
      </c>
      <c r="G472" s="839" t="s">
        <v>174</v>
      </c>
    </row>
    <row r="473" spans="1:7" ht="13.5" customHeight="1" x14ac:dyDescent="0.35">
      <c r="A473" s="838">
        <v>44298</v>
      </c>
      <c r="B473" s="839" t="s">
        <v>1777</v>
      </c>
      <c r="C473" s="840" t="s">
        <v>1274</v>
      </c>
      <c r="D473" s="839" t="s">
        <v>159</v>
      </c>
      <c r="E473" s="841">
        <v>99</v>
      </c>
      <c r="F473" s="839" t="s">
        <v>2200</v>
      </c>
      <c r="G473" s="839" t="s">
        <v>175</v>
      </c>
    </row>
    <row r="474" spans="1:7" ht="13.5" customHeight="1" x14ac:dyDescent="0.35">
      <c r="A474" s="838">
        <v>44296</v>
      </c>
      <c r="B474" s="839" t="s">
        <v>2066</v>
      </c>
      <c r="C474" s="840" t="s">
        <v>1274</v>
      </c>
      <c r="D474" s="839" t="s">
        <v>160</v>
      </c>
      <c r="E474" s="841">
        <v>99</v>
      </c>
      <c r="F474" s="839" t="s">
        <v>2200</v>
      </c>
      <c r="G474" s="839" t="s">
        <v>175</v>
      </c>
    </row>
    <row r="475" spans="1:7" ht="13.5" customHeight="1" x14ac:dyDescent="0.35">
      <c r="A475" s="838">
        <v>44296</v>
      </c>
      <c r="B475" s="839" t="s">
        <v>64</v>
      </c>
      <c r="C475" s="840" t="s">
        <v>1274</v>
      </c>
      <c r="D475" s="839" t="s">
        <v>159</v>
      </c>
      <c r="E475" s="841">
        <v>99</v>
      </c>
      <c r="F475" s="839" t="s">
        <v>2200</v>
      </c>
      <c r="G475" s="839" t="s">
        <v>175</v>
      </c>
    </row>
    <row r="476" spans="1:7" ht="13.5" customHeight="1" x14ac:dyDescent="0.35">
      <c r="A476" s="838">
        <v>44295</v>
      </c>
      <c r="B476" s="839" t="s">
        <v>2203</v>
      </c>
      <c r="C476" s="840" t="s">
        <v>1274</v>
      </c>
      <c r="D476" s="839" t="s">
        <v>159</v>
      </c>
      <c r="E476" s="841">
        <v>99</v>
      </c>
      <c r="F476" s="839" t="s">
        <v>2200</v>
      </c>
      <c r="G476" s="839" t="s">
        <v>174</v>
      </c>
    </row>
    <row r="477" spans="1:7" ht="13.5" customHeight="1" x14ac:dyDescent="0.35">
      <c r="A477" s="838">
        <v>44293</v>
      </c>
      <c r="B477" s="839" t="s">
        <v>2204</v>
      </c>
      <c r="C477" s="840" t="s">
        <v>1274</v>
      </c>
      <c r="D477" s="839" t="s">
        <v>160</v>
      </c>
      <c r="E477" s="841">
        <v>12</v>
      </c>
      <c r="F477" s="839" t="s">
        <v>324</v>
      </c>
      <c r="G477" s="839" t="s">
        <v>174</v>
      </c>
    </row>
    <row r="478" spans="1:7" ht="13.5" customHeight="1" x14ac:dyDescent="0.35">
      <c r="A478" s="838">
        <v>44293</v>
      </c>
      <c r="B478" s="839" t="s">
        <v>2205</v>
      </c>
      <c r="C478" s="840" t="s">
        <v>1274</v>
      </c>
      <c r="D478" s="839" t="s">
        <v>166</v>
      </c>
      <c r="E478" s="841">
        <v>12</v>
      </c>
      <c r="F478" s="839" t="s">
        <v>324</v>
      </c>
      <c r="G478" s="839" t="s">
        <v>175</v>
      </c>
    </row>
    <row r="479" spans="1:7" ht="13.5" customHeight="1" x14ac:dyDescent="0.35">
      <c r="A479" s="838">
        <v>44293</v>
      </c>
      <c r="B479" s="839" t="s">
        <v>2205</v>
      </c>
      <c r="C479" s="840" t="s">
        <v>1277</v>
      </c>
      <c r="D479" s="839" t="s">
        <v>166</v>
      </c>
      <c r="E479" s="841">
        <v>-12</v>
      </c>
      <c r="F479" s="839" t="s">
        <v>324</v>
      </c>
      <c r="G479" s="839" t="s">
        <v>175</v>
      </c>
    </row>
    <row r="480" spans="1:7" ht="13.5" customHeight="1" x14ac:dyDescent="0.35">
      <c r="A480" s="838">
        <v>44292</v>
      </c>
      <c r="B480" s="839" t="s">
        <v>2206</v>
      </c>
      <c r="C480" s="840" t="s">
        <v>28</v>
      </c>
      <c r="D480" s="839" t="s">
        <v>160</v>
      </c>
      <c r="E480" s="841">
        <v>20</v>
      </c>
      <c r="F480" s="839" t="s">
        <v>2190</v>
      </c>
      <c r="G480" s="839" t="s">
        <v>174</v>
      </c>
    </row>
    <row r="481" spans="1:8" ht="13.5" customHeight="1" x14ac:dyDescent="0.35">
      <c r="A481" s="838">
        <v>44291</v>
      </c>
      <c r="B481" s="839" t="s">
        <v>1777</v>
      </c>
      <c r="C481" s="840" t="s">
        <v>28</v>
      </c>
      <c r="D481" s="839" t="s">
        <v>159</v>
      </c>
      <c r="E481" s="841">
        <v>20</v>
      </c>
      <c r="F481" s="839" t="s">
        <v>2207</v>
      </c>
      <c r="G481" s="839" t="s">
        <v>175</v>
      </c>
      <c r="H481" s="454"/>
    </row>
    <row r="482" spans="1:8" ht="13.5" customHeight="1" x14ac:dyDescent="0.35">
      <c r="A482" s="838">
        <v>44291</v>
      </c>
      <c r="B482" s="839" t="s">
        <v>2116</v>
      </c>
      <c r="C482" s="840" t="s">
        <v>1274</v>
      </c>
      <c r="D482" s="839" t="s">
        <v>159</v>
      </c>
      <c r="E482" s="841">
        <v>50</v>
      </c>
      <c r="F482" s="839" t="s">
        <v>472</v>
      </c>
      <c r="G482" s="839" t="s">
        <v>175</v>
      </c>
      <c r="H482" s="454"/>
    </row>
    <row r="483" spans="1:8" ht="13.5" customHeight="1" x14ac:dyDescent="0.35">
      <c r="A483" s="838">
        <v>44291</v>
      </c>
      <c r="B483" s="839" t="s">
        <v>2208</v>
      </c>
      <c r="C483" s="840" t="s">
        <v>1274</v>
      </c>
      <c r="D483" s="839" t="s">
        <v>159</v>
      </c>
      <c r="E483" s="841">
        <v>150</v>
      </c>
      <c r="F483" s="839" t="s">
        <v>235</v>
      </c>
      <c r="G483" s="839" t="s">
        <v>174</v>
      </c>
      <c r="H483" s="454"/>
    </row>
    <row r="484" spans="1:8" ht="13.5" customHeight="1" x14ac:dyDescent="0.35">
      <c r="A484" s="838">
        <v>44291</v>
      </c>
      <c r="B484" s="839" t="s">
        <v>2209</v>
      </c>
      <c r="C484" s="840" t="s">
        <v>1274</v>
      </c>
      <c r="D484" s="839" t="s">
        <v>160</v>
      </c>
      <c r="E484" s="841">
        <v>50</v>
      </c>
      <c r="F484" s="839" t="s">
        <v>2200</v>
      </c>
      <c r="G484" s="839" t="s">
        <v>175</v>
      </c>
      <c r="H484" s="454"/>
    </row>
    <row r="485" spans="1:8" ht="13.5" customHeight="1" x14ac:dyDescent="0.35">
      <c r="A485" s="838">
        <v>44290</v>
      </c>
      <c r="B485" s="839" t="s">
        <v>1009</v>
      </c>
      <c r="C485" s="840" t="s">
        <v>1277</v>
      </c>
      <c r="D485" s="839" t="s">
        <v>166</v>
      </c>
      <c r="E485" s="841">
        <v>-12</v>
      </c>
      <c r="F485" s="839" t="s">
        <v>324</v>
      </c>
      <c r="G485" s="839" t="s">
        <v>175</v>
      </c>
      <c r="H485" s="454"/>
    </row>
    <row r="486" spans="1:8" ht="13.5" customHeight="1" x14ac:dyDescent="0.35">
      <c r="A486" s="838">
        <v>44290</v>
      </c>
      <c r="B486" s="839" t="s">
        <v>1009</v>
      </c>
      <c r="C486" s="840" t="s">
        <v>1274</v>
      </c>
      <c r="D486" s="839" t="s">
        <v>166</v>
      </c>
      <c r="E486" s="841">
        <v>12</v>
      </c>
      <c r="F486" s="839" t="s">
        <v>324</v>
      </c>
      <c r="G486" s="839" t="s">
        <v>175</v>
      </c>
      <c r="H486" s="454"/>
    </row>
    <row r="487" spans="1:8" ht="13.5" customHeight="1" x14ac:dyDescent="0.35">
      <c r="A487" s="838">
        <v>44289</v>
      </c>
      <c r="B487" s="839" t="s">
        <v>2210</v>
      </c>
      <c r="C487" s="840" t="s">
        <v>1274</v>
      </c>
      <c r="D487" s="839" t="s">
        <v>159</v>
      </c>
      <c r="E487" s="841">
        <v>475</v>
      </c>
      <c r="F487" s="839" t="s">
        <v>2140</v>
      </c>
      <c r="G487" s="839" t="s">
        <v>174</v>
      </c>
      <c r="H487" s="454"/>
    </row>
    <row r="488" spans="1:8" ht="13.5" customHeight="1" x14ac:dyDescent="0.35">
      <c r="A488" s="838">
        <v>44289</v>
      </c>
      <c r="B488" s="839" t="s">
        <v>1187</v>
      </c>
      <c r="C488" s="840" t="s">
        <v>1274</v>
      </c>
      <c r="D488" s="839" t="s">
        <v>159</v>
      </c>
      <c r="E488" s="841">
        <v>12</v>
      </c>
      <c r="F488" s="839" t="s">
        <v>2211</v>
      </c>
      <c r="G488" s="839" t="s">
        <v>175</v>
      </c>
      <c r="H488" s="454"/>
    </row>
    <row r="489" spans="1:8" ht="13.5" customHeight="1" x14ac:dyDescent="0.35">
      <c r="A489" s="838">
        <v>44287</v>
      </c>
      <c r="B489" s="839" t="s">
        <v>2212</v>
      </c>
      <c r="C489" s="840" t="s">
        <v>1274</v>
      </c>
      <c r="D489" s="839" t="s">
        <v>159</v>
      </c>
      <c r="E489" s="841">
        <v>99</v>
      </c>
      <c r="F489" s="839" t="s">
        <v>2200</v>
      </c>
      <c r="G489" s="839" t="s">
        <v>174</v>
      </c>
      <c r="H489" s="454"/>
    </row>
    <row r="490" spans="1:8" ht="13.5" customHeight="1" x14ac:dyDescent="0.35">
      <c r="A490" s="838">
        <v>44287</v>
      </c>
      <c r="B490" s="839" t="s">
        <v>2213</v>
      </c>
      <c r="C490" s="840" t="s">
        <v>1280</v>
      </c>
      <c r="D490" s="839" t="s">
        <v>159</v>
      </c>
      <c r="E490" s="841">
        <v>25</v>
      </c>
      <c r="F490" s="839" t="s">
        <v>734</v>
      </c>
      <c r="G490" s="839" t="s">
        <v>174</v>
      </c>
      <c r="H490" s="454"/>
    </row>
    <row r="491" spans="1:8" ht="13.5" customHeight="1" x14ac:dyDescent="0.35">
      <c r="A491" s="838">
        <v>44287</v>
      </c>
      <c r="B491" s="839" t="s">
        <v>2192</v>
      </c>
      <c r="C491" s="840" t="s">
        <v>1279</v>
      </c>
      <c r="D491" s="839" t="s">
        <v>160</v>
      </c>
      <c r="E491" s="841">
        <v>480</v>
      </c>
      <c r="F491" s="839" t="s">
        <v>2214</v>
      </c>
      <c r="G491" s="839" t="s">
        <v>174</v>
      </c>
      <c r="H491" s="454"/>
    </row>
    <row r="492" spans="1:8" ht="13.5" customHeight="1" x14ac:dyDescent="0.35">
      <c r="A492" s="838">
        <v>44287</v>
      </c>
      <c r="B492" s="839" t="s">
        <v>292</v>
      </c>
      <c r="C492" s="840" t="s">
        <v>1278</v>
      </c>
      <c r="D492" s="840" t="s">
        <v>161</v>
      </c>
      <c r="E492" s="842">
        <v>80</v>
      </c>
      <c r="F492" s="840" t="s">
        <v>292</v>
      </c>
      <c r="G492" s="840" t="s">
        <v>175</v>
      </c>
      <c r="H492" s="454"/>
    </row>
    <row r="493" spans="1:8" ht="13.5" customHeight="1" x14ac:dyDescent="0.35">
      <c r="A493" s="838"/>
      <c r="B493" s="839"/>
      <c r="C493" s="840"/>
      <c r="D493" s="840"/>
      <c r="E493" s="842"/>
      <c r="F493" s="840"/>
      <c r="G493" s="840"/>
      <c r="H493" s="454"/>
    </row>
    <row r="494" spans="1:8" ht="13.5" customHeight="1" x14ac:dyDescent="0.35">
      <c r="A494" s="838">
        <v>44285</v>
      </c>
      <c r="B494" s="839" t="s">
        <v>2215</v>
      </c>
      <c r="C494" s="840" t="s">
        <v>1274</v>
      </c>
      <c r="D494" s="839" t="s">
        <v>160</v>
      </c>
      <c r="E494" s="841">
        <v>375</v>
      </c>
      <c r="F494" s="839" t="s">
        <v>2025</v>
      </c>
      <c r="G494" s="839" t="s">
        <v>174</v>
      </c>
      <c r="H494" s="454"/>
    </row>
    <row r="495" spans="1:8" ht="13.5" customHeight="1" x14ac:dyDescent="0.35">
      <c r="A495" s="838">
        <v>44285</v>
      </c>
      <c r="B495" s="839" t="s">
        <v>967</v>
      </c>
      <c r="C495" s="840" t="s">
        <v>1274</v>
      </c>
      <c r="D495" s="839" t="s">
        <v>162</v>
      </c>
      <c r="E495" s="841">
        <v>220</v>
      </c>
      <c r="F495" s="839" t="s">
        <v>357</v>
      </c>
      <c r="G495" s="839" t="s">
        <v>175</v>
      </c>
      <c r="H495" s="454"/>
    </row>
    <row r="496" spans="1:8" ht="13.5" customHeight="1" x14ac:dyDescent="0.35">
      <c r="A496" s="838">
        <v>44284</v>
      </c>
      <c r="B496" s="839" t="s">
        <v>2216</v>
      </c>
      <c r="C496" s="840" t="s">
        <v>1280</v>
      </c>
      <c r="D496" s="839" t="s">
        <v>160</v>
      </c>
      <c r="E496" s="841">
        <v>50</v>
      </c>
      <c r="F496" s="839" t="s">
        <v>734</v>
      </c>
      <c r="G496" s="839" t="s">
        <v>174</v>
      </c>
      <c r="H496" s="454"/>
    </row>
    <row r="497" spans="1:8" ht="13.5" customHeight="1" x14ac:dyDescent="0.35">
      <c r="A497" s="838">
        <v>44284</v>
      </c>
      <c r="B497" s="839" t="s">
        <v>1466</v>
      </c>
      <c r="C497" s="840" t="s">
        <v>1274</v>
      </c>
      <c r="D497" s="839" t="s">
        <v>159</v>
      </c>
      <c r="E497" s="841">
        <v>50</v>
      </c>
      <c r="F497" s="839" t="s">
        <v>2217</v>
      </c>
      <c r="G497" s="839" t="s">
        <v>175</v>
      </c>
      <c r="H497" s="454"/>
    </row>
    <row r="498" spans="1:8" ht="13.5" customHeight="1" x14ac:dyDescent="0.35">
      <c r="A498" s="838">
        <v>44284</v>
      </c>
      <c r="B498" s="839" t="s">
        <v>89</v>
      </c>
      <c r="C498" s="840" t="s">
        <v>1282</v>
      </c>
      <c r="D498" s="839" t="s">
        <v>160</v>
      </c>
      <c r="E498" s="841">
        <v>128.68</v>
      </c>
      <c r="F498" s="839" t="s">
        <v>1026</v>
      </c>
      <c r="G498" s="839" t="s">
        <v>175</v>
      </c>
      <c r="H498" s="454"/>
    </row>
    <row r="499" spans="1:8" ht="13.5" customHeight="1" x14ac:dyDescent="0.35">
      <c r="A499" s="838">
        <v>44283</v>
      </c>
      <c r="B499" s="839" t="s">
        <v>2205</v>
      </c>
      <c r="C499" s="840" t="s">
        <v>1274</v>
      </c>
      <c r="D499" s="839" t="s">
        <v>166</v>
      </c>
      <c r="E499" s="841">
        <v>12</v>
      </c>
      <c r="F499" s="839" t="s">
        <v>324</v>
      </c>
      <c r="G499" s="839" t="s">
        <v>175</v>
      </c>
      <c r="H499" s="454"/>
    </row>
    <row r="500" spans="1:8" ht="13.5" customHeight="1" x14ac:dyDescent="0.35">
      <c r="A500" s="838">
        <v>44283</v>
      </c>
      <c r="B500" s="839" t="s">
        <v>2205</v>
      </c>
      <c r="C500" s="840" t="s">
        <v>1277</v>
      </c>
      <c r="D500" s="839" t="s">
        <v>166</v>
      </c>
      <c r="E500" s="841">
        <v>-12</v>
      </c>
      <c r="F500" s="839" t="s">
        <v>324</v>
      </c>
      <c r="G500" s="839" t="s">
        <v>175</v>
      </c>
      <c r="H500" s="454"/>
    </row>
    <row r="501" spans="1:8" ht="13.5" customHeight="1" x14ac:dyDescent="0.35">
      <c r="A501" s="838">
        <v>44282</v>
      </c>
      <c r="B501" s="839" t="s">
        <v>1466</v>
      </c>
      <c r="C501" s="840" t="s">
        <v>28</v>
      </c>
      <c r="D501" s="839" t="s">
        <v>159</v>
      </c>
      <c r="E501" s="841">
        <v>17.5</v>
      </c>
      <c r="F501" s="839" t="s">
        <v>2207</v>
      </c>
      <c r="G501" s="839" t="s">
        <v>175</v>
      </c>
      <c r="H501" s="454"/>
    </row>
    <row r="502" spans="1:8" ht="13.5" customHeight="1" x14ac:dyDescent="0.35">
      <c r="A502" s="838">
        <v>44282</v>
      </c>
      <c r="B502" s="839" t="s">
        <v>2039</v>
      </c>
      <c r="C502" s="840" t="s">
        <v>28</v>
      </c>
      <c r="D502" s="839" t="s">
        <v>160</v>
      </c>
      <c r="E502" s="841">
        <v>17.5</v>
      </c>
      <c r="F502" s="839" t="s">
        <v>2207</v>
      </c>
      <c r="G502" s="839" t="s">
        <v>175</v>
      </c>
      <c r="H502" s="454"/>
    </row>
    <row r="503" spans="1:8" ht="13.5" customHeight="1" x14ac:dyDescent="0.35">
      <c r="A503" s="838">
        <v>44282</v>
      </c>
      <c r="B503" s="839" t="s">
        <v>2218</v>
      </c>
      <c r="C503" s="840" t="s">
        <v>1274</v>
      </c>
      <c r="D503" s="839" t="s">
        <v>160</v>
      </c>
      <c r="E503" s="841">
        <v>150</v>
      </c>
      <c r="F503" s="839" t="s">
        <v>2200</v>
      </c>
      <c r="G503" s="839" t="s">
        <v>174</v>
      </c>
      <c r="H503" s="454"/>
    </row>
    <row r="504" spans="1:8" ht="13.5" customHeight="1" x14ac:dyDescent="0.35">
      <c r="A504" s="838">
        <v>44281</v>
      </c>
      <c r="B504" s="839" t="s">
        <v>2124</v>
      </c>
      <c r="C504" s="840" t="s">
        <v>28</v>
      </c>
      <c r="D504" s="839" t="s">
        <v>159</v>
      </c>
      <c r="E504" s="841">
        <v>395</v>
      </c>
      <c r="F504" s="839" t="s">
        <v>1058</v>
      </c>
      <c r="G504" s="839" t="s">
        <v>174</v>
      </c>
      <c r="H504" s="454"/>
    </row>
    <row r="505" spans="1:8" ht="13.5" customHeight="1" x14ac:dyDescent="0.35">
      <c r="A505" s="838">
        <v>44280</v>
      </c>
      <c r="B505" s="839" t="s">
        <v>2219</v>
      </c>
      <c r="C505" s="840" t="s">
        <v>28</v>
      </c>
      <c r="D505" s="839" t="s">
        <v>159</v>
      </c>
      <c r="E505" s="841">
        <v>20</v>
      </c>
      <c r="F505" s="839" t="s">
        <v>2199</v>
      </c>
      <c r="G505" s="839" t="s">
        <v>175</v>
      </c>
      <c r="H505" s="454"/>
    </row>
    <row r="506" spans="1:8" ht="13.5" customHeight="1" x14ac:dyDescent="0.35">
      <c r="A506" s="838">
        <v>44280</v>
      </c>
      <c r="B506" s="839" t="s">
        <v>2205</v>
      </c>
      <c r="C506" s="840" t="s">
        <v>1274</v>
      </c>
      <c r="D506" s="839" t="s">
        <v>166</v>
      </c>
      <c r="E506" s="841">
        <v>99</v>
      </c>
      <c r="F506" s="839" t="s">
        <v>2200</v>
      </c>
      <c r="G506" s="839" t="s">
        <v>175</v>
      </c>
      <c r="H506" s="454"/>
    </row>
    <row r="507" spans="1:8" ht="13.5" customHeight="1" x14ac:dyDescent="0.35">
      <c r="A507" s="838">
        <v>44280</v>
      </c>
      <c r="B507" s="839" t="s">
        <v>2205</v>
      </c>
      <c r="C507" s="840" t="s">
        <v>1277</v>
      </c>
      <c r="D507" s="839" t="s">
        <v>166</v>
      </c>
      <c r="E507" s="841">
        <v>-99</v>
      </c>
      <c r="F507" s="839" t="s">
        <v>2200</v>
      </c>
      <c r="G507" s="839" t="s">
        <v>175</v>
      </c>
      <c r="H507" s="454"/>
    </row>
    <row r="508" spans="1:8" ht="13.5" customHeight="1" x14ac:dyDescent="0.35">
      <c r="A508" s="838">
        <v>44278</v>
      </c>
      <c r="B508" s="839" t="s">
        <v>2220</v>
      </c>
      <c r="C508" s="840" t="s">
        <v>28</v>
      </c>
      <c r="D508" s="839" t="s">
        <v>159</v>
      </c>
      <c r="E508" s="841">
        <v>20</v>
      </c>
      <c r="F508" s="839" t="s">
        <v>2221</v>
      </c>
      <c r="G508" s="839" t="s">
        <v>175</v>
      </c>
      <c r="H508" s="454"/>
    </row>
    <row r="509" spans="1:8" ht="13.5" customHeight="1" x14ac:dyDescent="0.35">
      <c r="A509" s="838">
        <v>44278</v>
      </c>
      <c r="B509" s="839" t="s">
        <v>2222</v>
      </c>
      <c r="C509" s="840" t="s">
        <v>1274</v>
      </c>
      <c r="D509" s="839" t="s">
        <v>162</v>
      </c>
      <c r="E509" s="841">
        <v>390</v>
      </c>
      <c r="F509" s="839" t="s">
        <v>463</v>
      </c>
      <c r="G509" s="839" t="s">
        <v>175</v>
      </c>
      <c r="H509" s="454"/>
    </row>
    <row r="510" spans="1:8" ht="13.5" customHeight="1" x14ac:dyDescent="0.35">
      <c r="A510" s="838">
        <v>44277</v>
      </c>
      <c r="B510" s="839" t="s">
        <v>64</v>
      </c>
      <c r="C510" s="840" t="s">
        <v>1279</v>
      </c>
      <c r="D510" s="839" t="s">
        <v>159</v>
      </c>
      <c r="E510" s="841">
        <v>35</v>
      </c>
      <c r="F510" s="839" t="s">
        <v>2123</v>
      </c>
      <c r="G510" s="839" t="s">
        <v>175</v>
      </c>
      <c r="H510" s="454"/>
    </row>
    <row r="511" spans="1:8" ht="13.5" customHeight="1" x14ac:dyDescent="0.35">
      <c r="A511" s="838">
        <v>44275</v>
      </c>
      <c r="B511" s="839" t="s">
        <v>1854</v>
      </c>
      <c r="C511" s="840" t="s">
        <v>1274</v>
      </c>
      <c r="D511" s="839" t="s">
        <v>160</v>
      </c>
      <c r="E511" s="841">
        <v>50</v>
      </c>
      <c r="F511" s="839" t="s">
        <v>1513</v>
      </c>
      <c r="G511" s="839" t="s">
        <v>175</v>
      </c>
      <c r="H511" s="454"/>
    </row>
    <row r="512" spans="1:8" ht="13.5" customHeight="1" x14ac:dyDescent="0.35">
      <c r="A512" s="838">
        <v>44274</v>
      </c>
      <c r="B512" s="839" t="s">
        <v>2223</v>
      </c>
      <c r="C512" s="840" t="s">
        <v>1274</v>
      </c>
      <c r="D512" s="839" t="s">
        <v>160</v>
      </c>
      <c r="E512" s="841">
        <v>24</v>
      </c>
      <c r="F512" s="839" t="s">
        <v>2200</v>
      </c>
      <c r="G512" s="839" t="s">
        <v>175</v>
      </c>
      <c r="H512" s="454"/>
    </row>
    <row r="513" spans="1:8" ht="13.5" customHeight="1" x14ac:dyDescent="0.35">
      <c r="A513" s="838">
        <v>44273</v>
      </c>
      <c r="B513" s="839" t="s">
        <v>2224</v>
      </c>
      <c r="C513" s="840" t="s">
        <v>1274</v>
      </c>
      <c r="D513" s="839" t="s">
        <v>160</v>
      </c>
      <c r="E513" s="841">
        <v>50</v>
      </c>
      <c r="F513" s="839" t="s">
        <v>2225</v>
      </c>
      <c r="G513" s="839" t="s">
        <v>175</v>
      </c>
      <c r="H513" s="454"/>
    </row>
    <row r="514" spans="1:8" ht="13.5" customHeight="1" x14ac:dyDescent="0.35">
      <c r="A514" s="838">
        <v>44273</v>
      </c>
      <c r="B514" s="839" t="s">
        <v>2226</v>
      </c>
      <c r="C514" s="840" t="s">
        <v>1274</v>
      </c>
      <c r="D514" s="839" t="s">
        <v>160</v>
      </c>
      <c r="E514" s="841">
        <v>99</v>
      </c>
      <c r="F514" s="839" t="s">
        <v>2200</v>
      </c>
      <c r="G514" s="839" t="s">
        <v>179</v>
      </c>
      <c r="H514" s="454"/>
    </row>
    <row r="515" spans="1:8" ht="13.5" customHeight="1" x14ac:dyDescent="0.35">
      <c r="A515" s="838">
        <v>44272</v>
      </c>
      <c r="B515" s="839" t="s">
        <v>2192</v>
      </c>
      <c r="C515" s="840" t="s">
        <v>1279</v>
      </c>
      <c r="D515" s="839" t="s">
        <v>160</v>
      </c>
      <c r="E515" s="841">
        <v>500</v>
      </c>
      <c r="F515" s="839" t="s">
        <v>2214</v>
      </c>
      <c r="G515" s="839" t="s">
        <v>174</v>
      </c>
      <c r="H515" s="454"/>
    </row>
    <row r="516" spans="1:8" ht="13.5" customHeight="1" x14ac:dyDescent="0.35">
      <c r="A516" s="838">
        <v>44272</v>
      </c>
      <c r="B516" s="839" t="s">
        <v>2227</v>
      </c>
      <c r="C516" s="840" t="s">
        <v>1274</v>
      </c>
      <c r="D516" s="839" t="s">
        <v>159</v>
      </c>
      <c r="E516" s="841">
        <v>198</v>
      </c>
      <c r="F516" s="839" t="s">
        <v>2200</v>
      </c>
      <c r="G516" s="839" t="s">
        <v>179</v>
      </c>
      <c r="H516" s="454"/>
    </row>
    <row r="517" spans="1:8" ht="13.5" customHeight="1" x14ac:dyDescent="0.35">
      <c r="A517" s="838">
        <v>44271</v>
      </c>
      <c r="B517" s="839" t="s">
        <v>64</v>
      </c>
      <c r="C517" s="840" t="s">
        <v>1279</v>
      </c>
      <c r="D517" s="839" t="s">
        <v>159</v>
      </c>
      <c r="E517" s="841">
        <v>35</v>
      </c>
      <c r="F517" s="839" t="s">
        <v>2123</v>
      </c>
      <c r="G517" s="839" t="s">
        <v>175</v>
      </c>
      <c r="H517" s="454"/>
    </row>
    <row r="518" spans="1:8" ht="13.5" customHeight="1" x14ac:dyDescent="0.35">
      <c r="A518" s="838">
        <v>44270</v>
      </c>
      <c r="B518" s="839" t="s">
        <v>2039</v>
      </c>
      <c r="C518" s="840" t="s">
        <v>1274</v>
      </c>
      <c r="D518" s="839" t="s">
        <v>159</v>
      </c>
      <c r="E518" s="841">
        <v>99</v>
      </c>
      <c r="F518" s="839" t="s">
        <v>2200</v>
      </c>
      <c r="G518" s="839" t="s">
        <v>174</v>
      </c>
      <c r="H518" s="454"/>
    </row>
    <row r="519" spans="1:8" ht="13.5" customHeight="1" x14ac:dyDescent="0.35">
      <c r="A519" s="838">
        <v>44270</v>
      </c>
      <c r="B519" s="839" t="s">
        <v>2228</v>
      </c>
      <c r="C519" s="840" t="s">
        <v>1279</v>
      </c>
      <c r="D519" s="839" t="s">
        <v>159</v>
      </c>
      <c r="E519" s="841">
        <v>35</v>
      </c>
      <c r="F519" s="839" t="s">
        <v>2123</v>
      </c>
      <c r="G519" s="839" t="s">
        <v>175</v>
      </c>
      <c r="H519" s="454"/>
    </row>
    <row r="520" spans="1:8" ht="13.5" customHeight="1" x14ac:dyDescent="0.35">
      <c r="A520" s="838">
        <v>44269</v>
      </c>
      <c r="B520" s="839" t="s">
        <v>2229</v>
      </c>
      <c r="C520" s="840" t="s">
        <v>1274</v>
      </c>
      <c r="D520" s="839" t="s">
        <v>159</v>
      </c>
      <c r="E520" s="841">
        <v>50</v>
      </c>
      <c r="F520" s="839" t="s">
        <v>2217</v>
      </c>
      <c r="G520" s="839" t="s">
        <v>175</v>
      </c>
      <c r="H520" s="454"/>
    </row>
    <row r="521" spans="1:8" ht="13.5" customHeight="1" x14ac:dyDescent="0.35">
      <c r="A521" s="838">
        <v>44268</v>
      </c>
      <c r="B521" s="839" t="s">
        <v>967</v>
      </c>
      <c r="C521" s="840" t="s">
        <v>1274</v>
      </c>
      <c r="D521" s="839" t="s">
        <v>159</v>
      </c>
      <c r="E521" s="841">
        <v>475</v>
      </c>
      <c r="F521" s="839" t="s">
        <v>357</v>
      </c>
      <c r="G521" s="839" t="s">
        <v>175</v>
      </c>
      <c r="H521" s="454"/>
    </row>
    <row r="522" spans="1:8" ht="13.5" customHeight="1" x14ac:dyDescent="0.35">
      <c r="A522" s="838">
        <v>44268</v>
      </c>
      <c r="B522" s="839" t="s">
        <v>1466</v>
      </c>
      <c r="C522" s="840" t="s">
        <v>1274</v>
      </c>
      <c r="D522" s="839" t="s">
        <v>159</v>
      </c>
      <c r="E522" s="841">
        <v>99</v>
      </c>
      <c r="F522" s="839" t="s">
        <v>2200</v>
      </c>
      <c r="G522" s="839" t="s">
        <v>175</v>
      </c>
      <c r="H522" s="454"/>
    </row>
    <row r="523" spans="1:8" ht="13.5" customHeight="1" x14ac:dyDescent="0.35">
      <c r="A523" s="838">
        <v>44267</v>
      </c>
      <c r="B523" s="839" t="s">
        <v>2230</v>
      </c>
      <c r="C523" s="840" t="s">
        <v>28</v>
      </c>
      <c r="D523" s="839" t="s">
        <v>159</v>
      </c>
      <c r="E523" s="841">
        <v>20</v>
      </c>
      <c r="F523" s="839" t="s">
        <v>2221</v>
      </c>
      <c r="G523" s="839" t="s">
        <v>175</v>
      </c>
      <c r="H523" s="454"/>
    </row>
    <row r="524" spans="1:8" ht="13.5" customHeight="1" x14ac:dyDescent="0.35">
      <c r="A524" s="838">
        <v>44267</v>
      </c>
      <c r="B524" s="839" t="s">
        <v>1854</v>
      </c>
      <c r="C524" s="840" t="s">
        <v>1274</v>
      </c>
      <c r="D524" s="839" t="s">
        <v>160</v>
      </c>
      <c r="E524" s="841">
        <v>75</v>
      </c>
      <c r="F524" s="839" t="s">
        <v>1467</v>
      </c>
      <c r="G524" s="839" t="s">
        <v>175</v>
      </c>
      <c r="H524" s="454"/>
    </row>
    <row r="525" spans="1:8" ht="13.5" customHeight="1" x14ac:dyDescent="0.35">
      <c r="A525" s="838">
        <v>44266</v>
      </c>
      <c r="B525" s="839" t="s">
        <v>967</v>
      </c>
      <c r="C525" s="840" t="s">
        <v>1274</v>
      </c>
      <c r="D525" s="839" t="s">
        <v>159</v>
      </c>
      <c r="E525" s="841">
        <v>75</v>
      </c>
      <c r="F525" s="839" t="s">
        <v>1467</v>
      </c>
      <c r="G525" s="839" t="s">
        <v>175</v>
      </c>
      <c r="H525" s="454"/>
    </row>
    <row r="526" spans="1:8" ht="13.5" customHeight="1" x14ac:dyDescent="0.35">
      <c r="A526" s="838">
        <v>44265</v>
      </c>
      <c r="B526" s="839" t="s">
        <v>2228</v>
      </c>
      <c r="C526" s="840" t="s">
        <v>1279</v>
      </c>
      <c r="D526" s="839" t="s">
        <v>159</v>
      </c>
      <c r="E526" s="841">
        <v>35</v>
      </c>
      <c r="F526" s="839" t="s">
        <v>2123</v>
      </c>
      <c r="G526" s="839" t="s">
        <v>175</v>
      </c>
      <c r="H526" s="454"/>
    </row>
    <row r="527" spans="1:8" ht="13.5" customHeight="1" x14ac:dyDescent="0.35">
      <c r="A527" s="838">
        <v>44265</v>
      </c>
      <c r="B527" s="839" t="s">
        <v>1675</v>
      </c>
      <c r="C527" s="840" t="s">
        <v>28</v>
      </c>
      <c r="D527" s="839" t="s">
        <v>159</v>
      </c>
      <c r="E527" s="841">
        <v>395</v>
      </c>
      <c r="F527" s="839" t="s">
        <v>1058</v>
      </c>
      <c r="G527" s="839" t="s">
        <v>175</v>
      </c>
      <c r="H527" s="454"/>
    </row>
    <row r="528" spans="1:8" ht="13.5" customHeight="1" x14ac:dyDescent="0.35">
      <c r="A528" s="838">
        <v>44263</v>
      </c>
      <c r="B528" s="839" t="s">
        <v>1186</v>
      </c>
      <c r="C528" s="840" t="s">
        <v>1274</v>
      </c>
      <c r="D528" s="839" t="s">
        <v>160</v>
      </c>
      <c r="E528" s="841">
        <v>99</v>
      </c>
      <c r="F528" s="839" t="s">
        <v>2200</v>
      </c>
      <c r="G528" s="839" t="s">
        <v>175</v>
      </c>
      <c r="H528" s="454"/>
    </row>
    <row r="529" spans="1:8" ht="13.5" customHeight="1" x14ac:dyDescent="0.35">
      <c r="A529" s="838">
        <v>44263</v>
      </c>
      <c r="B529" s="839" t="s">
        <v>2231</v>
      </c>
      <c r="C529" s="840" t="s">
        <v>1274</v>
      </c>
      <c r="D529" s="839" t="s">
        <v>159</v>
      </c>
      <c r="E529" s="841">
        <v>50</v>
      </c>
      <c r="F529" s="839" t="s">
        <v>1513</v>
      </c>
      <c r="G529" s="839" t="s">
        <v>175</v>
      </c>
      <c r="H529" s="454"/>
    </row>
    <row r="530" spans="1:8" ht="13.5" customHeight="1" x14ac:dyDescent="0.35">
      <c r="A530" s="838">
        <v>44262</v>
      </c>
      <c r="B530" s="839" t="s">
        <v>1187</v>
      </c>
      <c r="C530" s="840" t="s">
        <v>1276</v>
      </c>
      <c r="D530" s="839" t="s">
        <v>162</v>
      </c>
      <c r="E530" s="841">
        <v>187.5</v>
      </c>
      <c r="F530" s="839" t="s">
        <v>2232</v>
      </c>
      <c r="G530" s="839" t="s">
        <v>175</v>
      </c>
      <c r="H530" s="454"/>
    </row>
    <row r="531" spans="1:8" ht="13.5" customHeight="1" x14ac:dyDescent="0.35">
      <c r="A531" s="838">
        <v>44262</v>
      </c>
      <c r="B531" s="839" t="s">
        <v>856</v>
      </c>
      <c r="C531" s="840" t="s">
        <v>1274</v>
      </c>
      <c r="D531" s="839" t="s">
        <v>160</v>
      </c>
      <c r="E531" s="841">
        <v>99</v>
      </c>
      <c r="F531" s="839" t="s">
        <v>2200</v>
      </c>
      <c r="G531" s="839" t="s">
        <v>179</v>
      </c>
      <c r="H531" s="454"/>
    </row>
    <row r="532" spans="1:8" ht="13.5" customHeight="1" x14ac:dyDescent="0.35">
      <c r="A532" s="838">
        <v>44262</v>
      </c>
      <c r="B532" s="839" t="s">
        <v>1187</v>
      </c>
      <c r="C532" s="840" t="s">
        <v>1274</v>
      </c>
      <c r="D532" s="839" t="s">
        <v>166</v>
      </c>
      <c r="E532" s="841">
        <v>498.75</v>
      </c>
      <c r="F532" s="839" t="s">
        <v>357</v>
      </c>
      <c r="G532" s="839" t="s">
        <v>175</v>
      </c>
      <c r="H532" s="454"/>
    </row>
    <row r="533" spans="1:8" ht="13.5" customHeight="1" x14ac:dyDescent="0.35">
      <c r="A533" s="838">
        <v>44262</v>
      </c>
      <c r="B533" s="839" t="s">
        <v>1187</v>
      </c>
      <c r="C533" s="840" t="s">
        <v>1277</v>
      </c>
      <c r="D533" s="839" t="s">
        <v>166</v>
      </c>
      <c r="E533" s="841">
        <v>-498.75</v>
      </c>
      <c r="F533" s="839" t="s">
        <v>357</v>
      </c>
      <c r="G533" s="839" t="s">
        <v>175</v>
      </c>
      <c r="H533" s="454"/>
    </row>
    <row r="534" spans="1:8" ht="13.5" customHeight="1" x14ac:dyDescent="0.35">
      <c r="A534" s="838">
        <v>44262</v>
      </c>
      <c r="B534" s="839" t="s">
        <v>2220</v>
      </c>
      <c r="C534" s="840" t="s">
        <v>28</v>
      </c>
      <c r="D534" s="839" t="s">
        <v>159</v>
      </c>
      <c r="E534" s="841">
        <v>20</v>
      </c>
      <c r="F534" s="839" t="s">
        <v>2199</v>
      </c>
      <c r="G534" s="839" t="s">
        <v>175</v>
      </c>
      <c r="H534" s="454"/>
    </row>
    <row r="535" spans="1:8" ht="13.5" customHeight="1" x14ac:dyDescent="0.35">
      <c r="A535" s="838">
        <v>44262</v>
      </c>
      <c r="B535" s="839" t="s">
        <v>2233</v>
      </c>
      <c r="C535" s="840" t="s">
        <v>1274</v>
      </c>
      <c r="D535" s="839" t="s">
        <v>161</v>
      </c>
      <c r="E535" s="841">
        <v>50</v>
      </c>
      <c r="F535" s="839" t="s">
        <v>1513</v>
      </c>
      <c r="G535" s="839" t="s">
        <v>175</v>
      </c>
      <c r="H535" s="454"/>
    </row>
    <row r="536" spans="1:8" ht="13.5" customHeight="1" x14ac:dyDescent="0.35">
      <c r="A536" s="838">
        <v>44262</v>
      </c>
      <c r="B536" s="839" t="s">
        <v>2233</v>
      </c>
      <c r="C536" s="840" t="s">
        <v>1274</v>
      </c>
      <c r="D536" s="839" t="s">
        <v>161</v>
      </c>
      <c r="E536" s="841">
        <v>99</v>
      </c>
      <c r="F536" s="839" t="s">
        <v>2200</v>
      </c>
      <c r="G536" s="839" t="s">
        <v>175</v>
      </c>
      <c r="H536" s="454"/>
    </row>
    <row r="537" spans="1:8" ht="13.5" customHeight="1" x14ac:dyDescent="0.35">
      <c r="A537" s="838">
        <v>44262</v>
      </c>
      <c r="B537" s="839" t="s">
        <v>2233</v>
      </c>
      <c r="C537" s="840" t="s">
        <v>1279</v>
      </c>
      <c r="D537" s="839" t="s">
        <v>161</v>
      </c>
      <c r="E537" s="841">
        <f>-99-50</f>
        <v>-149</v>
      </c>
      <c r="F537" s="839" t="s">
        <v>2234</v>
      </c>
      <c r="G537" s="839" t="s">
        <v>175</v>
      </c>
      <c r="H537" s="454"/>
    </row>
    <row r="538" spans="1:8" ht="13.5" customHeight="1" x14ac:dyDescent="0.35">
      <c r="A538" s="838">
        <v>44262</v>
      </c>
      <c r="B538" s="839" t="s">
        <v>2205</v>
      </c>
      <c r="C538" s="840" t="s">
        <v>1274</v>
      </c>
      <c r="D538" s="839" t="s">
        <v>166</v>
      </c>
      <c r="E538" s="841">
        <v>60</v>
      </c>
      <c r="F538" s="839" t="s">
        <v>1467</v>
      </c>
      <c r="G538" s="839" t="s">
        <v>175</v>
      </c>
      <c r="H538" s="454"/>
    </row>
    <row r="539" spans="1:8" ht="13.5" customHeight="1" x14ac:dyDescent="0.35">
      <c r="A539" s="838">
        <v>44262</v>
      </c>
      <c r="B539" s="839" t="s">
        <v>2205</v>
      </c>
      <c r="C539" s="840" t="s">
        <v>1277</v>
      </c>
      <c r="D539" s="839" t="s">
        <v>166</v>
      </c>
      <c r="E539" s="841">
        <v>-60</v>
      </c>
      <c r="F539" s="839" t="s">
        <v>1467</v>
      </c>
      <c r="G539" s="839" t="s">
        <v>175</v>
      </c>
      <c r="H539" s="454"/>
    </row>
    <row r="540" spans="1:8" ht="13.5" customHeight="1" x14ac:dyDescent="0.35">
      <c r="A540" s="838">
        <v>44262</v>
      </c>
      <c r="B540" s="839" t="s">
        <v>1009</v>
      </c>
      <c r="C540" s="840" t="s">
        <v>1274</v>
      </c>
      <c r="D540" s="839" t="s">
        <v>166</v>
      </c>
      <c r="E540" s="841">
        <v>498.75</v>
      </c>
      <c r="F540" s="839" t="s">
        <v>357</v>
      </c>
      <c r="G540" s="839" t="s">
        <v>175</v>
      </c>
      <c r="H540" s="454"/>
    </row>
    <row r="541" spans="1:8" ht="13.5" customHeight="1" x14ac:dyDescent="0.35">
      <c r="A541" s="838">
        <v>44262</v>
      </c>
      <c r="B541" s="839" t="s">
        <v>1009</v>
      </c>
      <c r="C541" s="840" t="s">
        <v>1277</v>
      </c>
      <c r="D541" s="839" t="s">
        <v>166</v>
      </c>
      <c r="E541" s="841">
        <v>-498.75</v>
      </c>
      <c r="F541" s="839" t="s">
        <v>357</v>
      </c>
      <c r="G541" s="839" t="s">
        <v>175</v>
      </c>
      <c r="H541" s="454"/>
    </row>
    <row r="542" spans="1:8" ht="13.5" customHeight="1" x14ac:dyDescent="0.35">
      <c r="A542" s="838">
        <v>44262</v>
      </c>
      <c r="B542" s="839" t="s">
        <v>2205</v>
      </c>
      <c r="C542" s="840" t="s">
        <v>1274</v>
      </c>
      <c r="D542" s="839" t="s">
        <v>166</v>
      </c>
      <c r="E542" s="841">
        <v>556</v>
      </c>
      <c r="F542" s="839" t="s">
        <v>357</v>
      </c>
      <c r="G542" s="839" t="s">
        <v>175</v>
      </c>
      <c r="H542" s="454"/>
    </row>
    <row r="543" spans="1:8" ht="13.5" customHeight="1" x14ac:dyDescent="0.35">
      <c r="A543" s="838">
        <v>44262</v>
      </c>
      <c r="B543" s="839" t="s">
        <v>2205</v>
      </c>
      <c r="C543" s="840" t="s">
        <v>1277</v>
      </c>
      <c r="D543" s="839" t="s">
        <v>166</v>
      </c>
      <c r="E543" s="841">
        <v>-556</v>
      </c>
      <c r="F543" s="839" t="s">
        <v>357</v>
      </c>
      <c r="G543" s="839" t="s">
        <v>175</v>
      </c>
      <c r="H543" s="454"/>
    </row>
    <row r="544" spans="1:8" ht="13.5" customHeight="1" x14ac:dyDescent="0.35">
      <c r="A544" s="838">
        <v>44262</v>
      </c>
      <c r="B544" s="839" t="s">
        <v>2235</v>
      </c>
      <c r="C544" s="840" t="s">
        <v>1274</v>
      </c>
      <c r="D544" s="839" t="s">
        <v>166</v>
      </c>
      <c r="E544" s="841">
        <v>556</v>
      </c>
      <c r="F544" s="839" t="s">
        <v>357</v>
      </c>
      <c r="G544" s="839" t="s">
        <v>175</v>
      </c>
      <c r="H544" s="454"/>
    </row>
    <row r="545" spans="1:8" ht="13.5" customHeight="1" x14ac:dyDescent="0.35">
      <c r="A545" s="838">
        <v>44262</v>
      </c>
      <c r="B545" s="839" t="s">
        <v>2235</v>
      </c>
      <c r="C545" s="840" t="s">
        <v>1277</v>
      </c>
      <c r="D545" s="839" t="s">
        <v>166</v>
      </c>
      <c r="E545" s="841">
        <v>-500</v>
      </c>
      <c r="F545" s="839" t="s">
        <v>357</v>
      </c>
      <c r="G545" s="839" t="s">
        <v>175</v>
      </c>
      <c r="H545" s="454"/>
    </row>
    <row r="546" spans="1:8" ht="13.5" customHeight="1" x14ac:dyDescent="0.35">
      <c r="A546" s="838">
        <v>44260</v>
      </c>
      <c r="B546" s="839" t="s">
        <v>2219</v>
      </c>
      <c r="C546" s="840" t="s">
        <v>28</v>
      </c>
      <c r="D546" s="839" t="s">
        <v>159</v>
      </c>
      <c r="E546" s="841">
        <v>20</v>
      </c>
      <c r="F546" s="839" t="s">
        <v>2199</v>
      </c>
      <c r="G546" s="839" t="s">
        <v>175</v>
      </c>
      <c r="H546" s="454"/>
    </row>
    <row r="547" spans="1:8" ht="13.5" customHeight="1" x14ac:dyDescent="0.35">
      <c r="A547" s="838">
        <v>44260</v>
      </c>
      <c r="B547" s="839" t="s">
        <v>2224</v>
      </c>
      <c r="C547" s="840" t="s">
        <v>1274</v>
      </c>
      <c r="D547" s="839" t="s">
        <v>160</v>
      </c>
      <c r="E547" s="841">
        <v>375</v>
      </c>
      <c r="F547" s="839" t="s">
        <v>2225</v>
      </c>
      <c r="G547" s="839" t="s">
        <v>175</v>
      </c>
      <c r="H547" s="454"/>
    </row>
    <row r="548" spans="1:8" ht="13.5" customHeight="1" x14ac:dyDescent="0.35">
      <c r="A548" s="838">
        <v>44259</v>
      </c>
      <c r="B548" s="839" t="s">
        <v>2236</v>
      </c>
      <c r="C548" s="840" t="s">
        <v>1274</v>
      </c>
      <c r="D548" s="839" t="s">
        <v>159</v>
      </c>
      <c r="E548" s="841">
        <v>99</v>
      </c>
      <c r="F548" s="839" t="s">
        <v>2200</v>
      </c>
      <c r="G548" s="839" t="s">
        <v>175</v>
      </c>
      <c r="H548" s="454"/>
    </row>
    <row r="549" spans="1:8" ht="13.5" customHeight="1" x14ac:dyDescent="0.35">
      <c r="A549" s="838">
        <v>44259</v>
      </c>
      <c r="B549" s="839" t="s">
        <v>2237</v>
      </c>
      <c r="C549" s="840" t="s">
        <v>1278</v>
      </c>
      <c r="D549" s="839" t="s">
        <v>160</v>
      </c>
      <c r="E549" s="841">
        <v>60</v>
      </c>
      <c r="F549" s="839" t="s">
        <v>2238</v>
      </c>
      <c r="G549" s="839" t="s">
        <v>174</v>
      </c>
      <c r="H549" s="454"/>
    </row>
    <row r="550" spans="1:8" ht="13.5" customHeight="1" x14ac:dyDescent="0.35">
      <c r="A550" s="838">
        <v>44256</v>
      </c>
      <c r="B550" s="839" t="s">
        <v>2239</v>
      </c>
      <c r="C550" s="840" t="s">
        <v>28</v>
      </c>
      <c r="D550" s="839" t="s">
        <v>160</v>
      </c>
      <c r="E550" s="841">
        <v>20</v>
      </c>
      <c r="F550" s="839" t="s">
        <v>2085</v>
      </c>
      <c r="G550" s="839" t="s">
        <v>176</v>
      </c>
      <c r="H550" s="454"/>
    </row>
    <row r="551" spans="1:8" ht="13.5" customHeight="1" x14ac:dyDescent="0.35">
      <c r="A551" s="838">
        <v>44256</v>
      </c>
      <c r="B551" s="839" t="s">
        <v>2240</v>
      </c>
      <c r="C551" s="840" t="s">
        <v>28</v>
      </c>
      <c r="D551" s="839" t="s">
        <v>160</v>
      </c>
      <c r="E551" s="841">
        <v>20</v>
      </c>
      <c r="F551" s="839" t="s">
        <v>2085</v>
      </c>
      <c r="G551" s="839" t="s">
        <v>176</v>
      </c>
      <c r="H551" s="454"/>
    </row>
    <row r="552" spans="1:8" ht="13.5" customHeight="1" x14ac:dyDescent="0.35">
      <c r="A552" s="838">
        <v>44256</v>
      </c>
      <c r="B552" s="839" t="s">
        <v>2239</v>
      </c>
      <c r="C552" s="840" t="s">
        <v>28</v>
      </c>
      <c r="D552" s="839" t="s">
        <v>160</v>
      </c>
      <c r="E552" s="841">
        <v>20</v>
      </c>
      <c r="F552" s="839" t="s">
        <v>2241</v>
      </c>
      <c r="G552" s="839" t="s">
        <v>176</v>
      </c>
      <c r="H552" s="454"/>
    </row>
    <row r="553" spans="1:8" ht="13.5" customHeight="1" x14ac:dyDescent="0.35">
      <c r="A553" s="838">
        <v>44256</v>
      </c>
      <c r="B553" s="839" t="s">
        <v>2240</v>
      </c>
      <c r="C553" s="840" t="s">
        <v>28</v>
      </c>
      <c r="D553" s="839" t="s">
        <v>160</v>
      </c>
      <c r="E553" s="841">
        <v>20</v>
      </c>
      <c r="F553" s="839" t="s">
        <v>2241</v>
      </c>
      <c r="G553" s="839" t="s">
        <v>176</v>
      </c>
      <c r="H553" s="454"/>
    </row>
    <row r="554" spans="1:8" ht="13.5" customHeight="1" x14ac:dyDescent="0.35">
      <c r="A554" s="838">
        <v>44256</v>
      </c>
      <c r="B554" s="839" t="s">
        <v>2239</v>
      </c>
      <c r="C554" s="840" t="s">
        <v>28</v>
      </c>
      <c r="D554" s="839" t="s">
        <v>160</v>
      </c>
      <c r="E554" s="841">
        <v>20</v>
      </c>
      <c r="F554" s="839" t="s">
        <v>2130</v>
      </c>
      <c r="G554" s="839" t="s">
        <v>176</v>
      </c>
      <c r="H554" s="454"/>
    </row>
    <row r="555" spans="1:8" ht="13.5" customHeight="1" x14ac:dyDescent="0.35">
      <c r="A555" s="838">
        <v>44256</v>
      </c>
      <c r="B555" s="839" t="s">
        <v>2240</v>
      </c>
      <c r="C555" s="840" t="s">
        <v>28</v>
      </c>
      <c r="D555" s="839" t="s">
        <v>160</v>
      </c>
      <c r="E555" s="841">
        <v>20</v>
      </c>
      <c r="F555" s="839" t="s">
        <v>2130</v>
      </c>
      <c r="G555" s="839" t="s">
        <v>176</v>
      </c>
      <c r="H555" s="454"/>
    </row>
    <row r="556" spans="1:8" ht="13.5" customHeight="1" x14ac:dyDescent="0.35">
      <c r="A556" s="838">
        <v>44256</v>
      </c>
      <c r="B556" s="839" t="s">
        <v>2239</v>
      </c>
      <c r="C556" s="840" t="s">
        <v>1274</v>
      </c>
      <c r="D556" s="839" t="s">
        <v>160</v>
      </c>
      <c r="E556" s="841">
        <v>99</v>
      </c>
      <c r="F556" s="839" t="s">
        <v>2200</v>
      </c>
      <c r="G556" s="839" t="s">
        <v>176</v>
      </c>
      <c r="H556" s="454"/>
    </row>
    <row r="557" spans="1:8" ht="13.5" customHeight="1" x14ac:dyDescent="0.35">
      <c r="A557" s="838">
        <v>44256</v>
      </c>
      <c r="B557" s="839" t="s">
        <v>2240</v>
      </c>
      <c r="C557" s="840" t="s">
        <v>1274</v>
      </c>
      <c r="D557" s="839" t="s">
        <v>160</v>
      </c>
      <c r="E557" s="841">
        <v>99</v>
      </c>
      <c r="F557" s="839" t="s">
        <v>2200</v>
      </c>
      <c r="G557" s="839" t="s">
        <v>176</v>
      </c>
      <c r="H557" s="454"/>
    </row>
    <row r="558" spans="1:8" ht="13.5" customHeight="1" x14ac:dyDescent="0.35">
      <c r="A558" s="838">
        <v>44256</v>
      </c>
      <c r="B558" s="839" t="s">
        <v>1690</v>
      </c>
      <c r="C558" s="840" t="s">
        <v>1279</v>
      </c>
      <c r="D558" s="839" t="s">
        <v>159</v>
      </c>
      <c r="E558" s="841">
        <v>12375</v>
      </c>
      <c r="F558" s="839" t="s">
        <v>2242</v>
      </c>
      <c r="G558" s="839" t="s">
        <v>175</v>
      </c>
      <c r="H558" s="454">
        <v>12375</v>
      </c>
    </row>
    <row r="559" spans="1:8" ht="13.5" customHeight="1" x14ac:dyDescent="0.35">
      <c r="A559" s="838">
        <v>44256</v>
      </c>
      <c r="B559" s="839" t="s">
        <v>1077</v>
      </c>
      <c r="C559" s="840" t="s">
        <v>1276</v>
      </c>
      <c r="D559" s="839" t="s">
        <v>161</v>
      </c>
      <c r="E559" s="841">
        <v>187.5</v>
      </c>
      <c r="F559" s="839" t="s">
        <v>1078</v>
      </c>
      <c r="G559" s="839" t="s">
        <v>175</v>
      </c>
      <c r="H559" s="454"/>
    </row>
    <row r="560" spans="1:8" ht="13.5" customHeight="1" x14ac:dyDescent="0.35">
      <c r="A560" s="838">
        <v>44256</v>
      </c>
      <c r="B560" s="839" t="s">
        <v>292</v>
      </c>
      <c r="C560" s="840" t="s">
        <v>1278</v>
      </c>
      <c r="D560" s="840" t="s">
        <v>161</v>
      </c>
      <c r="E560" s="842">
        <v>80</v>
      </c>
      <c r="F560" s="840" t="s">
        <v>292</v>
      </c>
      <c r="G560" s="840" t="s">
        <v>175</v>
      </c>
      <c r="H560" s="454"/>
    </row>
    <row r="562" spans="1:7" ht="13.5" customHeight="1" x14ac:dyDescent="0.35">
      <c r="A562" s="838">
        <v>44255</v>
      </c>
      <c r="B562" s="839" t="s">
        <v>2243</v>
      </c>
      <c r="C562" s="840" t="s">
        <v>28</v>
      </c>
      <c r="D562" s="839" t="s">
        <v>160</v>
      </c>
      <c r="E562" s="841">
        <v>20</v>
      </c>
      <c r="F562" s="839" t="s">
        <v>2244</v>
      </c>
      <c r="G562" s="839" t="s">
        <v>175</v>
      </c>
    </row>
    <row r="563" spans="1:7" ht="13.5" customHeight="1" x14ac:dyDescent="0.35">
      <c r="A563" s="838">
        <v>44254</v>
      </c>
      <c r="B563" s="839" t="s">
        <v>2220</v>
      </c>
      <c r="C563" s="840" t="s">
        <v>28</v>
      </c>
      <c r="D563" s="839" t="s">
        <v>159</v>
      </c>
      <c r="E563" s="841">
        <v>20</v>
      </c>
      <c r="F563" s="839" t="s">
        <v>2130</v>
      </c>
      <c r="G563" s="839" t="s">
        <v>174</v>
      </c>
    </row>
    <row r="564" spans="1:7" ht="13.5" customHeight="1" x14ac:dyDescent="0.35">
      <c r="A564" s="838">
        <v>44254</v>
      </c>
      <c r="B564" s="839" t="s">
        <v>2219</v>
      </c>
      <c r="C564" s="840" t="s">
        <v>28</v>
      </c>
      <c r="D564" s="839" t="s">
        <v>160</v>
      </c>
      <c r="E564" s="841">
        <v>20</v>
      </c>
      <c r="F564" s="839" t="s">
        <v>2130</v>
      </c>
      <c r="G564" s="839" t="s">
        <v>174</v>
      </c>
    </row>
    <row r="565" spans="1:7" ht="13.5" customHeight="1" x14ac:dyDescent="0.35">
      <c r="A565" s="838">
        <v>44254</v>
      </c>
      <c r="B565" s="839" t="s">
        <v>64</v>
      </c>
      <c r="C565" s="840" t="s">
        <v>28</v>
      </c>
      <c r="D565" s="839" t="s">
        <v>159</v>
      </c>
      <c r="E565" s="841">
        <v>150</v>
      </c>
      <c r="F565" s="839" t="s">
        <v>2245</v>
      </c>
      <c r="G565" s="839" t="s">
        <v>175</v>
      </c>
    </row>
    <row r="566" spans="1:7" ht="13.5" customHeight="1" x14ac:dyDescent="0.35">
      <c r="A566" s="838">
        <v>44253</v>
      </c>
      <c r="B566" s="839" t="s">
        <v>1187</v>
      </c>
      <c r="C566" s="840" t="s">
        <v>28</v>
      </c>
      <c r="D566" s="839" t="s">
        <v>159</v>
      </c>
      <c r="E566" s="841">
        <v>150</v>
      </c>
      <c r="F566" s="839" t="s">
        <v>2245</v>
      </c>
      <c r="G566" s="839" t="s">
        <v>175</v>
      </c>
    </row>
    <row r="567" spans="1:7" ht="13.5" customHeight="1" x14ac:dyDescent="0.35">
      <c r="A567" s="838">
        <v>44252</v>
      </c>
      <c r="B567" s="839" t="s">
        <v>2039</v>
      </c>
      <c r="C567" s="840" t="s">
        <v>28</v>
      </c>
      <c r="D567" s="839" t="s">
        <v>160</v>
      </c>
      <c r="E567" s="841">
        <v>17.5</v>
      </c>
      <c r="F567" s="839" t="s">
        <v>2246</v>
      </c>
      <c r="G567" s="839" t="s">
        <v>175</v>
      </c>
    </row>
    <row r="568" spans="1:7" ht="13.5" customHeight="1" x14ac:dyDescent="0.35">
      <c r="A568" s="838">
        <v>44252</v>
      </c>
      <c r="B568" s="839" t="s">
        <v>2039</v>
      </c>
      <c r="C568" s="840" t="s">
        <v>28</v>
      </c>
      <c r="D568" s="839" t="s">
        <v>160</v>
      </c>
      <c r="E568" s="841">
        <v>17.5</v>
      </c>
      <c r="F568" s="839" t="s">
        <v>2241</v>
      </c>
      <c r="G568" s="839" t="s">
        <v>175</v>
      </c>
    </row>
    <row r="569" spans="1:7" ht="13.5" customHeight="1" x14ac:dyDescent="0.35">
      <c r="A569" s="838">
        <v>44252</v>
      </c>
      <c r="B569" s="839" t="s">
        <v>2247</v>
      </c>
      <c r="C569" s="840" t="s">
        <v>28</v>
      </c>
      <c r="D569" s="839" t="s">
        <v>160</v>
      </c>
      <c r="E569" s="841">
        <v>17.5</v>
      </c>
      <c r="F569" s="839" t="s">
        <v>2130</v>
      </c>
      <c r="G569" s="839" t="s">
        <v>174</v>
      </c>
    </row>
    <row r="570" spans="1:7" ht="13.5" customHeight="1" x14ac:dyDescent="0.35">
      <c r="A570" s="838">
        <v>44252</v>
      </c>
      <c r="B570" s="839" t="s">
        <v>2248</v>
      </c>
      <c r="C570" s="840" t="s">
        <v>1280</v>
      </c>
      <c r="D570" s="839" t="s">
        <v>159</v>
      </c>
      <c r="E570" s="841">
        <v>50</v>
      </c>
      <c r="F570" s="839" t="s">
        <v>734</v>
      </c>
      <c r="G570" s="839" t="s">
        <v>174</v>
      </c>
    </row>
    <row r="571" spans="1:7" ht="13.5" customHeight="1" x14ac:dyDescent="0.35">
      <c r="A571" s="838">
        <v>44252</v>
      </c>
      <c r="B571" s="839" t="s">
        <v>78</v>
      </c>
      <c r="C571" s="840" t="s">
        <v>1282</v>
      </c>
      <c r="D571" s="839" t="s">
        <v>160</v>
      </c>
      <c r="E571" s="841">
        <v>294.8</v>
      </c>
      <c r="F571" s="839" t="s">
        <v>2249</v>
      </c>
      <c r="G571" s="839" t="s">
        <v>175</v>
      </c>
    </row>
    <row r="572" spans="1:7" ht="13.5" customHeight="1" x14ac:dyDescent="0.35">
      <c r="A572" s="838">
        <v>44251</v>
      </c>
      <c r="B572" s="839" t="s">
        <v>968</v>
      </c>
      <c r="C572" s="840" t="s">
        <v>1274</v>
      </c>
      <c r="D572" s="839" t="s">
        <v>159</v>
      </c>
      <c r="E572" s="841">
        <v>99</v>
      </c>
      <c r="F572" s="839" t="s">
        <v>2004</v>
      </c>
      <c r="G572" s="839" t="s">
        <v>175</v>
      </c>
    </row>
    <row r="573" spans="1:7" ht="13.5" customHeight="1" x14ac:dyDescent="0.35">
      <c r="A573" s="838">
        <v>44251</v>
      </c>
      <c r="B573" s="839" t="s">
        <v>2250</v>
      </c>
      <c r="C573" s="840" t="s">
        <v>28</v>
      </c>
      <c r="D573" s="839" t="s">
        <v>159</v>
      </c>
      <c r="E573" s="841">
        <v>20</v>
      </c>
      <c r="F573" s="839" t="s">
        <v>2251</v>
      </c>
      <c r="G573" s="839" t="s">
        <v>175</v>
      </c>
    </row>
    <row r="574" spans="1:7" ht="13.5" customHeight="1" x14ac:dyDescent="0.35">
      <c r="A574" s="838">
        <v>44251</v>
      </c>
      <c r="B574" s="839" t="s">
        <v>2250</v>
      </c>
      <c r="C574" s="840" t="s">
        <v>28</v>
      </c>
      <c r="D574" s="839" t="s">
        <v>159</v>
      </c>
      <c r="E574" s="841">
        <v>20</v>
      </c>
      <c r="F574" s="839" t="s">
        <v>2244</v>
      </c>
      <c r="G574" s="839" t="s">
        <v>175</v>
      </c>
    </row>
    <row r="575" spans="1:7" ht="13.5" customHeight="1" x14ac:dyDescent="0.35">
      <c r="A575" s="838">
        <v>44250</v>
      </c>
      <c r="B575" s="839" t="s">
        <v>2230</v>
      </c>
      <c r="C575" s="840" t="s">
        <v>28</v>
      </c>
      <c r="D575" s="839" t="s">
        <v>159</v>
      </c>
      <c r="E575" s="841">
        <v>17.5</v>
      </c>
      <c r="F575" s="839" t="s">
        <v>2241</v>
      </c>
      <c r="G575" s="839" t="s">
        <v>175</v>
      </c>
    </row>
    <row r="576" spans="1:7" ht="13.5" customHeight="1" x14ac:dyDescent="0.35">
      <c r="A576" s="838">
        <v>44250</v>
      </c>
      <c r="B576" s="839" t="s">
        <v>1046</v>
      </c>
      <c r="C576" s="840" t="s">
        <v>1274</v>
      </c>
      <c r="D576" s="839" t="s">
        <v>159</v>
      </c>
      <c r="E576" s="841">
        <v>99</v>
      </c>
      <c r="F576" s="839" t="s">
        <v>2004</v>
      </c>
      <c r="G576" s="839" t="s">
        <v>175</v>
      </c>
    </row>
    <row r="577" spans="1:7" ht="13.5" customHeight="1" x14ac:dyDescent="0.35">
      <c r="A577" s="838">
        <v>44249</v>
      </c>
      <c r="B577" s="839" t="s">
        <v>1690</v>
      </c>
      <c r="C577" s="840" t="s">
        <v>1279</v>
      </c>
      <c r="D577" s="839" t="s">
        <v>160</v>
      </c>
      <c r="E577" s="841">
        <v>750</v>
      </c>
      <c r="F577" s="839" t="s">
        <v>2252</v>
      </c>
      <c r="G577" s="839" t="s">
        <v>175</v>
      </c>
    </row>
    <row r="578" spans="1:7" ht="13.5" customHeight="1" x14ac:dyDescent="0.35">
      <c r="A578" s="838">
        <v>44249</v>
      </c>
      <c r="B578" s="839" t="s">
        <v>2233</v>
      </c>
      <c r="C578" s="840" t="s">
        <v>28</v>
      </c>
      <c r="D578" s="839" t="s">
        <v>160</v>
      </c>
      <c r="E578" s="841">
        <v>17.5</v>
      </c>
      <c r="F578" s="839" t="s">
        <v>2085</v>
      </c>
      <c r="G578" s="839" t="s">
        <v>175</v>
      </c>
    </row>
    <row r="579" spans="1:7" ht="13.5" customHeight="1" x14ac:dyDescent="0.35">
      <c r="A579" s="838">
        <v>44247</v>
      </c>
      <c r="B579" s="839" t="s">
        <v>2253</v>
      </c>
      <c r="C579" s="840" t="s">
        <v>1279</v>
      </c>
      <c r="D579" s="839" t="s">
        <v>159</v>
      </c>
      <c r="E579" s="841">
        <v>60</v>
      </c>
      <c r="F579" s="839" t="s">
        <v>2254</v>
      </c>
      <c r="G579" s="839" t="s">
        <v>175</v>
      </c>
    </row>
    <row r="580" spans="1:7" ht="13.5" customHeight="1" x14ac:dyDescent="0.35">
      <c r="A580" s="838">
        <v>44245</v>
      </c>
      <c r="B580" s="839" t="s">
        <v>2255</v>
      </c>
      <c r="C580" s="840" t="s">
        <v>28</v>
      </c>
      <c r="D580" s="839" t="s">
        <v>159</v>
      </c>
      <c r="E580" s="841">
        <v>20</v>
      </c>
      <c r="F580" s="839" t="s">
        <v>2244</v>
      </c>
      <c r="G580" s="839" t="s">
        <v>175</v>
      </c>
    </row>
    <row r="581" spans="1:7" ht="13.5" customHeight="1" x14ac:dyDescent="0.35">
      <c r="A581" s="838">
        <v>44245</v>
      </c>
      <c r="B581" s="839" t="s">
        <v>2255</v>
      </c>
      <c r="C581" s="840" t="s">
        <v>28</v>
      </c>
      <c r="D581" s="839" t="s">
        <v>159</v>
      </c>
      <c r="E581" s="841">
        <v>20</v>
      </c>
      <c r="F581" s="839" t="s">
        <v>2251</v>
      </c>
      <c r="G581" s="839" t="s">
        <v>175</v>
      </c>
    </row>
    <row r="582" spans="1:7" ht="13.5" customHeight="1" x14ac:dyDescent="0.35">
      <c r="A582" s="838">
        <v>44245</v>
      </c>
      <c r="B582" s="839" t="s">
        <v>2255</v>
      </c>
      <c r="C582" s="840" t="s">
        <v>28</v>
      </c>
      <c r="D582" s="839" t="s">
        <v>159</v>
      </c>
      <c r="E582" s="841">
        <v>17.5</v>
      </c>
      <c r="F582" s="839" t="s">
        <v>2256</v>
      </c>
      <c r="G582" s="839" t="s">
        <v>175</v>
      </c>
    </row>
    <row r="583" spans="1:7" ht="13.5" customHeight="1" x14ac:dyDescent="0.35">
      <c r="A583" s="838">
        <v>44245</v>
      </c>
      <c r="B583" s="839" t="s">
        <v>2250</v>
      </c>
      <c r="C583" s="840" t="s">
        <v>28</v>
      </c>
      <c r="D583" s="839" t="s">
        <v>159</v>
      </c>
      <c r="E583" s="841">
        <v>17.5</v>
      </c>
      <c r="F583" s="839" t="s">
        <v>2085</v>
      </c>
      <c r="G583" s="839" t="s">
        <v>175</v>
      </c>
    </row>
    <row r="584" spans="1:7" ht="13.5" customHeight="1" x14ac:dyDescent="0.35">
      <c r="A584" s="838">
        <v>44245</v>
      </c>
      <c r="B584" s="839" t="s">
        <v>1690</v>
      </c>
      <c r="C584" s="840" t="s">
        <v>1279</v>
      </c>
      <c r="D584" s="839" t="s">
        <v>160</v>
      </c>
      <c r="E584" s="841">
        <v>17.5</v>
      </c>
      <c r="F584" s="839" t="s">
        <v>2257</v>
      </c>
      <c r="G584" s="839" t="s">
        <v>175</v>
      </c>
    </row>
    <row r="585" spans="1:7" ht="13.5" customHeight="1" x14ac:dyDescent="0.35">
      <c r="A585" s="838">
        <v>44244</v>
      </c>
      <c r="B585" s="839" t="s">
        <v>1777</v>
      </c>
      <c r="C585" s="840" t="s">
        <v>28</v>
      </c>
      <c r="D585" s="839" t="s">
        <v>160</v>
      </c>
      <c r="E585" s="841">
        <v>17.5</v>
      </c>
      <c r="F585" s="839" t="s">
        <v>2085</v>
      </c>
      <c r="G585" s="839" t="s">
        <v>175</v>
      </c>
    </row>
    <row r="586" spans="1:7" ht="13.5" customHeight="1" x14ac:dyDescent="0.35">
      <c r="A586" s="838">
        <v>44243</v>
      </c>
      <c r="B586" s="839" t="s">
        <v>2243</v>
      </c>
      <c r="C586" s="840" t="s">
        <v>28</v>
      </c>
      <c r="D586" s="839" t="s">
        <v>159</v>
      </c>
      <c r="E586" s="841">
        <v>17.5</v>
      </c>
      <c r="F586" s="839" t="s">
        <v>2085</v>
      </c>
      <c r="G586" s="839" t="s">
        <v>175</v>
      </c>
    </row>
    <row r="587" spans="1:7" ht="13.5" customHeight="1" x14ac:dyDescent="0.35">
      <c r="A587" s="838">
        <v>44243</v>
      </c>
      <c r="B587" s="839" t="s">
        <v>2039</v>
      </c>
      <c r="C587" s="840" t="s">
        <v>28</v>
      </c>
      <c r="D587" s="839" t="s">
        <v>160</v>
      </c>
      <c r="E587" s="841">
        <v>17.5</v>
      </c>
      <c r="F587" s="839" t="s">
        <v>2130</v>
      </c>
      <c r="G587" s="839" t="s">
        <v>174</v>
      </c>
    </row>
    <row r="588" spans="1:7" ht="13.5" customHeight="1" x14ac:dyDescent="0.35">
      <c r="A588" s="838">
        <v>44243</v>
      </c>
      <c r="B588" s="839" t="s">
        <v>2222</v>
      </c>
      <c r="C588" s="840" t="s">
        <v>28</v>
      </c>
      <c r="D588" s="839" t="s">
        <v>160</v>
      </c>
      <c r="E588" s="841">
        <v>395</v>
      </c>
      <c r="F588" s="839" t="s">
        <v>1058</v>
      </c>
      <c r="G588" s="839" t="s">
        <v>175</v>
      </c>
    </row>
    <row r="589" spans="1:7" ht="13.5" customHeight="1" x14ac:dyDescent="0.35">
      <c r="A589" s="838">
        <v>44241</v>
      </c>
      <c r="B589" s="839" t="s">
        <v>2258</v>
      </c>
      <c r="C589" s="840" t="s">
        <v>28</v>
      </c>
      <c r="D589" s="839" t="s">
        <v>159</v>
      </c>
      <c r="E589" s="841">
        <v>150</v>
      </c>
      <c r="F589" s="839" t="s">
        <v>2245</v>
      </c>
      <c r="G589" s="839" t="s">
        <v>175</v>
      </c>
    </row>
    <row r="590" spans="1:7" ht="13.5" customHeight="1" x14ac:dyDescent="0.35">
      <c r="A590" s="838">
        <v>44240</v>
      </c>
      <c r="B590" s="839" t="s">
        <v>1142</v>
      </c>
      <c r="C590" s="840" t="s">
        <v>1281</v>
      </c>
      <c r="D590" s="839" t="s">
        <v>165</v>
      </c>
      <c r="E590" s="841">
        <v>-150</v>
      </c>
      <c r="F590" s="839" t="s">
        <v>2004</v>
      </c>
      <c r="G590" s="839" t="s">
        <v>175</v>
      </c>
    </row>
    <row r="591" spans="1:7" ht="13.5" customHeight="1" x14ac:dyDescent="0.35">
      <c r="A591" s="838">
        <v>44240</v>
      </c>
      <c r="B591" s="839" t="s">
        <v>1142</v>
      </c>
      <c r="C591" s="840" t="s">
        <v>1274</v>
      </c>
      <c r="D591" s="839" t="s">
        <v>165</v>
      </c>
      <c r="E591" s="841">
        <v>150</v>
      </c>
      <c r="F591" s="839" t="s">
        <v>2004</v>
      </c>
      <c r="G591" s="839" t="s">
        <v>175</v>
      </c>
    </row>
    <row r="592" spans="1:7" ht="13.5" customHeight="1" x14ac:dyDescent="0.35">
      <c r="A592" s="838">
        <v>44239</v>
      </c>
      <c r="B592" s="839" t="s">
        <v>2259</v>
      </c>
      <c r="C592" s="840" t="s">
        <v>1282</v>
      </c>
      <c r="D592" s="839" t="s">
        <v>162</v>
      </c>
      <c r="E592" s="841">
        <v>166.37</v>
      </c>
      <c r="F592" s="839" t="s">
        <v>2260</v>
      </c>
      <c r="G592" s="839" t="s">
        <v>175</v>
      </c>
    </row>
    <row r="593" spans="1:7" ht="13.5" customHeight="1" x14ac:dyDescent="0.35">
      <c r="A593" s="838">
        <v>44239</v>
      </c>
      <c r="B593" s="839" t="s">
        <v>2253</v>
      </c>
      <c r="C593" s="840" t="s">
        <v>1279</v>
      </c>
      <c r="D593" s="839" t="s">
        <v>159</v>
      </c>
      <c r="E593" s="841">
        <v>60</v>
      </c>
      <c r="F593" s="839" t="s">
        <v>2254</v>
      </c>
      <c r="G593" s="839" t="s">
        <v>175</v>
      </c>
    </row>
    <row r="594" spans="1:7" ht="13.5" customHeight="1" x14ac:dyDescent="0.35">
      <c r="A594" s="838">
        <v>44239</v>
      </c>
      <c r="B594" s="839" t="s">
        <v>78</v>
      </c>
      <c r="C594" s="840" t="s">
        <v>1282</v>
      </c>
      <c r="D594" s="839" t="s">
        <v>160</v>
      </c>
      <c r="E594" s="841">
        <v>313.52</v>
      </c>
      <c r="F594" s="839" t="s">
        <v>2249</v>
      </c>
      <c r="G594" s="839" t="s">
        <v>175</v>
      </c>
    </row>
    <row r="595" spans="1:7" ht="13.5" customHeight="1" x14ac:dyDescent="0.35">
      <c r="A595" s="838">
        <v>44238</v>
      </c>
      <c r="B595" s="839" t="s">
        <v>1009</v>
      </c>
      <c r="C595" s="840" t="s">
        <v>28</v>
      </c>
      <c r="D595" s="839" t="s">
        <v>160</v>
      </c>
      <c r="E595" s="841">
        <v>150</v>
      </c>
      <c r="F595" s="839" t="s">
        <v>2245</v>
      </c>
      <c r="G595" s="839" t="s">
        <v>175</v>
      </c>
    </row>
    <row r="596" spans="1:7" ht="13.5" customHeight="1" x14ac:dyDescent="0.35">
      <c r="A596" s="838">
        <v>44238</v>
      </c>
      <c r="B596" s="839" t="s">
        <v>2261</v>
      </c>
      <c r="C596" s="840" t="s">
        <v>28</v>
      </c>
      <c r="D596" s="839" t="s">
        <v>159</v>
      </c>
      <c r="E596" s="841">
        <v>15</v>
      </c>
      <c r="F596" s="839" t="s">
        <v>2130</v>
      </c>
      <c r="G596" s="839" t="s">
        <v>174</v>
      </c>
    </row>
    <row r="597" spans="1:7" ht="13.5" customHeight="1" x14ac:dyDescent="0.35">
      <c r="A597" s="838">
        <v>44238</v>
      </c>
      <c r="B597" s="839" t="s">
        <v>967</v>
      </c>
      <c r="C597" s="840" t="s">
        <v>28</v>
      </c>
      <c r="D597" s="839" t="s">
        <v>160</v>
      </c>
      <c r="E597" s="841">
        <v>150</v>
      </c>
      <c r="F597" s="839" t="s">
        <v>2245</v>
      </c>
      <c r="G597" s="839" t="s">
        <v>175</v>
      </c>
    </row>
    <row r="598" spans="1:7" ht="13.5" customHeight="1" x14ac:dyDescent="0.35">
      <c r="A598" s="838">
        <v>44236</v>
      </c>
      <c r="B598" s="839" t="s">
        <v>2222</v>
      </c>
      <c r="C598" s="840" t="s">
        <v>28</v>
      </c>
      <c r="D598" s="839" t="s">
        <v>160</v>
      </c>
      <c r="E598" s="841">
        <v>15</v>
      </c>
      <c r="F598" s="839" t="s">
        <v>2262</v>
      </c>
      <c r="G598" s="839" t="s">
        <v>175</v>
      </c>
    </row>
    <row r="599" spans="1:7" ht="13.5" customHeight="1" x14ac:dyDescent="0.35">
      <c r="A599" s="838">
        <v>44236</v>
      </c>
      <c r="B599" s="839" t="s">
        <v>2222</v>
      </c>
      <c r="C599" s="840" t="s">
        <v>28</v>
      </c>
      <c r="D599" s="839" t="s">
        <v>160</v>
      </c>
      <c r="E599" s="841">
        <v>17.5</v>
      </c>
      <c r="F599" s="839" t="s">
        <v>2263</v>
      </c>
      <c r="G599" s="839" t="s">
        <v>175</v>
      </c>
    </row>
    <row r="600" spans="1:7" ht="13.5" customHeight="1" x14ac:dyDescent="0.35">
      <c r="A600" s="838">
        <v>44236</v>
      </c>
      <c r="B600" s="839" t="s">
        <v>2222</v>
      </c>
      <c r="C600" s="840" t="s">
        <v>28</v>
      </c>
      <c r="D600" s="839" t="s">
        <v>160</v>
      </c>
      <c r="E600" s="841">
        <v>17.5</v>
      </c>
      <c r="F600" s="839" t="s">
        <v>2263</v>
      </c>
      <c r="G600" s="839" t="s">
        <v>175</v>
      </c>
    </row>
    <row r="601" spans="1:7" ht="13.5" customHeight="1" x14ac:dyDescent="0.35">
      <c r="A601" s="838">
        <v>44233</v>
      </c>
      <c r="B601" s="839" t="s">
        <v>2264</v>
      </c>
      <c r="C601" s="840" t="s">
        <v>1274</v>
      </c>
      <c r="D601" s="839" t="s">
        <v>159</v>
      </c>
      <c r="E601" s="841">
        <v>50</v>
      </c>
      <c r="F601" s="839" t="s">
        <v>1788</v>
      </c>
      <c r="G601" s="839" t="s">
        <v>174</v>
      </c>
    </row>
    <row r="602" spans="1:7" ht="13.5" customHeight="1" x14ac:dyDescent="0.35">
      <c r="A602" s="838">
        <v>44232</v>
      </c>
      <c r="B602" s="839" t="s">
        <v>1466</v>
      </c>
      <c r="C602" s="840" t="s">
        <v>28</v>
      </c>
      <c r="D602" s="839" t="s">
        <v>159</v>
      </c>
      <c r="E602" s="841">
        <v>15</v>
      </c>
      <c r="F602" s="839" t="s">
        <v>2241</v>
      </c>
      <c r="G602" s="839" t="s">
        <v>175</v>
      </c>
    </row>
    <row r="603" spans="1:7" ht="13.5" customHeight="1" x14ac:dyDescent="0.35">
      <c r="A603" s="838">
        <v>44231</v>
      </c>
      <c r="B603" s="839" t="s">
        <v>2265</v>
      </c>
      <c r="C603" s="840" t="s">
        <v>1279</v>
      </c>
      <c r="D603" s="839" t="s">
        <v>159</v>
      </c>
      <c r="E603" s="841">
        <v>60</v>
      </c>
      <c r="F603" s="839" t="s">
        <v>1398</v>
      </c>
      <c r="G603" s="839" t="s">
        <v>174</v>
      </c>
    </row>
    <row r="604" spans="1:7" ht="13.5" customHeight="1" x14ac:dyDescent="0.35">
      <c r="A604" s="838">
        <v>44230</v>
      </c>
      <c r="B604" s="839" t="s">
        <v>2253</v>
      </c>
      <c r="C604" s="840" t="s">
        <v>1279</v>
      </c>
      <c r="D604" s="839" t="s">
        <v>159</v>
      </c>
      <c r="E604" s="841">
        <v>60</v>
      </c>
      <c r="F604" s="839" t="s">
        <v>1398</v>
      </c>
      <c r="G604" s="839" t="s">
        <v>174</v>
      </c>
    </row>
    <row r="605" spans="1:7" ht="13.5" customHeight="1" x14ac:dyDescent="0.35">
      <c r="A605" s="838">
        <v>44229</v>
      </c>
      <c r="B605" s="839" t="s">
        <v>2255</v>
      </c>
      <c r="C605" s="840" t="s">
        <v>28</v>
      </c>
      <c r="D605" s="839" t="s">
        <v>160</v>
      </c>
      <c r="E605" s="841">
        <v>15</v>
      </c>
      <c r="F605" s="839" t="s">
        <v>2262</v>
      </c>
      <c r="G605" s="839" t="s">
        <v>175</v>
      </c>
    </row>
    <row r="606" spans="1:7" ht="13.5" customHeight="1" x14ac:dyDescent="0.35">
      <c r="A606" s="838">
        <v>44229</v>
      </c>
      <c r="B606" s="839" t="s">
        <v>2266</v>
      </c>
      <c r="C606" s="840" t="s">
        <v>28</v>
      </c>
      <c r="D606" s="839" t="s">
        <v>160</v>
      </c>
      <c r="E606" s="841">
        <v>15</v>
      </c>
      <c r="F606" s="839" t="s">
        <v>2262</v>
      </c>
      <c r="G606" s="839" t="s">
        <v>175</v>
      </c>
    </row>
    <row r="607" spans="1:7" ht="13.5" customHeight="1" x14ac:dyDescent="0.35">
      <c r="A607" s="838">
        <v>44228</v>
      </c>
      <c r="B607" s="839" t="s">
        <v>292</v>
      </c>
      <c r="C607" s="840" t="s">
        <v>1278</v>
      </c>
      <c r="D607" s="840" t="s">
        <v>161</v>
      </c>
      <c r="E607" s="842">
        <v>80</v>
      </c>
      <c r="F607" s="840" t="s">
        <v>292</v>
      </c>
      <c r="G607" s="840" t="s">
        <v>175</v>
      </c>
    </row>
    <row r="609" spans="1:7" ht="13.5" customHeight="1" x14ac:dyDescent="0.35">
      <c r="A609" s="838">
        <v>44227</v>
      </c>
      <c r="B609" s="839" t="s">
        <v>2267</v>
      </c>
      <c r="C609" s="840" t="s">
        <v>28</v>
      </c>
      <c r="D609" s="839" t="s">
        <v>159</v>
      </c>
      <c r="E609" s="841">
        <v>15</v>
      </c>
      <c r="F609" s="839" t="s">
        <v>2241</v>
      </c>
      <c r="G609" s="839" t="s">
        <v>175</v>
      </c>
    </row>
    <row r="610" spans="1:7" ht="13.5" customHeight="1" x14ac:dyDescent="0.35">
      <c r="A610" s="838">
        <v>44227</v>
      </c>
      <c r="B610" s="839" t="s">
        <v>2268</v>
      </c>
      <c r="C610" s="840" t="s">
        <v>28</v>
      </c>
      <c r="D610" s="839" t="s">
        <v>159</v>
      </c>
      <c r="E610" s="841">
        <v>15</v>
      </c>
      <c r="F610" s="839" t="s">
        <v>2241</v>
      </c>
      <c r="G610" s="839" t="s">
        <v>175</v>
      </c>
    </row>
    <row r="611" spans="1:7" ht="13.5" customHeight="1" x14ac:dyDescent="0.35">
      <c r="A611" s="838">
        <v>44227</v>
      </c>
      <c r="B611" s="839" t="s">
        <v>2243</v>
      </c>
      <c r="C611" s="840" t="s">
        <v>28</v>
      </c>
      <c r="D611" s="839" t="s">
        <v>160</v>
      </c>
      <c r="E611" s="841">
        <v>15</v>
      </c>
      <c r="F611" s="839" t="s">
        <v>2241</v>
      </c>
      <c r="G611" s="839" t="s">
        <v>175</v>
      </c>
    </row>
    <row r="612" spans="1:7" ht="13.5" customHeight="1" x14ac:dyDescent="0.35">
      <c r="A612" s="838">
        <v>44225</v>
      </c>
      <c r="B612" s="839" t="s">
        <v>2222</v>
      </c>
      <c r="C612" s="840" t="s">
        <v>1274</v>
      </c>
      <c r="D612" s="839" t="s">
        <v>160</v>
      </c>
      <c r="E612" s="841">
        <v>99</v>
      </c>
      <c r="F612" s="839" t="s">
        <v>230</v>
      </c>
      <c r="G612" s="839" t="s">
        <v>175</v>
      </c>
    </row>
    <row r="613" spans="1:7" ht="13.5" customHeight="1" x14ac:dyDescent="0.35">
      <c r="A613" s="838">
        <v>44224</v>
      </c>
      <c r="B613" s="839" t="s">
        <v>2269</v>
      </c>
      <c r="C613" s="840" t="s">
        <v>1279</v>
      </c>
      <c r="D613" s="839" t="s">
        <v>159</v>
      </c>
      <c r="E613" s="841">
        <v>60</v>
      </c>
      <c r="F613" s="839" t="s">
        <v>1398</v>
      </c>
      <c r="G613" s="839" t="s">
        <v>174</v>
      </c>
    </row>
    <row r="614" spans="1:7" ht="13.5" customHeight="1" x14ac:dyDescent="0.35">
      <c r="A614" s="838">
        <v>44221</v>
      </c>
      <c r="B614" s="839" t="s">
        <v>2255</v>
      </c>
      <c r="C614" s="840" t="s">
        <v>28</v>
      </c>
      <c r="D614" s="839" t="s">
        <v>160</v>
      </c>
      <c r="E614" s="841">
        <v>15</v>
      </c>
      <c r="F614" s="839" t="s">
        <v>2241</v>
      </c>
      <c r="G614" s="839" t="s">
        <v>175</v>
      </c>
    </row>
    <row r="615" spans="1:7" ht="13.5" customHeight="1" x14ac:dyDescent="0.35">
      <c r="A615" s="838">
        <v>44222</v>
      </c>
      <c r="B615" s="839" t="s">
        <v>2222</v>
      </c>
      <c r="C615" s="840" t="s">
        <v>1279</v>
      </c>
      <c r="D615" s="839" t="s">
        <v>162</v>
      </c>
      <c r="E615" s="842">
        <v>300</v>
      </c>
      <c r="F615" s="839" t="s">
        <v>2270</v>
      </c>
      <c r="G615" s="839" t="s">
        <v>175</v>
      </c>
    </row>
    <row r="616" spans="1:7" ht="13.5" customHeight="1" x14ac:dyDescent="0.35">
      <c r="A616" s="838">
        <v>44219</v>
      </c>
      <c r="B616" s="839" t="s">
        <v>2255</v>
      </c>
      <c r="C616" s="840" t="s">
        <v>28</v>
      </c>
      <c r="D616" s="839" t="s">
        <v>159</v>
      </c>
      <c r="E616" s="841">
        <v>15</v>
      </c>
      <c r="F616" s="839" t="s">
        <v>1236</v>
      </c>
      <c r="G616" s="839" t="s">
        <v>174</v>
      </c>
    </row>
    <row r="617" spans="1:7" ht="13.5" customHeight="1" x14ac:dyDescent="0.35">
      <c r="A617" s="838">
        <v>44217</v>
      </c>
      <c r="B617" s="839" t="s">
        <v>2266</v>
      </c>
      <c r="C617" s="840" t="s">
        <v>28</v>
      </c>
      <c r="D617" s="839" t="s">
        <v>159</v>
      </c>
      <c r="E617" s="841">
        <v>15</v>
      </c>
      <c r="F617" s="839" t="s">
        <v>2241</v>
      </c>
      <c r="G617" s="839" t="s">
        <v>175</v>
      </c>
    </row>
    <row r="618" spans="1:7" ht="13.5" customHeight="1" x14ac:dyDescent="0.35">
      <c r="A618" s="838">
        <v>44216</v>
      </c>
      <c r="B618" s="839" t="s">
        <v>986</v>
      </c>
      <c r="C618" s="840" t="s">
        <v>1274</v>
      </c>
      <c r="D618" s="839" t="s">
        <v>160</v>
      </c>
      <c r="E618" s="841">
        <v>24</v>
      </c>
      <c r="F618" s="839" t="s">
        <v>230</v>
      </c>
      <c r="G618" s="839" t="s">
        <v>175</v>
      </c>
    </row>
    <row r="619" spans="1:7" ht="13.5" customHeight="1" x14ac:dyDescent="0.35">
      <c r="A619" s="838">
        <v>44216</v>
      </c>
      <c r="B619" s="839" t="s">
        <v>2271</v>
      </c>
      <c r="C619" s="840" t="s">
        <v>28</v>
      </c>
      <c r="D619" s="839" t="s">
        <v>159</v>
      </c>
      <c r="E619" s="841">
        <v>15</v>
      </c>
      <c r="F619" s="839" t="s">
        <v>1236</v>
      </c>
      <c r="G619" s="839" t="s">
        <v>174</v>
      </c>
    </row>
    <row r="620" spans="1:7" ht="13.5" customHeight="1" x14ac:dyDescent="0.35">
      <c r="A620" s="838">
        <v>44216</v>
      </c>
      <c r="B620" s="839" t="s">
        <v>2250</v>
      </c>
      <c r="C620" s="840" t="s">
        <v>28</v>
      </c>
      <c r="D620" s="839" t="s">
        <v>159</v>
      </c>
      <c r="E620" s="841">
        <v>15</v>
      </c>
      <c r="F620" s="839" t="s">
        <v>1236</v>
      </c>
      <c r="G620" s="839" t="s">
        <v>174</v>
      </c>
    </row>
    <row r="621" spans="1:7" ht="13.5" customHeight="1" x14ac:dyDescent="0.35">
      <c r="A621" s="838">
        <v>44215</v>
      </c>
      <c r="B621" s="839" t="s">
        <v>2272</v>
      </c>
      <c r="C621" s="840" t="s">
        <v>28</v>
      </c>
      <c r="D621" s="839" t="s">
        <v>159</v>
      </c>
      <c r="E621" s="841">
        <v>15</v>
      </c>
      <c r="F621" s="839" t="s">
        <v>1236</v>
      </c>
      <c r="G621" s="839" t="s">
        <v>174</v>
      </c>
    </row>
    <row r="622" spans="1:7" ht="13.5" customHeight="1" x14ac:dyDescent="0.35">
      <c r="A622" s="838">
        <v>44215</v>
      </c>
      <c r="B622" s="839" t="s">
        <v>2273</v>
      </c>
      <c r="C622" s="840" t="s">
        <v>1280</v>
      </c>
      <c r="D622" s="839" t="s">
        <v>159</v>
      </c>
      <c r="E622" s="841">
        <v>100</v>
      </c>
      <c r="F622" s="839" t="s">
        <v>1409</v>
      </c>
      <c r="G622" s="839" t="s">
        <v>174</v>
      </c>
    </row>
    <row r="623" spans="1:7" ht="13.5" customHeight="1" x14ac:dyDescent="0.35">
      <c r="A623" s="838">
        <v>44215</v>
      </c>
      <c r="B623" s="839" t="s">
        <v>967</v>
      </c>
      <c r="C623" s="840" t="s">
        <v>28</v>
      </c>
      <c r="D623" s="839" t="s">
        <v>159</v>
      </c>
      <c r="E623" s="841">
        <v>21</v>
      </c>
      <c r="F623" s="839" t="s">
        <v>2274</v>
      </c>
      <c r="G623" s="839" t="s">
        <v>175</v>
      </c>
    </row>
    <row r="624" spans="1:7" ht="13.5" customHeight="1" x14ac:dyDescent="0.35">
      <c r="A624" s="838">
        <v>44214</v>
      </c>
      <c r="B624" s="839" t="s">
        <v>1777</v>
      </c>
      <c r="C624" s="840" t="s">
        <v>28</v>
      </c>
      <c r="D624" s="839" t="s">
        <v>159</v>
      </c>
      <c r="E624" s="841">
        <v>15</v>
      </c>
      <c r="F624" s="839" t="s">
        <v>1236</v>
      </c>
      <c r="G624" s="839" t="s">
        <v>174</v>
      </c>
    </row>
    <row r="625" spans="1:7" ht="13.5" customHeight="1" x14ac:dyDescent="0.35">
      <c r="A625" s="838">
        <v>44212</v>
      </c>
      <c r="B625" s="839" t="s">
        <v>2222</v>
      </c>
      <c r="C625" s="840" t="s">
        <v>1279</v>
      </c>
      <c r="D625" s="839" t="s">
        <v>162</v>
      </c>
      <c r="E625" s="842">
        <v>300</v>
      </c>
      <c r="F625" s="839" t="s">
        <v>2270</v>
      </c>
      <c r="G625" s="839" t="s">
        <v>174</v>
      </c>
    </row>
    <row r="626" spans="1:7" ht="13.5" customHeight="1" x14ac:dyDescent="0.35">
      <c r="A626" s="838">
        <v>44212</v>
      </c>
      <c r="B626" s="839" t="s">
        <v>2275</v>
      </c>
      <c r="C626" s="840" t="s">
        <v>1279</v>
      </c>
      <c r="D626" s="839" t="s">
        <v>160</v>
      </c>
      <c r="E626" s="841">
        <v>60</v>
      </c>
      <c r="F626" s="839" t="s">
        <v>1398</v>
      </c>
      <c r="G626" s="839" t="s">
        <v>175</v>
      </c>
    </row>
    <row r="627" spans="1:7" ht="13.5" customHeight="1" x14ac:dyDescent="0.35">
      <c r="A627" s="838">
        <v>44211</v>
      </c>
      <c r="B627" s="839" t="s">
        <v>2276</v>
      </c>
      <c r="C627" s="840" t="s">
        <v>28</v>
      </c>
      <c r="D627" s="839" t="s">
        <v>160</v>
      </c>
      <c r="E627" s="841">
        <v>15</v>
      </c>
      <c r="F627" s="839" t="s">
        <v>2277</v>
      </c>
      <c r="G627" s="839" t="s">
        <v>175</v>
      </c>
    </row>
    <row r="628" spans="1:7" ht="13.5" customHeight="1" x14ac:dyDescent="0.35">
      <c r="A628" s="838">
        <v>44209</v>
      </c>
      <c r="B628" s="839" t="s">
        <v>2278</v>
      </c>
      <c r="C628" s="840" t="s">
        <v>28</v>
      </c>
      <c r="D628" s="839" t="s">
        <v>162</v>
      </c>
      <c r="E628" s="841">
        <v>70</v>
      </c>
      <c r="F628" s="839" t="s">
        <v>2279</v>
      </c>
      <c r="G628" s="839" t="s">
        <v>175</v>
      </c>
    </row>
    <row r="629" spans="1:7" ht="13.5" customHeight="1" x14ac:dyDescent="0.35">
      <c r="A629" s="838">
        <v>44205</v>
      </c>
      <c r="B629" s="839" t="s">
        <v>2276</v>
      </c>
      <c r="C629" s="840" t="s">
        <v>28</v>
      </c>
      <c r="D629" s="839" t="s">
        <v>159</v>
      </c>
      <c r="E629" s="841">
        <v>15</v>
      </c>
      <c r="F629" s="839" t="s">
        <v>2130</v>
      </c>
      <c r="G629" s="839" t="s">
        <v>175</v>
      </c>
    </row>
    <row r="630" spans="1:7" ht="13.5" customHeight="1" x14ac:dyDescent="0.35">
      <c r="A630" s="838">
        <v>44204</v>
      </c>
      <c r="B630" s="839" t="s">
        <v>2280</v>
      </c>
      <c r="C630" s="840" t="s">
        <v>1274</v>
      </c>
      <c r="D630" s="839" t="s">
        <v>159</v>
      </c>
      <c r="E630" s="842">
        <v>99</v>
      </c>
      <c r="F630" s="839" t="s">
        <v>230</v>
      </c>
      <c r="G630" s="839" t="s">
        <v>175</v>
      </c>
    </row>
    <row r="631" spans="1:7" ht="13.5" customHeight="1" x14ac:dyDescent="0.35">
      <c r="A631" s="838">
        <v>44202</v>
      </c>
      <c r="B631" s="839" t="s">
        <v>2228</v>
      </c>
      <c r="C631" s="840" t="s">
        <v>1279</v>
      </c>
      <c r="D631" s="839" t="s">
        <v>159</v>
      </c>
      <c r="E631" s="841">
        <v>35</v>
      </c>
      <c r="F631" s="839" t="s">
        <v>1783</v>
      </c>
      <c r="G631" s="839" t="s">
        <v>175</v>
      </c>
    </row>
    <row r="632" spans="1:7" ht="13.5" customHeight="1" x14ac:dyDescent="0.35">
      <c r="A632" s="838">
        <v>44200</v>
      </c>
      <c r="B632" s="839" t="s">
        <v>2281</v>
      </c>
      <c r="C632" s="840" t="s">
        <v>1274</v>
      </c>
      <c r="D632" s="839" t="s">
        <v>159</v>
      </c>
      <c r="E632" s="841">
        <v>50</v>
      </c>
      <c r="F632" s="839" t="s">
        <v>1513</v>
      </c>
      <c r="G632" s="839" t="s">
        <v>174</v>
      </c>
    </row>
    <row r="633" spans="1:7" ht="13.5" customHeight="1" x14ac:dyDescent="0.35">
      <c r="A633" s="838">
        <v>44197</v>
      </c>
      <c r="B633" s="839" t="s">
        <v>2243</v>
      </c>
      <c r="C633" s="840" t="s">
        <v>1274</v>
      </c>
      <c r="D633" s="839" t="s">
        <v>160</v>
      </c>
      <c r="E633" s="841">
        <v>85</v>
      </c>
      <c r="F633" s="839" t="s">
        <v>224</v>
      </c>
      <c r="G633" s="839" t="s">
        <v>175</v>
      </c>
    </row>
    <row r="634" spans="1:7" ht="13.5" customHeight="1" x14ac:dyDescent="0.35">
      <c r="A634" s="838">
        <v>44197</v>
      </c>
      <c r="B634" s="839" t="s">
        <v>1077</v>
      </c>
      <c r="C634" s="840" t="s">
        <v>1276</v>
      </c>
      <c r="D634" s="839" t="s">
        <v>161</v>
      </c>
      <c r="E634" s="841">
        <v>70</v>
      </c>
      <c r="F634" s="839" t="s">
        <v>1078</v>
      </c>
      <c r="G634" s="839" t="s">
        <v>175</v>
      </c>
    </row>
    <row r="635" spans="1:7" ht="13.5" customHeight="1" x14ac:dyDescent="0.35">
      <c r="A635" s="838">
        <v>44197</v>
      </c>
      <c r="B635" s="839" t="s">
        <v>292</v>
      </c>
      <c r="C635" s="840" t="s">
        <v>1278</v>
      </c>
      <c r="D635" s="840" t="s">
        <v>161</v>
      </c>
      <c r="E635" s="842">
        <v>80</v>
      </c>
      <c r="F635" s="840" t="s">
        <v>292</v>
      </c>
      <c r="G635" s="840" t="s">
        <v>175</v>
      </c>
    </row>
  </sheetData>
  <conditionalFormatting sqref="E2:E18 E23 E66:E67 E72:E76 E78 E82:E147 E150:E154 E156 E158 E160:E163 E167 E169:E176 E178:E182 E184:E187 E189:E192 E195:E196 E199:E211 E213:E215 E219:E220 E223:E226 E228:E236 E240 E244:E249 E251 E257:E271 E274:E281 E283:E291 E294:E295 E297 E305:E312 E317:E320 E323:E328 E366 E369 E372:E376 E379:E389 E394:E400 E402:E405 E409:E416 E419 E421 E424:E433 E436 E438:E439 E446:E449 E451:E455 E459:E460 E462:E465 E472:E473 E476 E480:E484 E488:E489 E494:E498 E501 E504 E509 E511 E513 E515 E521 E525:E531 E535:E538 E545:E549 E557:E558 E561 E569:E572 E575:E577 E583:E584 E587:E589 E592 E594 E598 E604 E608 E612:E613 E617 E622 E626:E632 E643:E1048576 V140:V947 V968:V1096 V1098:V1370 X6 X32:X37 X96 X105:X115 X125 X130 X139">
    <cfRule type="cellIs" dxfId="2936" priority="1036" operator="lessThan">
      <formula>0</formula>
    </cfRule>
  </conditionalFormatting>
  <conditionalFormatting sqref="X30">
    <cfRule type="cellIs" dxfId="2935" priority="1035" operator="lessThan">
      <formula>0</formula>
    </cfRule>
  </conditionalFormatting>
  <conditionalFormatting sqref="X6">
    <cfRule type="cellIs" dxfId="2934" priority="914" operator="lessThan">
      <formula>0</formula>
    </cfRule>
    <cfRule type="cellIs" dxfId="2933" priority="915" operator="lessThan">
      <formula>0</formula>
    </cfRule>
    <cfRule type="cellIs" dxfId="2932" priority="916" operator="lessThan">
      <formula>0</formula>
    </cfRule>
    <cfRule type="cellIs" dxfId="2931" priority="917" operator="lessThan">
      <formula>0</formula>
    </cfRule>
    <cfRule type="cellIs" dxfId="2930" priority="918" operator="lessThan">
      <formula>0</formula>
    </cfRule>
    <cfRule type="cellIs" dxfId="2929" priority="919" operator="lessThan">
      <formula>0</formula>
    </cfRule>
    <cfRule type="cellIs" dxfId="2928" priority="920" operator="lessThan">
      <formula>0</formula>
    </cfRule>
    <cfRule type="cellIs" dxfId="2927" priority="921" operator="lessThan">
      <formula>0</formula>
    </cfRule>
    <cfRule type="cellIs" dxfId="2926" priority="922" operator="lessThan">
      <formula>0</formula>
    </cfRule>
    <cfRule type="cellIs" dxfId="2925" priority="923" operator="lessThan">
      <formula>0</formula>
    </cfRule>
    <cfRule type="cellIs" dxfId="2924" priority="924" operator="lessThan">
      <formula>0</formula>
    </cfRule>
    <cfRule type="cellIs" dxfId="2923" priority="925" operator="lessThan">
      <formula>0</formula>
    </cfRule>
    <cfRule type="cellIs" dxfId="2922" priority="926" operator="lessThan">
      <formula>0</formula>
    </cfRule>
    <cfRule type="cellIs" dxfId="2921" priority="927" operator="lessThan">
      <formula>0</formula>
    </cfRule>
    <cfRule type="cellIs" dxfId="2920" priority="928" operator="lessThan">
      <formula>0</formula>
    </cfRule>
    <cfRule type="cellIs" dxfId="2919" priority="929" operator="lessThan">
      <formula>0</formula>
    </cfRule>
    <cfRule type="cellIs" dxfId="2918" priority="930" operator="lessThan">
      <formula>0</formula>
    </cfRule>
    <cfRule type="cellIs" dxfId="2917" priority="934" operator="lessThan">
      <formula>0</formula>
    </cfRule>
    <cfRule type="cellIs" dxfId="2916" priority="991" operator="lessThan">
      <formula>0</formula>
    </cfRule>
    <cfRule type="cellIs" dxfId="2915" priority="993" operator="lessThan">
      <formula>0</formula>
    </cfRule>
    <cfRule type="cellIs" dxfId="2914" priority="1002" operator="lessThan">
      <formula>0</formula>
    </cfRule>
    <cfRule type="cellIs" dxfId="2913" priority="1008" operator="lessThan">
      <formula>0</formula>
    </cfRule>
    <cfRule type="cellIs" dxfId="2912" priority="1014" operator="lessThan">
      <formula>0</formula>
    </cfRule>
    <cfRule type="cellIs" dxfId="2911" priority="1019" operator="lessThan">
      <formula>0</formula>
    </cfRule>
    <cfRule type="cellIs" dxfId="2910" priority="1020" operator="lessThan">
      <formula>0</formula>
    </cfRule>
    <cfRule type="cellIs" dxfId="2909" priority="1023" operator="lessThan">
      <formula>0</formula>
    </cfRule>
    <cfRule type="cellIs" dxfId="2908" priority="1030" operator="lessThan">
      <formula>0</formula>
    </cfRule>
    <cfRule type="cellIs" dxfId="2907" priority="1031" operator="greaterThan">
      <formula>0</formula>
    </cfRule>
    <cfRule type="cellIs" dxfId="2906" priority="1033" operator="lessThan">
      <formula>0</formula>
    </cfRule>
  </conditionalFormatting>
  <conditionalFormatting sqref="X31">
    <cfRule type="cellIs" dxfId="2905" priority="1034" operator="lessThan">
      <formula>0</formula>
    </cfRule>
  </conditionalFormatting>
  <conditionalFormatting sqref="J35">
    <cfRule type="cellIs" dxfId="2904" priority="1028" operator="greaterThan">
      <formula>0</formula>
    </cfRule>
    <cfRule type="cellIs" dxfId="2903" priority="1029" operator="lessThan">
      <formula>0</formula>
    </cfRule>
  </conditionalFormatting>
  <conditionalFormatting sqref="Y6">
    <cfRule type="cellIs" dxfId="2902" priority="1026" operator="greaterThan">
      <formula>0</formula>
    </cfRule>
    <cfRule type="cellIs" dxfId="2901" priority="1027" operator="lessThan">
      <formula>0</formula>
    </cfRule>
  </conditionalFormatting>
  <conditionalFormatting sqref="Z6">
    <cfRule type="cellIs" dxfId="2900" priority="1024" operator="greaterThan">
      <formula>0</formula>
    </cfRule>
    <cfRule type="cellIs" dxfId="2899" priority="1025" operator="lessThan">
      <formula>0</formula>
    </cfRule>
  </conditionalFormatting>
  <conditionalFormatting sqref="AB6:AB17">
    <cfRule type="cellIs" dxfId="2898" priority="1021" operator="lessThan">
      <formula>0</formula>
    </cfRule>
    <cfRule type="cellIs" dxfId="2897" priority="1022" operator="greaterThan">
      <formula>0</formula>
    </cfRule>
  </conditionalFormatting>
  <conditionalFormatting sqref="W18">
    <cfRule type="cellIs" dxfId="2896" priority="1005" operator="greaterThan">
      <formula>0.8</formula>
    </cfRule>
    <cfRule type="cellIs" dxfId="2895" priority="1006" operator="between">
      <formula>0.51</formula>
      <formula>0.8</formula>
    </cfRule>
    <cfRule type="cellIs" dxfId="2894" priority="1007" operator="lessThan">
      <formula>0.5</formula>
    </cfRule>
  </conditionalFormatting>
  <conditionalFormatting sqref="X117">
    <cfRule type="cellIs" dxfId="2893" priority="1004" operator="lessThan">
      <formula>0</formula>
    </cfRule>
  </conditionalFormatting>
  <conditionalFormatting sqref="X127:X129">
    <cfRule type="cellIs" dxfId="2892" priority="1003" operator="lessThan">
      <formula>0</formula>
    </cfRule>
  </conditionalFormatting>
  <conditionalFormatting sqref="Y27">
    <cfRule type="cellIs" dxfId="2891" priority="994" operator="greaterThan">
      <formula>0</formula>
    </cfRule>
    <cfRule type="cellIs" dxfId="2890" priority="995" operator="lessThan">
      <formula>0</formula>
    </cfRule>
  </conditionalFormatting>
  <conditionalFormatting sqref="X27">
    <cfRule type="cellIs" dxfId="2889" priority="984" operator="lessThan">
      <formula>0</formula>
    </cfRule>
    <cfRule type="cellIs" dxfId="2888" priority="985" operator="lessThan">
      <formula>0</formula>
    </cfRule>
    <cfRule type="cellIs" dxfId="2887" priority="986" operator="lessThan">
      <formula>0</formula>
    </cfRule>
    <cfRule type="cellIs" dxfId="2886" priority="987" operator="lessThan">
      <formula>0</formula>
    </cfRule>
    <cfRule type="cellIs" dxfId="2885" priority="988" operator="lessThan">
      <formula>0</formula>
    </cfRule>
    <cfRule type="cellIs" dxfId="2884" priority="989" operator="greaterThan">
      <formula>0</formula>
    </cfRule>
    <cfRule type="cellIs" dxfId="2883" priority="990" operator="lessThan">
      <formula>0</formula>
    </cfRule>
  </conditionalFormatting>
  <conditionalFormatting sqref="Z82:Z93">
    <cfRule type="cellIs" dxfId="2882" priority="982" operator="lessThan">
      <formula>0</formula>
    </cfRule>
    <cfRule type="cellIs" dxfId="2881" priority="983" operator="greaterThan">
      <formula>0</formula>
    </cfRule>
  </conditionalFormatting>
  <conditionalFormatting sqref="X132:X133">
    <cfRule type="cellIs" dxfId="2880" priority="981" operator="lessThan">
      <formula>0</formula>
    </cfRule>
  </conditionalFormatting>
  <conditionalFormatting sqref="X134:X135">
    <cfRule type="cellIs" dxfId="2879" priority="980" operator="lessThan">
      <formula>0</formula>
    </cfRule>
  </conditionalFormatting>
  <conditionalFormatting sqref="X137:X138">
    <cfRule type="cellIs" dxfId="2878" priority="979" operator="lessThan">
      <formula>0</formula>
    </cfRule>
  </conditionalFormatting>
  <conditionalFormatting sqref="X18:X20">
    <cfRule type="cellIs" dxfId="2877" priority="963" operator="lessThan">
      <formula>0</formula>
    </cfRule>
    <cfRule type="cellIs" dxfId="2876" priority="964" operator="lessThan">
      <formula>0</formula>
    </cfRule>
    <cfRule type="cellIs" dxfId="2875" priority="965" operator="lessThan">
      <formula>0</formula>
    </cfRule>
    <cfRule type="cellIs" dxfId="2874" priority="966" operator="lessThan">
      <formula>0</formula>
    </cfRule>
    <cfRule type="cellIs" dxfId="2873" priority="967" operator="lessThan">
      <formula>0</formula>
    </cfRule>
    <cfRule type="cellIs" dxfId="2872" priority="968" operator="greaterThan">
      <formula>0</formula>
    </cfRule>
    <cfRule type="cellIs" dxfId="2871" priority="969" operator="lessThan">
      <formula>0</formula>
    </cfRule>
  </conditionalFormatting>
  <conditionalFormatting sqref="Y19:Y20">
    <cfRule type="cellIs" dxfId="2870" priority="961" operator="greaterThan">
      <formula>0</formula>
    </cfRule>
    <cfRule type="cellIs" dxfId="2869" priority="962" operator="lessThan">
      <formula>0</formula>
    </cfRule>
  </conditionalFormatting>
  <conditionalFormatting sqref="X24:X26">
    <cfRule type="cellIs" dxfId="2868" priority="972" operator="lessThan">
      <formula>0</formula>
    </cfRule>
    <cfRule type="cellIs" dxfId="2867" priority="973" operator="lessThan">
      <formula>0</formula>
    </cfRule>
    <cfRule type="cellIs" dxfId="2866" priority="974" operator="lessThan">
      <formula>0</formula>
    </cfRule>
    <cfRule type="cellIs" dxfId="2865" priority="975" operator="lessThan">
      <formula>0</formula>
    </cfRule>
    <cfRule type="cellIs" dxfId="2864" priority="976" operator="lessThan">
      <formula>0</formula>
    </cfRule>
    <cfRule type="cellIs" dxfId="2863" priority="977" operator="greaterThan">
      <formula>0</formula>
    </cfRule>
    <cfRule type="cellIs" dxfId="2862" priority="978" operator="lessThan">
      <formula>0</formula>
    </cfRule>
  </conditionalFormatting>
  <conditionalFormatting sqref="Y24:Y26">
    <cfRule type="cellIs" dxfId="2861" priority="970" operator="greaterThan">
      <formula>0</formula>
    </cfRule>
    <cfRule type="cellIs" dxfId="2860" priority="971" operator="lessThan">
      <formula>0</formula>
    </cfRule>
  </conditionalFormatting>
  <conditionalFormatting sqref="K39:V49">
    <cfRule type="cellIs" dxfId="2859" priority="959" operator="lessThan">
      <formula>0</formula>
    </cfRule>
    <cfRule type="cellIs" dxfId="2858" priority="960" operator="greaterThan">
      <formula>0.1</formula>
    </cfRule>
  </conditionalFormatting>
  <conditionalFormatting sqref="K50">
    <cfRule type="cellIs" dxfId="2857" priority="957" operator="lessThan">
      <formula>0</formula>
    </cfRule>
    <cfRule type="cellIs" dxfId="2856" priority="958" operator="greaterThan">
      <formula>0.1</formula>
    </cfRule>
  </conditionalFormatting>
  <conditionalFormatting sqref="W39">
    <cfRule type="cellIs" dxfId="2855" priority="955" operator="lessThan">
      <formula>0</formula>
    </cfRule>
    <cfRule type="cellIs" dxfId="2854" priority="956" operator="greaterThan">
      <formula>0.1</formula>
    </cfRule>
  </conditionalFormatting>
  <conditionalFormatting sqref="E903 E908 E912 E914:E915 E917:E925 E928:E963">
    <cfRule type="cellIs" dxfId="2853" priority="954" operator="lessThan">
      <formula>0</formula>
    </cfRule>
  </conditionalFormatting>
  <conditionalFormatting sqref="L39:V41 L43:V45 L47:V49">
    <cfRule type="cellIs" dxfId="2852" priority="952" operator="lessThan">
      <formula>0</formula>
    </cfRule>
    <cfRule type="cellIs" dxfId="2851" priority="953" operator="greaterThan">
      <formula>0.1</formula>
    </cfRule>
  </conditionalFormatting>
  <conditionalFormatting sqref="K42">
    <cfRule type="cellIs" dxfId="2850" priority="948" operator="lessThan">
      <formula>0</formula>
    </cfRule>
    <cfRule type="cellIs" dxfId="2849" priority="949" operator="greaterThan">
      <formula>0.1</formula>
    </cfRule>
    <cfRule type="cellIs" dxfId="2848" priority="950" operator="lessThan">
      <formula>0</formula>
    </cfRule>
    <cfRule type="cellIs" dxfId="2847" priority="951" operator="greaterThan">
      <formula>0.1</formula>
    </cfRule>
  </conditionalFormatting>
  <conditionalFormatting sqref="L42:V42">
    <cfRule type="cellIs" dxfId="2846" priority="944" operator="lessThan">
      <formula>0</formula>
    </cfRule>
    <cfRule type="cellIs" dxfId="2845" priority="945" operator="greaterThan">
      <formula>0.1</formula>
    </cfRule>
    <cfRule type="cellIs" dxfId="2844" priority="946" operator="lessThan">
      <formula>0</formula>
    </cfRule>
    <cfRule type="cellIs" dxfId="2843" priority="947" operator="greaterThan">
      <formula>0.1</formula>
    </cfRule>
  </conditionalFormatting>
  <conditionalFormatting sqref="L50:W50">
    <cfRule type="cellIs" dxfId="2842" priority="942" operator="lessThan">
      <formula>0</formula>
    </cfRule>
    <cfRule type="cellIs" dxfId="2841" priority="943" operator="greaterThan">
      <formula>0.1</formula>
    </cfRule>
  </conditionalFormatting>
  <conditionalFormatting sqref="E926">
    <cfRule type="cellIs" dxfId="2840" priority="941" operator="lessThan">
      <formula>0</formula>
    </cfRule>
  </conditionalFormatting>
  <conditionalFormatting sqref="E916">
    <cfRule type="cellIs" dxfId="2839" priority="940" operator="lessThan">
      <formula>0</formula>
    </cfRule>
  </conditionalFormatting>
  <conditionalFormatting sqref="E913">
    <cfRule type="cellIs" dxfId="2838" priority="939" operator="lessThan">
      <formula>0</formula>
    </cfRule>
  </conditionalFormatting>
  <conditionalFormatting sqref="E904:E907">
    <cfRule type="cellIs" dxfId="2837" priority="938" operator="lessThan">
      <formula>0</formula>
    </cfRule>
  </conditionalFormatting>
  <conditionalFormatting sqref="E909:E911">
    <cfRule type="cellIs" dxfId="2836" priority="937" operator="lessThan">
      <formula>0</formula>
    </cfRule>
  </conditionalFormatting>
  <conditionalFormatting sqref="E877">
    <cfRule type="cellIs" dxfId="2835" priority="936" operator="lessThan">
      <formula>0</formula>
    </cfRule>
  </conditionalFormatting>
  <conditionalFormatting sqref="E870:E871">
    <cfRule type="cellIs" dxfId="2834" priority="935" operator="lessThan">
      <formula>0</formula>
    </cfRule>
  </conditionalFormatting>
  <conditionalFormatting sqref="E815:E1034">
    <cfRule type="cellIs" dxfId="2833" priority="933" operator="lessThan">
      <formula>0</formula>
    </cfRule>
  </conditionalFormatting>
  <conditionalFormatting sqref="E796:E797">
    <cfRule type="cellIs" dxfId="2832" priority="931" operator="lessThan">
      <formula>0</formula>
    </cfRule>
    <cfRule type="cellIs" dxfId="2831" priority="932" operator="lessThan">
      <formula>0</formula>
    </cfRule>
  </conditionalFormatting>
  <conditionalFormatting sqref="E783">
    <cfRule type="cellIs" dxfId="2830" priority="913" operator="lessThan">
      <formula>0</formula>
    </cfRule>
  </conditionalFormatting>
  <conditionalFormatting sqref="E782">
    <cfRule type="cellIs" dxfId="2829" priority="912" operator="lessThan">
      <formula>0</formula>
    </cfRule>
  </conditionalFormatting>
  <conditionalFormatting sqref="E779">
    <cfRule type="cellIs" dxfId="2828" priority="910" operator="lessThan">
      <formula>0</formula>
    </cfRule>
    <cfRule type="cellIs" dxfId="2827" priority="911" operator="lessThan">
      <formula>0</formula>
    </cfRule>
  </conditionalFormatting>
  <conditionalFormatting sqref="E772">
    <cfRule type="cellIs" dxfId="2826" priority="909" operator="lessThan">
      <formula>0</formula>
    </cfRule>
  </conditionalFormatting>
  <conditionalFormatting sqref="Y39">
    <cfRule type="cellIs" dxfId="2825" priority="907" operator="greaterThan">
      <formula>0</formula>
    </cfRule>
    <cfRule type="cellIs" dxfId="2824" priority="908" operator="lessThan">
      <formula>0</formula>
    </cfRule>
  </conditionalFormatting>
  <conditionalFormatting sqref="E762">
    <cfRule type="cellIs" dxfId="2823" priority="905" operator="lessThan">
      <formula>0</formula>
    </cfRule>
    <cfRule type="cellIs" dxfId="2822" priority="906" operator="lessThan">
      <formula>0</formula>
    </cfRule>
  </conditionalFormatting>
  <conditionalFormatting sqref="E759:E761">
    <cfRule type="cellIs" dxfId="2821" priority="903" operator="lessThan">
      <formula>0</formula>
    </cfRule>
    <cfRule type="cellIs" dxfId="2820" priority="904" operator="lessThan">
      <formula>0</formula>
    </cfRule>
  </conditionalFormatting>
  <conditionalFormatting sqref="E746">
    <cfRule type="cellIs" dxfId="2819" priority="902" operator="lessThan">
      <formula>0</formula>
    </cfRule>
  </conditionalFormatting>
  <conditionalFormatting sqref="E739">
    <cfRule type="cellIs" dxfId="2818" priority="900" operator="lessThan">
      <formula>0</formula>
    </cfRule>
    <cfRule type="cellIs" dxfId="2817" priority="901" operator="lessThan">
      <formula>0</formula>
    </cfRule>
  </conditionalFormatting>
  <conditionalFormatting sqref="Z29">
    <cfRule type="cellIs" dxfId="2816" priority="898" operator="greaterThan">
      <formula>0</formula>
    </cfRule>
    <cfRule type="cellIs" dxfId="2815" priority="899" operator="lessThan">
      <formula>0</formula>
    </cfRule>
  </conditionalFormatting>
  <conditionalFormatting sqref="E732:E733">
    <cfRule type="cellIs" dxfId="2814" priority="896" operator="lessThan">
      <formula>0</formula>
    </cfRule>
    <cfRule type="cellIs" dxfId="2813" priority="897" operator="lessThan">
      <formula>0</formula>
    </cfRule>
  </conditionalFormatting>
  <conditionalFormatting sqref="E726">
    <cfRule type="cellIs" dxfId="2812" priority="894" operator="lessThan">
      <formula>0</formula>
    </cfRule>
  </conditionalFormatting>
  <conditionalFormatting sqref="E727">
    <cfRule type="cellIs" dxfId="2811" priority="893" operator="lessThan">
      <formula>0</formula>
    </cfRule>
  </conditionalFormatting>
  <conditionalFormatting sqref="E719">
    <cfRule type="cellIs" dxfId="2810" priority="892" operator="lessThan">
      <formula>0</formula>
    </cfRule>
  </conditionalFormatting>
  <conditionalFormatting sqref="E655:E657 E659:E665 E671:E675 E678 E681:E686 E694:E697 E700:E706 E708:E714 E717:E718 I653">
    <cfRule type="cellIs" dxfId="2809" priority="891" operator="lessThan">
      <formula>0</formula>
    </cfRule>
  </conditionalFormatting>
  <conditionalFormatting sqref="E716">
    <cfRule type="cellIs" dxfId="2808" priority="890" operator="lessThan">
      <formula>0</formula>
    </cfRule>
  </conditionalFormatting>
  <conditionalFormatting sqref="E715">
    <cfRule type="cellIs" dxfId="2807" priority="889" operator="lessThan">
      <formula>0</formula>
    </cfRule>
  </conditionalFormatting>
  <conditionalFormatting sqref="E707">
    <cfRule type="cellIs" dxfId="2806" priority="888" operator="lessThan">
      <formula>0</formula>
    </cfRule>
  </conditionalFormatting>
  <conditionalFormatting sqref="E699">
    <cfRule type="cellIs" dxfId="2805" priority="887" operator="lessThan">
      <formula>0</formula>
    </cfRule>
  </conditionalFormatting>
  <conditionalFormatting sqref="E698">
    <cfRule type="cellIs" dxfId="2804" priority="886" operator="lessThan">
      <formula>0</formula>
    </cfRule>
  </conditionalFormatting>
  <conditionalFormatting sqref="X23">
    <cfRule type="cellIs" dxfId="2803" priority="821" operator="lessThan">
      <formula>0</formula>
    </cfRule>
    <cfRule type="cellIs" dxfId="2802" priority="822" operator="lessThan">
      <formula>0</formula>
    </cfRule>
    <cfRule type="cellIs" dxfId="2801" priority="823" operator="lessThan">
      <formula>0</formula>
    </cfRule>
    <cfRule type="cellIs" dxfId="2800" priority="824" operator="lessThan">
      <formula>0</formula>
    </cfRule>
    <cfRule type="cellIs" dxfId="2799" priority="825" operator="lessThan">
      <formula>0</formula>
    </cfRule>
    <cfRule type="cellIs" dxfId="2798" priority="826" operator="greaterThan">
      <formula>0</formula>
    </cfRule>
    <cfRule type="cellIs" dxfId="2797" priority="827" operator="lessThan">
      <formula>0</formula>
    </cfRule>
  </conditionalFormatting>
  <conditionalFormatting sqref="J692:J693">
    <cfRule type="cellIs" dxfId="2796" priority="882" operator="lessThan">
      <formula>0</formula>
    </cfRule>
    <cfRule type="cellIs" dxfId="2795" priority="883" operator="lessThan">
      <formula>0</formula>
    </cfRule>
  </conditionalFormatting>
  <conditionalFormatting sqref="J687:J691">
    <cfRule type="cellIs" dxfId="2794" priority="884" operator="lessThan">
      <formula>0</formula>
    </cfRule>
  </conditionalFormatting>
  <conditionalFormatting sqref="E687:E691">
    <cfRule type="cellIs" dxfId="2793" priority="881" operator="lessThan">
      <formula>0</formula>
    </cfRule>
  </conditionalFormatting>
  <conditionalFormatting sqref="E692:E693">
    <cfRule type="cellIs" dxfId="2792" priority="879" operator="lessThan">
      <formula>0</formula>
    </cfRule>
    <cfRule type="cellIs" dxfId="2791" priority="880" operator="lessThan">
      <formula>0</formula>
    </cfRule>
  </conditionalFormatting>
  <conditionalFormatting sqref="E679">
    <cfRule type="cellIs" dxfId="2790" priority="878" operator="lessThan">
      <formula>0</formula>
    </cfRule>
  </conditionalFormatting>
  <conditionalFormatting sqref="E677">
    <cfRule type="cellIs" dxfId="2789" priority="877" operator="lessThan">
      <formula>0</formula>
    </cfRule>
  </conditionalFormatting>
  <conditionalFormatting sqref="E676">
    <cfRule type="cellIs" dxfId="2788" priority="876" operator="lessThan">
      <formula>0</formula>
    </cfRule>
  </conditionalFormatting>
  <conditionalFormatting sqref="E670">
    <cfRule type="cellIs" dxfId="2787" priority="875" operator="lessThan">
      <formula>0</formula>
    </cfRule>
  </conditionalFormatting>
  <conditionalFormatting sqref="E669">
    <cfRule type="cellIs" dxfId="2786" priority="874" operator="lessThan">
      <formula>0</formula>
    </cfRule>
  </conditionalFormatting>
  <conditionalFormatting sqref="E668">
    <cfRule type="cellIs" dxfId="2785" priority="873" operator="lessThan">
      <formula>0</formula>
    </cfRule>
  </conditionalFormatting>
  <conditionalFormatting sqref="E666:E667">
    <cfRule type="cellIs" dxfId="2784" priority="872" operator="lessThan">
      <formula>0</formula>
    </cfRule>
  </conditionalFormatting>
  <conditionalFormatting sqref="E658">
    <cfRule type="cellIs" dxfId="2783" priority="871" operator="lessThan">
      <formula>0</formula>
    </cfRule>
  </conditionalFormatting>
  <conditionalFormatting sqref="Z7:Z17">
    <cfRule type="cellIs" dxfId="2782" priority="808" operator="greaterThan">
      <formula>0</formula>
    </cfRule>
    <cfRule type="cellIs" dxfId="2781" priority="809" operator="lessThan">
      <formula>0</formula>
    </cfRule>
  </conditionalFormatting>
  <conditionalFormatting sqref="I654:I655">
    <cfRule type="cellIs" dxfId="2780" priority="865" operator="lessThan">
      <formula>0</formula>
    </cfRule>
    <cfRule type="cellIs" dxfId="2779" priority="866" operator="lessThan">
      <formula>0</formula>
    </cfRule>
  </conditionalFormatting>
  <conditionalFormatting sqref="E652">
    <cfRule type="cellIs" dxfId="2778" priority="864" operator="lessThan">
      <formula>0</formula>
    </cfRule>
  </conditionalFormatting>
  <conditionalFormatting sqref="E653:E654">
    <cfRule type="cellIs" dxfId="2777" priority="862" operator="lessThan">
      <formula>0</formula>
    </cfRule>
    <cfRule type="cellIs" dxfId="2776" priority="863" operator="lessThan">
      <formula>0</formula>
    </cfRule>
  </conditionalFormatting>
  <conditionalFormatting sqref="E643:E644">
    <cfRule type="cellIs" dxfId="2775" priority="861" operator="lessThan">
      <formula>0</formula>
    </cfRule>
  </conditionalFormatting>
  <conditionalFormatting sqref="K18:V18">
    <cfRule type="cellIs" dxfId="2774" priority="858" operator="greaterThan">
      <formula>0.81</formula>
    </cfRule>
    <cfRule type="cellIs" dxfId="2773" priority="859" operator="between">
      <formula>0.301</formula>
      <formula>0.8</formula>
    </cfRule>
    <cfRule type="cellIs" dxfId="2772" priority="860" operator="lessThan">
      <formula>0.3</formula>
    </cfRule>
  </conditionalFormatting>
  <conditionalFormatting sqref="K19:W19 K20:R20">
    <cfRule type="cellIs" dxfId="2771" priority="856" operator="lessThan">
      <formula>0</formula>
    </cfRule>
    <cfRule type="cellIs" dxfId="2770" priority="857" operator="greaterThan">
      <formula>0.0001</formula>
    </cfRule>
  </conditionalFormatting>
  <conditionalFormatting sqref="Q18">
    <cfRule type="cellIs" dxfId="2769" priority="853" operator="greaterThan">
      <formula>0.75</formula>
    </cfRule>
    <cfRule type="cellIs" dxfId="2768" priority="854" operator="between">
      <formula>0.301</formula>
      <formula>0.7499</formula>
    </cfRule>
    <cfRule type="cellIs" dxfId="2767" priority="855" operator="lessThan">
      <formula>0.3</formula>
    </cfRule>
  </conditionalFormatting>
  <conditionalFormatting sqref="Y29">
    <cfRule type="cellIs" dxfId="2766" priority="848" operator="lessThan">
      <formula>0</formula>
    </cfRule>
    <cfRule type="cellIs" dxfId="2765" priority="849" operator="greaterThan">
      <formula>0</formula>
    </cfRule>
  </conditionalFormatting>
  <conditionalFormatting sqref="X22">
    <cfRule type="cellIs" dxfId="2764" priority="778" operator="lessThan">
      <formula>0</formula>
    </cfRule>
    <cfRule type="cellIs" dxfId="2763" priority="779" operator="lessThan">
      <formula>0</formula>
    </cfRule>
    <cfRule type="cellIs" dxfId="2762" priority="780" operator="lessThan">
      <formula>0</formula>
    </cfRule>
    <cfRule type="cellIs" dxfId="2761" priority="781" operator="lessThan">
      <formula>0</formula>
    </cfRule>
    <cfRule type="cellIs" dxfId="2760" priority="782" operator="lessThan">
      <formula>0</formula>
    </cfRule>
    <cfRule type="cellIs" dxfId="2759" priority="783" operator="greaterThan">
      <formula>0</formula>
    </cfRule>
    <cfRule type="cellIs" dxfId="2758" priority="784" operator="lessThan">
      <formula>0</formula>
    </cfRule>
  </conditionalFormatting>
  <conditionalFormatting sqref="X118:X124">
    <cfRule type="cellIs" dxfId="2757" priority="833" operator="lessThan">
      <formula>0</formula>
    </cfRule>
  </conditionalFormatting>
  <conditionalFormatting sqref="Y23">
    <cfRule type="cellIs" dxfId="2756" priority="819" operator="greaterThan">
      <formula>0</formula>
    </cfRule>
    <cfRule type="cellIs" dxfId="2755" priority="820" operator="lessThan">
      <formula>0</formula>
    </cfRule>
  </conditionalFormatting>
  <conditionalFormatting sqref="X97:X104">
    <cfRule type="cellIs" dxfId="2754" priority="812" operator="lessThan">
      <formula>0</formula>
    </cfRule>
  </conditionalFormatting>
  <conditionalFormatting sqref="K6:V17">
    <cfRule type="cellIs" dxfId="2753" priority="811" operator="lessThan">
      <formula>0</formula>
    </cfRule>
  </conditionalFormatting>
  <conditionalFormatting sqref="E56">
    <cfRule type="cellIs" dxfId="2752" priority="806" operator="lessThan">
      <formula>0</formula>
    </cfRule>
  </conditionalFormatting>
  <conditionalFormatting sqref="K23:V28">
    <cfRule type="aboveAverage" dxfId="2751" priority="804"/>
  </conditionalFormatting>
  <conditionalFormatting sqref="E68">
    <cfRule type="cellIs" dxfId="2750" priority="798" operator="lessThan">
      <formula>0</formula>
    </cfRule>
  </conditionalFormatting>
  <conditionalFormatting sqref="E69">
    <cfRule type="cellIs" dxfId="2749" priority="797" operator="lessThan">
      <formula>0</formula>
    </cfRule>
  </conditionalFormatting>
  <conditionalFormatting sqref="X39">
    <cfRule type="cellIs" dxfId="2748" priority="786" operator="greaterThan">
      <formula>0</formula>
    </cfRule>
    <cfRule type="cellIs" dxfId="2747" priority="787" operator="greaterThan">
      <formula>0</formula>
    </cfRule>
    <cfRule type="cellIs" dxfId="2746" priority="788" operator="lessThan">
      <formula>0</formula>
    </cfRule>
  </conditionalFormatting>
  <conditionalFormatting sqref="K21:V28">
    <cfRule type="aboveAverage" dxfId="2745" priority="785"/>
  </conditionalFormatting>
  <conditionalFormatting sqref="Y22">
    <cfRule type="cellIs" dxfId="2744" priority="776" operator="greaterThan">
      <formula>0</formula>
    </cfRule>
    <cfRule type="cellIs" dxfId="2743" priority="777" operator="lessThan">
      <formula>0</formula>
    </cfRule>
  </conditionalFormatting>
  <conditionalFormatting sqref="L133:V133">
    <cfRule type="cellIs" dxfId="2742" priority="715" operator="lessThan">
      <formula>0</formula>
    </cfRule>
  </conditionalFormatting>
  <conditionalFormatting sqref="K46:V46">
    <cfRule type="cellIs" dxfId="2741" priority="773" operator="lessThan">
      <formula>0</formula>
    </cfRule>
    <cfRule type="cellIs" dxfId="2740" priority="774" operator="greaterThan">
      <formula>0.1</formula>
    </cfRule>
  </conditionalFormatting>
  <conditionalFormatting sqref="E29:E34">
    <cfRule type="cellIs" dxfId="2739" priority="769" operator="lessThan">
      <formula>0</formula>
    </cfRule>
  </conditionalFormatting>
  <conditionalFormatting sqref="K53">
    <cfRule type="cellIs" dxfId="2738" priority="759" operator="lessThan">
      <formula>0</formula>
    </cfRule>
  </conditionalFormatting>
  <conditionalFormatting sqref="L53:V53">
    <cfRule type="cellIs" dxfId="2737" priority="756" operator="lessThan">
      <formula>0</formula>
    </cfRule>
  </conditionalFormatting>
  <conditionalFormatting sqref="E27">
    <cfRule type="cellIs" dxfId="2736" priority="708" operator="lessThan">
      <formula>0</formula>
    </cfRule>
  </conditionalFormatting>
  <conditionalFormatting sqref="Y18">
    <cfRule type="cellIs" dxfId="2735" priority="608" operator="greaterThan">
      <formula>0</formula>
    </cfRule>
    <cfRule type="cellIs" dxfId="2734" priority="609" operator="lessThan">
      <formula>0</formula>
    </cfRule>
  </conditionalFormatting>
  <conditionalFormatting sqref="E35">
    <cfRule type="cellIs" dxfId="2733" priority="567" operator="lessThan">
      <formula>0</formula>
    </cfRule>
  </conditionalFormatting>
  <conditionalFormatting sqref="E36">
    <cfRule type="cellIs" dxfId="2732" priority="566" operator="lessThan">
      <formula>0</formula>
    </cfRule>
  </conditionalFormatting>
  <conditionalFormatting sqref="X21">
    <cfRule type="cellIs" dxfId="2731" priority="480" operator="lessThan">
      <formula>0</formula>
    </cfRule>
    <cfRule type="cellIs" dxfId="2730" priority="481" operator="lessThan">
      <formula>0</formula>
    </cfRule>
    <cfRule type="cellIs" dxfId="2729" priority="482" operator="lessThan">
      <formula>0</formula>
    </cfRule>
    <cfRule type="cellIs" dxfId="2728" priority="483" operator="lessThan">
      <formula>0</formula>
    </cfRule>
    <cfRule type="cellIs" dxfId="2727" priority="484" operator="lessThan">
      <formula>0</formula>
    </cfRule>
    <cfRule type="cellIs" dxfId="2726" priority="485" operator="greaterThan">
      <formula>0</formula>
    </cfRule>
    <cfRule type="cellIs" dxfId="2725" priority="486" operator="lessThan">
      <formula>0</formula>
    </cfRule>
  </conditionalFormatting>
  <conditionalFormatting sqref="Y7:Y17">
    <cfRule type="cellIs" dxfId="2724" priority="527" operator="greaterThan">
      <formula>0</formula>
    </cfRule>
    <cfRule type="cellIs" dxfId="2723" priority="528" operator="lessThan">
      <formula>0</formula>
    </cfRule>
  </conditionalFormatting>
  <conditionalFormatting sqref="M54:M63">
    <cfRule type="cellIs" dxfId="2722" priority="452" operator="lessThan">
      <formula>0</formula>
    </cfRule>
  </conditionalFormatting>
  <conditionalFormatting sqref="W40:W49">
    <cfRule type="cellIs" dxfId="2721" priority="487" operator="lessThan">
      <formula>0</formula>
    </cfRule>
    <cfRule type="cellIs" dxfId="2720" priority="488" operator="greaterThan">
      <formula>0.1</formula>
    </cfRule>
  </conditionalFormatting>
  <conditionalFormatting sqref="Y21">
    <cfRule type="cellIs" dxfId="2719" priority="478" operator="greaterThan">
      <formula>0</formula>
    </cfRule>
    <cfRule type="cellIs" dxfId="2718" priority="479" operator="lessThan">
      <formula>0</formula>
    </cfRule>
  </conditionalFormatting>
  <conditionalFormatting sqref="E606">
    <cfRule type="cellIs" dxfId="2717" priority="417" operator="lessThan">
      <formula>0</formula>
    </cfRule>
  </conditionalFormatting>
  <conditionalFormatting sqref="E605">
    <cfRule type="cellIs" dxfId="2716" priority="416" operator="lessThan">
      <formula>0</formula>
    </cfRule>
  </conditionalFormatting>
  <conditionalFormatting sqref="E603">
    <cfRule type="cellIs" dxfId="2715" priority="415" operator="lessThan">
      <formula>0</formula>
    </cfRule>
  </conditionalFormatting>
  <conditionalFormatting sqref="E624">
    <cfRule type="cellIs" dxfId="2714" priority="474" operator="lessThan">
      <formula>0</formula>
    </cfRule>
  </conditionalFormatting>
  <conditionalFormatting sqref="E625:E633">
    <cfRule type="cellIs" dxfId="2713" priority="473" operator="lessThan">
      <formula>0</formula>
    </cfRule>
  </conditionalFormatting>
  <conditionalFormatting sqref="K54:K63">
    <cfRule type="cellIs" dxfId="2712" priority="472" operator="lessThan">
      <formula>0</formula>
    </cfRule>
  </conditionalFormatting>
  <conditionalFormatting sqref="L54:L63">
    <cfRule type="cellIs" dxfId="2711" priority="471" operator="lessThan">
      <formula>0</formula>
    </cfRule>
  </conditionalFormatting>
  <conditionalFormatting sqref="P54:P63">
    <cfRule type="cellIs" dxfId="2710" priority="467" operator="lessThan">
      <formula>0</formula>
    </cfRule>
  </conditionalFormatting>
  <conditionalFormatting sqref="N54:N63">
    <cfRule type="cellIs" dxfId="2709" priority="469" operator="lessThan">
      <formula>0</formula>
    </cfRule>
  </conditionalFormatting>
  <conditionalFormatting sqref="O54:O63">
    <cfRule type="cellIs" dxfId="2708" priority="468" operator="lessThan">
      <formula>0</formula>
    </cfRule>
  </conditionalFormatting>
  <conditionalFormatting sqref="Q54:Q63">
    <cfRule type="cellIs" dxfId="2707" priority="466" operator="lessThan">
      <formula>0</formula>
    </cfRule>
  </conditionalFormatting>
  <conditionalFormatting sqref="R54:R63">
    <cfRule type="cellIs" dxfId="2706" priority="465" operator="lessThan">
      <formula>0</formula>
    </cfRule>
  </conditionalFormatting>
  <conditionalFormatting sqref="S54:S63">
    <cfRule type="cellIs" dxfId="2705" priority="464" operator="lessThan">
      <formula>0</formula>
    </cfRule>
  </conditionalFormatting>
  <conditionalFormatting sqref="T54:T63">
    <cfRule type="cellIs" dxfId="2704" priority="463" operator="lessThan">
      <formula>0</formula>
    </cfRule>
  </conditionalFormatting>
  <conditionalFormatting sqref="U54:U63">
    <cfRule type="cellIs" dxfId="2703" priority="462" operator="lessThan">
      <formula>0</formula>
    </cfRule>
  </conditionalFormatting>
  <conditionalFormatting sqref="V54:V63">
    <cfRule type="cellIs" dxfId="2702" priority="461" operator="lessThan">
      <formula>0</formula>
    </cfRule>
  </conditionalFormatting>
  <conditionalFormatting sqref="K96">
    <cfRule type="cellIs" dxfId="2701" priority="460" operator="lessThan">
      <formula>0</formula>
    </cfRule>
  </conditionalFormatting>
  <conditionalFormatting sqref="K97:K104">
    <cfRule type="cellIs" dxfId="2700" priority="459" operator="lessThan">
      <formula>0</formula>
    </cfRule>
  </conditionalFormatting>
  <conditionalFormatting sqref="L96:V96">
    <cfRule type="cellIs" dxfId="2699" priority="458" operator="lessThan">
      <formula>0</formula>
    </cfRule>
  </conditionalFormatting>
  <conditionalFormatting sqref="L97:L104 O97:V104">
    <cfRule type="cellIs" dxfId="2698" priority="457" operator="lessThan">
      <formula>0</formula>
    </cfRule>
  </conditionalFormatting>
  <conditionalFormatting sqref="K117">
    <cfRule type="cellIs" dxfId="2697" priority="456" operator="lessThan">
      <formula>0</formula>
    </cfRule>
  </conditionalFormatting>
  <conditionalFormatting sqref="L117:V117">
    <cfRule type="cellIs" dxfId="2696" priority="455" operator="lessThan">
      <formula>0</formula>
    </cfRule>
  </conditionalFormatting>
  <conditionalFormatting sqref="K118:K123">
    <cfRule type="cellIs" dxfId="2695" priority="454" operator="lessThan">
      <formula>0</formula>
    </cfRule>
  </conditionalFormatting>
  <conditionalFormatting sqref="L118:L123 N118:V123">
    <cfRule type="cellIs" dxfId="2694" priority="453" operator="lessThan">
      <formula>0</formula>
    </cfRule>
  </conditionalFormatting>
  <conditionalFormatting sqref="M97:M104">
    <cfRule type="cellIs" dxfId="2693" priority="451" operator="lessThan">
      <formula>0</formula>
    </cfRule>
  </conditionalFormatting>
  <conditionalFormatting sqref="M118:M123">
    <cfRule type="cellIs" dxfId="2692" priority="450" operator="lessThan">
      <formula>0</formula>
    </cfRule>
  </conditionalFormatting>
  <conditionalFormatting sqref="N97:N104">
    <cfRule type="cellIs" dxfId="2691" priority="449" operator="lessThan">
      <formula>0</formula>
    </cfRule>
  </conditionalFormatting>
  <conditionalFormatting sqref="E634">
    <cfRule type="cellIs" dxfId="2690" priority="448" operator="lessThan">
      <formula>0</formula>
    </cfRule>
  </conditionalFormatting>
  <conditionalFormatting sqref="E635">
    <cfRule type="cellIs" dxfId="2689" priority="447" operator="lessThan">
      <formula>0</formula>
    </cfRule>
  </conditionalFormatting>
  <conditionalFormatting sqref="E623">
    <cfRule type="cellIs" dxfId="2688" priority="446" operator="lessThan">
      <formula>0</formula>
    </cfRule>
  </conditionalFormatting>
  <conditionalFormatting sqref="E621">
    <cfRule type="cellIs" dxfId="2687" priority="445" operator="lessThan">
      <formula>0</formula>
    </cfRule>
  </conditionalFormatting>
  <conditionalFormatting sqref="E620">
    <cfRule type="cellIs" dxfId="2686" priority="444" operator="lessThan">
      <formula>0</formula>
    </cfRule>
  </conditionalFormatting>
  <conditionalFormatting sqref="E619">
    <cfRule type="cellIs" dxfId="2685" priority="443" operator="lessThan">
      <formula>0</formula>
    </cfRule>
  </conditionalFormatting>
  <conditionalFormatting sqref="E618">
    <cfRule type="cellIs" dxfId="2684" priority="442" operator="lessThan">
      <formula>0</formula>
    </cfRule>
  </conditionalFormatting>
  <conditionalFormatting sqref="E616">
    <cfRule type="cellIs" dxfId="2683" priority="441" operator="lessThan">
      <formula>0</formula>
    </cfRule>
  </conditionalFormatting>
  <conditionalFormatting sqref="E615">
    <cfRule type="cellIs" dxfId="2682" priority="438" operator="lessThan">
      <formula>0</formula>
    </cfRule>
  </conditionalFormatting>
  <conditionalFormatting sqref="E614">
    <cfRule type="cellIs" dxfId="2681" priority="437" operator="lessThan">
      <formula>0</formula>
    </cfRule>
  </conditionalFormatting>
  <conditionalFormatting sqref="E611">
    <cfRule type="cellIs" dxfId="2680" priority="436" operator="lessThan">
      <formula>0</formula>
    </cfRule>
  </conditionalFormatting>
  <conditionalFormatting sqref="E610">
    <cfRule type="cellIs" dxfId="2679" priority="435" operator="lessThan">
      <formula>0</formula>
    </cfRule>
  </conditionalFormatting>
  <conditionalFormatting sqref="E609">
    <cfRule type="cellIs" dxfId="2678" priority="434" operator="lessThan">
      <formula>0</formula>
    </cfRule>
  </conditionalFormatting>
  <conditionalFormatting sqref="E607">
    <cfRule type="cellIs" dxfId="2677" priority="433" operator="lessThan">
      <formula>0</formula>
    </cfRule>
  </conditionalFormatting>
  <conditionalFormatting sqref="E539:E540">
    <cfRule type="cellIs" dxfId="2676" priority="372" operator="lessThan">
      <formula>0</formula>
    </cfRule>
  </conditionalFormatting>
  <conditionalFormatting sqref="E39:E41 E44">
    <cfRule type="cellIs" dxfId="2675" priority="413" operator="lessThan">
      <formula>0</formula>
    </cfRule>
  </conditionalFormatting>
  <conditionalFormatting sqref="E602">
    <cfRule type="cellIs" dxfId="2674" priority="412" operator="lessThan">
      <formula>0</formula>
    </cfRule>
  </conditionalFormatting>
  <conditionalFormatting sqref="E601">
    <cfRule type="cellIs" dxfId="2673" priority="411" operator="lessThan">
      <formula>0</formula>
    </cfRule>
  </conditionalFormatting>
  <conditionalFormatting sqref="E600">
    <cfRule type="cellIs" dxfId="2672" priority="410" operator="lessThan">
      <formula>0</formula>
    </cfRule>
  </conditionalFormatting>
  <conditionalFormatting sqref="E599">
    <cfRule type="cellIs" dxfId="2671" priority="409" operator="lessThan">
      <formula>0</formula>
    </cfRule>
  </conditionalFormatting>
  <conditionalFormatting sqref="E597">
    <cfRule type="cellIs" dxfId="2670" priority="408" operator="lessThan">
      <formula>0</formula>
    </cfRule>
  </conditionalFormatting>
  <conditionalFormatting sqref="E595">
    <cfRule type="cellIs" dxfId="2669" priority="406" operator="lessThan">
      <formula>0</formula>
    </cfRule>
  </conditionalFormatting>
  <conditionalFormatting sqref="E596">
    <cfRule type="cellIs" dxfId="2668" priority="407" operator="lessThan">
      <formula>0</formula>
    </cfRule>
  </conditionalFormatting>
  <conditionalFormatting sqref="E593">
    <cfRule type="cellIs" dxfId="2667" priority="405" operator="lessThan">
      <formula>0</formula>
    </cfRule>
  </conditionalFormatting>
  <conditionalFormatting sqref="E591">
    <cfRule type="cellIs" dxfId="2666" priority="404" operator="lessThan">
      <formula>0</formula>
    </cfRule>
  </conditionalFormatting>
  <conditionalFormatting sqref="E590">
    <cfRule type="cellIs" dxfId="2665" priority="403" operator="lessThan">
      <formula>0</formula>
    </cfRule>
  </conditionalFormatting>
  <conditionalFormatting sqref="E38">
    <cfRule type="cellIs" dxfId="2664" priority="402" operator="lessThan">
      <formula>0</formula>
    </cfRule>
  </conditionalFormatting>
  <conditionalFormatting sqref="E586">
    <cfRule type="cellIs" dxfId="2663" priority="401" operator="lessThan">
      <formula>0</formula>
    </cfRule>
  </conditionalFormatting>
  <conditionalFormatting sqref="E585">
    <cfRule type="cellIs" dxfId="2662" priority="400" operator="lessThan">
      <formula>0</formula>
    </cfRule>
  </conditionalFormatting>
  <conditionalFormatting sqref="E582">
    <cfRule type="cellIs" dxfId="2661" priority="399" operator="lessThan">
      <formula>0</formula>
    </cfRule>
  </conditionalFormatting>
  <conditionalFormatting sqref="E581">
    <cfRule type="cellIs" dxfId="2660" priority="398" operator="lessThan">
      <formula>0</formula>
    </cfRule>
  </conditionalFormatting>
  <conditionalFormatting sqref="E580">
    <cfRule type="cellIs" dxfId="2659" priority="397" operator="lessThan">
      <formula>0</formula>
    </cfRule>
  </conditionalFormatting>
  <conditionalFormatting sqref="E579">
    <cfRule type="cellIs" dxfId="2658" priority="396" operator="lessThan">
      <formula>0</formula>
    </cfRule>
  </conditionalFormatting>
  <conditionalFormatting sqref="E578">
    <cfRule type="cellIs" dxfId="2657" priority="395" operator="lessThan">
      <formula>0</formula>
    </cfRule>
  </conditionalFormatting>
  <conditionalFormatting sqref="E574">
    <cfRule type="cellIs" dxfId="2656" priority="394" operator="lessThan">
      <formula>0</formula>
    </cfRule>
  </conditionalFormatting>
  <conditionalFormatting sqref="E573">
    <cfRule type="cellIs" dxfId="2655" priority="393" operator="lessThan">
      <formula>0</formula>
    </cfRule>
  </conditionalFormatting>
  <conditionalFormatting sqref="E568">
    <cfRule type="cellIs" dxfId="2654" priority="392" operator="lessThan">
      <formula>0</formula>
    </cfRule>
  </conditionalFormatting>
  <conditionalFormatting sqref="E567">
    <cfRule type="cellIs" dxfId="2653" priority="391" operator="lessThan">
      <formula>0</formula>
    </cfRule>
  </conditionalFormatting>
  <conditionalFormatting sqref="E566">
    <cfRule type="cellIs" dxfId="2652" priority="390" operator="lessThan">
      <formula>0</formula>
    </cfRule>
  </conditionalFormatting>
  <conditionalFormatting sqref="E565">
    <cfRule type="cellIs" dxfId="2651" priority="389" operator="lessThan">
      <formula>0</formula>
    </cfRule>
  </conditionalFormatting>
  <conditionalFormatting sqref="E564">
    <cfRule type="cellIs" dxfId="2650" priority="388" operator="lessThan">
      <formula>0</formula>
    </cfRule>
  </conditionalFormatting>
  <conditionalFormatting sqref="E563">
    <cfRule type="cellIs" dxfId="2649" priority="387" operator="lessThan">
      <formula>0</formula>
    </cfRule>
  </conditionalFormatting>
  <conditionalFormatting sqref="E562">
    <cfRule type="cellIs" dxfId="2648" priority="386" operator="lessThan">
      <formula>0</formula>
    </cfRule>
  </conditionalFormatting>
  <conditionalFormatting sqref="E559">
    <cfRule type="cellIs" dxfId="2647" priority="385" operator="lessThan">
      <formula>0</formula>
    </cfRule>
  </conditionalFormatting>
  <conditionalFormatting sqref="E560">
    <cfRule type="cellIs" dxfId="2646" priority="384" operator="lessThan">
      <formula>0</formula>
    </cfRule>
  </conditionalFormatting>
  <conditionalFormatting sqref="E471">
    <cfRule type="cellIs" dxfId="2645" priority="323" operator="lessThan">
      <formula>0</formula>
    </cfRule>
  </conditionalFormatting>
  <conditionalFormatting sqref="E470">
    <cfRule type="cellIs" dxfId="2644" priority="322" operator="lessThan">
      <formula>0</formula>
    </cfRule>
  </conditionalFormatting>
  <conditionalFormatting sqref="E556">
    <cfRule type="cellIs" dxfId="2643" priority="381" operator="lessThan">
      <formula>0</formula>
    </cfRule>
  </conditionalFormatting>
  <conditionalFormatting sqref="E555">
    <cfRule type="cellIs" dxfId="2642" priority="380" operator="lessThan">
      <formula>0</formula>
    </cfRule>
  </conditionalFormatting>
  <conditionalFormatting sqref="E554">
    <cfRule type="cellIs" dxfId="2641" priority="379" operator="lessThan">
      <formula>0</formula>
    </cfRule>
  </conditionalFormatting>
  <conditionalFormatting sqref="E553">
    <cfRule type="cellIs" dxfId="2640" priority="378" operator="lessThan">
      <formula>0</formula>
    </cfRule>
  </conditionalFormatting>
  <conditionalFormatting sqref="E552">
    <cfRule type="cellIs" dxfId="2639" priority="377" operator="lessThan">
      <formula>0</formula>
    </cfRule>
  </conditionalFormatting>
  <conditionalFormatting sqref="E551">
    <cfRule type="cellIs" dxfId="2638" priority="376" operator="lessThan">
      <formula>0</formula>
    </cfRule>
  </conditionalFormatting>
  <conditionalFormatting sqref="E550">
    <cfRule type="cellIs" dxfId="2637" priority="375" operator="lessThan">
      <formula>0</formula>
    </cfRule>
  </conditionalFormatting>
  <conditionalFormatting sqref="E543:E544">
    <cfRule type="cellIs" dxfId="2636" priority="374" operator="lessThan">
      <formula>0</formula>
    </cfRule>
  </conditionalFormatting>
  <conditionalFormatting sqref="E541:E542">
    <cfRule type="cellIs" dxfId="2635" priority="373" operator="lessThan">
      <formula>0</formula>
    </cfRule>
  </conditionalFormatting>
  <conditionalFormatting sqref="E534">
    <cfRule type="cellIs" dxfId="2634" priority="371" operator="lessThan">
      <formula>0</formula>
    </cfRule>
  </conditionalFormatting>
  <conditionalFormatting sqref="E532:E533">
    <cfRule type="cellIs" dxfId="2633" priority="370" operator="lessThan">
      <formula>0</formula>
    </cfRule>
  </conditionalFormatting>
  <conditionalFormatting sqref="E24">
    <cfRule type="cellIs" dxfId="2632" priority="369" operator="lessThan">
      <formula>0</formula>
    </cfRule>
  </conditionalFormatting>
  <conditionalFormatting sqref="E524">
    <cfRule type="cellIs" dxfId="2631" priority="368" operator="lessThan">
      <formula>0</formula>
    </cfRule>
  </conditionalFormatting>
  <conditionalFormatting sqref="E523">
    <cfRule type="cellIs" dxfId="2630" priority="367" operator="lessThan">
      <formula>0</formula>
    </cfRule>
  </conditionalFormatting>
  <conditionalFormatting sqref="E522">
    <cfRule type="cellIs" dxfId="2629" priority="366" operator="lessThan">
      <formula>0</formula>
    </cfRule>
  </conditionalFormatting>
  <conditionalFormatting sqref="E520">
    <cfRule type="cellIs" dxfId="2628" priority="365" operator="lessThan">
      <formula>0</formula>
    </cfRule>
  </conditionalFormatting>
  <conditionalFormatting sqref="E519">
    <cfRule type="cellIs" dxfId="2627" priority="364" operator="lessThan">
      <formula>0</formula>
    </cfRule>
  </conditionalFormatting>
  <conditionalFormatting sqref="E518">
    <cfRule type="cellIs" dxfId="2626" priority="363" operator="lessThan">
      <formula>0</formula>
    </cfRule>
  </conditionalFormatting>
  <conditionalFormatting sqref="E517">
    <cfRule type="cellIs" dxfId="2625" priority="362" operator="lessThan">
      <formula>0</formula>
    </cfRule>
  </conditionalFormatting>
  <conditionalFormatting sqref="E516">
    <cfRule type="cellIs" dxfId="2624" priority="361" operator="lessThan">
      <formula>0</formula>
    </cfRule>
  </conditionalFormatting>
  <conditionalFormatting sqref="E514">
    <cfRule type="cellIs" dxfId="2623" priority="360" operator="lessThan">
      <formula>0</formula>
    </cfRule>
  </conditionalFormatting>
  <conditionalFormatting sqref="E512">
    <cfRule type="cellIs" dxfId="2622" priority="359" operator="lessThan">
      <formula>0</formula>
    </cfRule>
  </conditionalFormatting>
  <conditionalFormatting sqref="E510">
    <cfRule type="cellIs" dxfId="2621" priority="358" operator="lessThan">
      <formula>0</formula>
    </cfRule>
  </conditionalFormatting>
  <conditionalFormatting sqref="E508">
    <cfRule type="cellIs" dxfId="2620" priority="357" operator="lessThan">
      <formula>0</formula>
    </cfRule>
  </conditionalFormatting>
  <conditionalFormatting sqref="E506:E507">
    <cfRule type="cellIs" dxfId="2619" priority="356" operator="lessThan">
      <formula>0</formula>
    </cfRule>
  </conditionalFormatting>
  <conditionalFormatting sqref="E505">
    <cfRule type="cellIs" dxfId="2618" priority="355" operator="lessThan">
      <formula>0</formula>
    </cfRule>
  </conditionalFormatting>
  <conditionalFormatting sqref="E502:E503">
    <cfRule type="cellIs" dxfId="2617" priority="354" operator="lessThan">
      <formula>0</formula>
    </cfRule>
  </conditionalFormatting>
  <conditionalFormatting sqref="E500">
    <cfRule type="cellIs" dxfId="2616" priority="353" operator="lessThan">
      <formula>0</formula>
    </cfRule>
  </conditionalFormatting>
  <conditionalFormatting sqref="E499">
    <cfRule type="cellIs" dxfId="2615" priority="352" operator="lessThan">
      <formula>0</formula>
    </cfRule>
  </conditionalFormatting>
  <conditionalFormatting sqref="E492:E493">
    <cfRule type="cellIs" dxfId="2614" priority="351" operator="lessThan">
      <formula>0</formula>
    </cfRule>
  </conditionalFormatting>
  <conditionalFormatting sqref="E491">
    <cfRule type="cellIs" dxfId="2613" priority="350" operator="lessThan">
      <formula>0</formula>
    </cfRule>
  </conditionalFormatting>
  <conditionalFormatting sqref="E408">
    <cfRule type="cellIs" dxfId="2612" priority="289" operator="lessThan">
      <formula>0</formula>
    </cfRule>
  </conditionalFormatting>
  <conditionalFormatting sqref="E490">
    <cfRule type="cellIs" dxfId="2611" priority="332" operator="lessThan">
      <formula>0</formula>
    </cfRule>
  </conditionalFormatting>
  <conditionalFormatting sqref="E487">
    <cfRule type="cellIs" dxfId="2610" priority="331" operator="lessThan">
      <formula>0</formula>
    </cfRule>
  </conditionalFormatting>
  <conditionalFormatting sqref="E486">
    <cfRule type="cellIs" dxfId="2609" priority="330" operator="lessThan">
      <formula>0</formula>
    </cfRule>
  </conditionalFormatting>
  <conditionalFormatting sqref="E485">
    <cfRule type="cellIs" dxfId="2608" priority="329" operator="lessThan">
      <formula>0</formula>
    </cfRule>
  </conditionalFormatting>
  <conditionalFormatting sqref="E479">
    <cfRule type="cellIs" dxfId="2607" priority="328" operator="lessThan">
      <formula>0</formula>
    </cfRule>
  </conditionalFormatting>
  <conditionalFormatting sqref="E478">
    <cfRule type="cellIs" dxfId="2606" priority="327" operator="lessThan">
      <formula>0</formula>
    </cfRule>
  </conditionalFormatting>
  <conditionalFormatting sqref="E477">
    <cfRule type="cellIs" dxfId="2605" priority="326" operator="lessThan">
      <formula>0</formula>
    </cfRule>
  </conditionalFormatting>
  <conditionalFormatting sqref="E475">
    <cfRule type="cellIs" dxfId="2604" priority="325" operator="lessThan">
      <formula>0</formula>
    </cfRule>
  </conditionalFormatting>
  <conditionalFormatting sqref="E474">
    <cfRule type="cellIs" dxfId="2603" priority="324" operator="lessThan">
      <formula>0</formula>
    </cfRule>
  </conditionalFormatting>
  <conditionalFormatting sqref="E469">
    <cfRule type="cellIs" dxfId="2602" priority="321" operator="lessThan">
      <formula>0</formula>
    </cfRule>
  </conditionalFormatting>
  <conditionalFormatting sqref="E468">
    <cfRule type="cellIs" dxfId="2601" priority="320" operator="lessThan">
      <formula>0</formula>
    </cfRule>
  </conditionalFormatting>
  <conditionalFormatting sqref="E467">
    <cfRule type="cellIs" dxfId="2600" priority="319" operator="lessThan">
      <formula>0</formula>
    </cfRule>
  </conditionalFormatting>
  <conditionalFormatting sqref="E466">
    <cfRule type="cellIs" dxfId="2599" priority="318" operator="lessThan">
      <formula>0</formula>
    </cfRule>
  </conditionalFormatting>
  <conditionalFormatting sqref="E461">
    <cfRule type="cellIs" dxfId="2598" priority="317" operator="lessThan">
      <formula>0</formula>
    </cfRule>
  </conditionalFormatting>
  <conditionalFormatting sqref="E458">
    <cfRule type="cellIs" dxfId="2597" priority="315" operator="lessThan">
      <formula>0</formula>
    </cfRule>
  </conditionalFormatting>
  <conditionalFormatting sqref="E457">
    <cfRule type="cellIs" dxfId="2596" priority="314" operator="lessThan">
      <formula>0</formula>
    </cfRule>
  </conditionalFormatting>
  <conditionalFormatting sqref="E456">
    <cfRule type="cellIs" dxfId="2595" priority="313" operator="lessThan">
      <formula>0</formula>
    </cfRule>
  </conditionalFormatting>
  <conditionalFormatting sqref="E440">
    <cfRule type="cellIs" dxfId="2594" priority="312" operator="lessThan">
      <formula>0</formula>
    </cfRule>
  </conditionalFormatting>
  <conditionalFormatting sqref="E445">
    <cfRule type="cellIs" dxfId="2593" priority="311" operator="lessThan">
      <formula>0</formula>
    </cfRule>
  </conditionalFormatting>
  <conditionalFormatting sqref="E437">
    <cfRule type="cellIs" dxfId="2592" priority="310" operator="lessThan">
      <formula>0</formula>
    </cfRule>
  </conditionalFormatting>
  <conditionalFormatting sqref="E43">
    <cfRule type="cellIs" dxfId="2591" priority="309" operator="lessThan">
      <formula>0</formula>
    </cfRule>
  </conditionalFormatting>
  <conditionalFormatting sqref="E435">
    <cfRule type="cellIs" dxfId="2590" priority="308" operator="lessThan">
      <formula>0</formula>
    </cfRule>
  </conditionalFormatting>
  <conditionalFormatting sqref="E434">
    <cfRule type="cellIs" dxfId="2589" priority="307" operator="lessThan">
      <formula>0</formula>
    </cfRule>
  </conditionalFormatting>
  <conditionalFormatting sqref="E422">
    <cfRule type="cellIs" dxfId="2588" priority="306" operator="lessThan">
      <formula>0</formula>
    </cfRule>
  </conditionalFormatting>
  <conditionalFormatting sqref="E423">
    <cfRule type="cellIs" dxfId="2587" priority="305" operator="lessThan">
      <formula>0</formula>
    </cfRule>
  </conditionalFormatting>
  <conditionalFormatting sqref="E329">
    <cfRule type="cellIs" dxfId="2586" priority="244" operator="lessThan">
      <formula>0</formula>
    </cfRule>
  </conditionalFormatting>
  <conditionalFormatting sqref="E321:E322">
    <cfRule type="cellIs" dxfId="2585" priority="243" operator="lessThan">
      <formula>0</formula>
    </cfRule>
  </conditionalFormatting>
  <conditionalFormatting sqref="E441:E444">
    <cfRule type="cellIs" dxfId="2584" priority="302" operator="lessThan">
      <formula>0</formula>
    </cfRule>
  </conditionalFormatting>
  <conditionalFormatting sqref="E42">
    <cfRule type="cellIs" dxfId="2583" priority="301" operator="lessThan">
      <formula>0</formula>
    </cfRule>
  </conditionalFormatting>
  <conditionalFormatting sqref="E420">
    <cfRule type="cellIs" dxfId="2582" priority="300" operator="lessThan">
      <formula>0</formula>
    </cfRule>
  </conditionalFormatting>
  <conditionalFormatting sqref="E418">
    <cfRule type="cellIs" dxfId="2581" priority="297" operator="lessThan">
      <formula>0</formula>
    </cfRule>
  </conditionalFormatting>
  <conditionalFormatting sqref="E417">
    <cfRule type="cellIs" dxfId="2580" priority="296" operator="lessThan">
      <formula>0</formula>
    </cfRule>
  </conditionalFormatting>
  <conditionalFormatting sqref="X40:X50">
    <cfRule type="cellIs" dxfId="2579" priority="293" operator="greaterThan">
      <formula>0</formula>
    </cfRule>
    <cfRule type="cellIs" dxfId="2578" priority="294" operator="greaterThan">
      <formula>0</formula>
    </cfRule>
    <cfRule type="cellIs" dxfId="2577" priority="295" operator="lessThan">
      <formula>0</formula>
    </cfRule>
  </conditionalFormatting>
  <conditionalFormatting sqref="Y40:Y50">
    <cfRule type="cellIs" dxfId="2576" priority="291" operator="greaterThan">
      <formula>0</formula>
    </cfRule>
    <cfRule type="cellIs" dxfId="2575" priority="292" operator="lessThan">
      <formula>0</formula>
    </cfRule>
  </conditionalFormatting>
  <conditionalFormatting sqref="E450">
    <cfRule type="cellIs" dxfId="2574" priority="290" operator="lessThan">
      <formula>0</formula>
    </cfRule>
  </conditionalFormatting>
  <conditionalFormatting sqref="E407">
    <cfRule type="cellIs" dxfId="2573" priority="288" operator="lessThan">
      <formula>0</formula>
    </cfRule>
  </conditionalFormatting>
  <conditionalFormatting sqref="E406">
    <cfRule type="cellIs" dxfId="2572" priority="287" operator="lessThan">
      <formula>0</formula>
    </cfRule>
  </conditionalFormatting>
  <conditionalFormatting sqref="E401">
    <cfRule type="cellIs" dxfId="2571" priority="286" operator="lessThan">
      <formula>0</formula>
    </cfRule>
  </conditionalFormatting>
  <conditionalFormatting sqref="E392">
    <cfRule type="cellIs" dxfId="2570" priority="285" operator="lessThan">
      <formula>0</formula>
    </cfRule>
  </conditionalFormatting>
  <conditionalFormatting sqref="E393">
    <cfRule type="cellIs" dxfId="2569" priority="284" operator="lessThan">
      <formula>0</formula>
    </cfRule>
  </conditionalFormatting>
  <conditionalFormatting sqref="E390:E391">
    <cfRule type="cellIs" dxfId="2568" priority="266" operator="lessThan">
      <formula>0</formula>
    </cfRule>
  </conditionalFormatting>
  <conditionalFormatting sqref="E377:E378">
    <cfRule type="cellIs" dxfId="2567" priority="264" operator="lessThan">
      <formula>0</formula>
    </cfRule>
  </conditionalFormatting>
  <conditionalFormatting sqref="E370:E371">
    <cfRule type="cellIs" dxfId="2566" priority="263" operator="lessThan">
      <formula>0</formula>
    </cfRule>
  </conditionalFormatting>
  <conditionalFormatting sqref="E367:E368">
    <cfRule type="cellIs" dxfId="2565" priority="262" operator="lessThan">
      <formula>0</formula>
    </cfRule>
  </conditionalFormatting>
  <conditionalFormatting sqref="E365">
    <cfRule type="cellIs" dxfId="2564" priority="261" operator="lessThan">
      <formula>0</formula>
    </cfRule>
  </conditionalFormatting>
  <conditionalFormatting sqref="E364">
    <cfRule type="cellIs" dxfId="2563" priority="260" operator="lessThan">
      <formula>0</formula>
    </cfRule>
  </conditionalFormatting>
  <conditionalFormatting sqref="E330">
    <cfRule type="cellIs" dxfId="2562" priority="247" operator="lessThan">
      <formula>0</formula>
    </cfRule>
  </conditionalFormatting>
  <conditionalFormatting sqref="E331:E363">
    <cfRule type="cellIs" dxfId="2561" priority="245" operator="lessThan">
      <formula>0</formula>
    </cfRule>
  </conditionalFormatting>
  <conditionalFormatting sqref="E316">
    <cfRule type="cellIs" dxfId="2560" priority="242" operator="lessThan">
      <formula>0</formula>
    </cfRule>
  </conditionalFormatting>
  <conditionalFormatting sqref="E315">
    <cfRule type="cellIs" dxfId="2559" priority="241" operator="lessThan">
      <formula>0</formula>
    </cfRule>
  </conditionalFormatting>
  <conditionalFormatting sqref="E313:E314">
    <cfRule type="cellIs" dxfId="2558" priority="240" operator="lessThan">
      <formula>0</formula>
    </cfRule>
  </conditionalFormatting>
  <conditionalFormatting sqref="E301:E304">
    <cfRule type="cellIs" dxfId="2557" priority="239" operator="lessThan">
      <formula>0</formula>
    </cfRule>
  </conditionalFormatting>
  <conditionalFormatting sqref="AA17">
    <cfRule type="cellIs" dxfId="2556" priority="237" operator="greaterThan">
      <formula>0</formula>
    </cfRule>
    <cfRule type="cellIs" dxfId="2555" priority="238" operator="lessThan">
      <formula>0</formula>
    </cfRule>
  </conditionalFormatting>
  <conditionalFormatting sqref="E298:E300">
    <cfRule type="cellIs" dxfId="2554" priority="229" operator="lessThan">
      <formula>0</formula>
    </cfRule>
  </conditionalFormatting>
  <conditionalFormatting sqref="E296">
    <cfRule type="cellIs" dxfId="2553" priority="228" operator="lessThan">
      <formula>0</formula>
    </cfRule>
  </conditionalFormatting>
  <conditionalFormatting sqref="E292:E293">
    <cfRule type="cellIs" dxfId="2552" priority="227" operator="lessThan">
      <formula>0</formula>
    </cfRule>
  </conditionalFormatting>
  <conditionalFormatting sqref="S20">
    <cfRule type="aboveAverage" dxfId="2551" priority="225"/>
    <cfRule type="aboveAverage" dxfId="2550" priority="226"/>
  </conditionalFormatting>
  <conditionalFormatting sqref="T20">
    <cfRule type="aboveAverage" dxfId="2549" priority="223"/>
    <cfRule type="aboveAverage" dxfId="2548" priority="224"/>
  </conditionalFormatting>
  <conditionalFormatting sqref="E282">
    <cfRule type="cellIs" dxfId="2547" priority="222" operator="lessThan">
      <formula>0</formula>
    </cfRule>
  </conditionalFormatting>
  <conditionalFormatting sqref="E273">
    <cfRule type="cellIs" dxfId="2546" priority="221" operator="lessThan">
      <formula>0</formula>
    </cfRule>
  </conditionalFormatting>
  <conditionalFormatting sqref="E272">
    <cfRule type="cellIs" dxfId="2545" priority="220" operator="lessThan">
      <formula>0</formula>
    </cfRule>
  </conditionalFormatting>
  <conditionalFormatting sqref="E256">
    <cfRule type="cellIs" dxfId="2544" priority="219" operator="lessThan">
      <formula>0</formula>
    </cfRule>
  </conditionalFormatting>
  <conditionalFormatting sqref="E254:E255">
    <cfRule type="cellIs" dxfId="2543" priority="218" operator="lessThan">
      <formula>0</formula>
    </cfRule>
  </conditionalFormatting>
  <conditionalFormatting sqref="U20">
    <cfRule type="aboveAverage" dxfId="2542" priority="84"/>
    <cfRule type="aboveAverage" dxfId="2541" priority="85"/>
    <cfRule type="aboveAverage" dxfId="2540" priority="216"/>
    <cfRule type="aboveAverage" dxfId="2539" priority="217"/>
  </conditionalFormatting>
  <conditionalFormatting sqref="E252:E253">
    <cfRule type="cellIs" dxfId="2538" priority="155" operator="lessThan">
      <formula>0</formula>
    </cfRule>
  </conditionalFormatting>
  <conditionalFormatting sqref="E250">
    <cfRule type="cellIs" dxfId="2537" priority="154" operator="lessThan">
      <formula>0</formula>
    </cfRule>
  </conditionalFormatting>
  <conditionalFormatting sqref="E243">
    <cfRule type="cellIs" dxfId="2536" priority="153" operator="lessThan">
      <formula>0</formula>
    </cfRule>
  </conditionalFormatting>
  <conditionalFormatting sqref="E242">
    <cfRule type="cellIs" dxfId="2535" priority="152" operator="lessThan">
      <formula>0</formula>
    </cfRule>
  </conditionalFormatting>
  <conditionalFormatting sqref="E241">
    <cfRule type="cellIs" dxfId="2534" priority="151" operator="lessThan">
      <formula>0</formula>
    </cfRule>
  </conditionalFormatting>
  <conditionalFormatting sqref="E239">
    <cfRule type="cellIs" dxfId="2533" priority="150" operator="lessThan">
      <formula>0</formula>
    </cfRule>
  </conditionalFormatting>
  <conditionalFormatting sqref="E238">
    <cfRule type="cellIs" dxfId="2532" priority="149" operator="lessThan">
      <formula>0</formula>
    </cfRule>
  </conditionalFormatting>
  <conditionalFormatting sqref="E237">
    <cfRule type="cellIs" dxfId="2531" priority="148" operator="lessThan">
      <formula>0</formula>
    </cfRule>
  </conditionalFormatting>
  <conditionalFormatting sqref="E227">
    <cfRule type="cellIs" dxfId="2530" priority="147" operator="lessThan">
      <formula>0</formula>
    </cfRule>
  </conditionalFormatting>
  <conditionalFormatting sqref="E221:E222">
    <cfRule type="cellIs" dxfId="2529" priority="146" operator="lessThan">
      <formula>0</formula>
    </cfRule>
  </conditionalFormatting>
  <conditionalFormatting sqref="E218">
    <cfRule type="cellIs" dxfId="2528" priority="81" operator="lessThan">
      <formula>0</formula>
    </cfRule>
  </conditionalFormatting>
  <conditionalFormatting sqref="E216:E217">
    <cfRule type="cellIs" dxfId="2527" priority="80" operator="lessThan">
      <formula>0</formula>
    </cfRule>
  </conditionalFormatting>
  <conditionalFormatting sqref="E212">
    <cfRule type="cellIs" dxfId="2526" priority="79" operator="lessThan">
      <formula>0</formula>
    </cfRule>
  </conditionalFormatting>
  <conditionalFormatting sqref="E197:E198">
    <cfRule type="cellIs" dxfId="2525" priority="78" operator="lessThan">
      <formula>0</formula>
    </cfRule>
  </conditionalFormatting>
  <conditionalFormatting sqref="X7:X16">
    <cfRule type="cellIs" dxfId="2524" priority="48" operator="lessThan">
      <formula>0</formula>
    </cfRule>
    <cfRule type="cellIs" dxfId="2523" priority="49" operator="lessThan">
      <formula>0</formula>
    </cfRule>
    <cfRule type="cellIs" dxfId="2522" priority="50" operator="lessThan">
      <formula>0</formula>
    </cfRule>
    <cfRule type="cellIs" dxfId="2521" priority="51" operator="lessThan">
      <formula>0</formula>
    </cfRule>
    <cfRule type="cellIs" dxfId="2520" priority="52" operator="lessThan">
      <formula>0</formula>
    </cfRule>
    <cfRule type="cellIs" dxfId="2519" priority="53" operator="lessThan">
      <formula>0</formula>
    </cfRule>
    <cfRule type="cellIs" dxfId="2518" priority="54" operator="lessThan">
      <formula>0</formula>
    </cfRule>
    <cfRule type="cellIs" dxfId="2517" priority="55" operator="lessThan">
      <formula>0</formula>
    </cfRule>
    <cfRule type="cellIs" dxfId="2516" priority="56" operator="lessThan">
      <formula>0</formula>
    </cfRule>
    <cfRule type="cellIs" dxfId="2515" priority="57" operator="lessThan">
      <formula>0</formula>
    </cfRule>
    <cfRule type="cellIs" dxfId="2514" priority="58" operator="lessThan">
      <formula>0</formula>
    </cfRule>
    <cfRule type="cellIs" dxfId="2513" priority="59" operator="lessThan">
      <formula>0</formula>
    </cfRule>
    <cfRule type="cellIs" dxfId="2512" priority="60" operator="lessThan">
      <formula>0</formula>
    </cfRule>
    <cfRule type="cellIs" dxfId="2511" priority="61" operator="lessThan">
      <formula>0</formula>
    </cfRule>
    <cfRule type="cellIs" dxfId="2510" priority="62" operator="lessThan">
      <formula>0</formula>
    </cfRule>
    <cfRule type="cellIs" dxfId="2509" priority="63" operator="lessThan">
      <formula>0</formula>
    </cfRule>
    <cfRule type="cellIs" dxfId="2508" priority="64" operator="lessThan">
      <formula>0</formula>
    </cfRule>
    <cfRule type="cellIs" dxfId="2507" priority="65" operator="lessThan">
      <formula>0</formula>
    </cfRule>
    <cfRule type="cellIs" dxfId="2506" priority="66" operator="lessThan">
      <formula>0</formula>
    </cfRule>
    <cfRule type="cellIs" dxfId="2505" priority="67" operator="lessThan">
      <formula>0</formula>
    </cfRule>
    <cfRule type="cellIs" dxfId="2504" priority="68" operator="lessThan">
      <formula>0</formula>
    </cfRule>
    <cfRule type="cellIs" dxfId="2503" priority="69" operator="lessThan">
      <formula>0</formula>
    </cfRule>
    <cfRule type="cellIs" dxfId="2502" priority="70" operator="lessThan">
      <formula>0</formula>
    </cfRule>
    <cfRule type="cellIs" dxfId="2501" priority="71" operator="lessThan">
      <formula>0</formula>
    </cfRule>
    <cfRule type="cellIs" dxfId="2500" priority="72" operator="lessThan">
      <formula>0</formula>
    </cfRule>
    <cfRule type="cellIs" dxfId="2499" priority="73" operator="lessThan">
      <formula>0</formula>
    </cfRule>
    <cfRule type="cellIs" dxfId="2498" priority="74" operator="lessThan">
      <formula>0</formula>
    </cfRule>
    <cfRule type="cellIs" dxfId="2497" priority="75" operator="greaterThan">
      <formula>0</formula>
    </cfRule>
    <cfRule type="cellIs" dxfId="2496" priority="76" operator="lessThan">
      <formula>0</formula>
    </cfRule>
    <cfRule type="cellIs" dxfId="2495" priority="77" operator="lessThan">
      <formula>0</formula>
    </cfRule>
  </conditionalFormatting>
  <conditionalFormatting sqref="X17">
    <cfRule type="cellIs" dxfId="2494" priority="18" operator="lessThan">
      <formula>0</formula>
    </cfRule>
    <cfRule type="cellIs" dxfId="2493" priority="19" operator="lessThan">
      <formula>0</formula>
    </cfRule>
    <cfRule type="cellIs" dxfId="2492" priority="20" operator="lessThan">
      <formula>0</formula>
    </cfRule>
    <cfRule type="cellIs" dxfId="2491" priority="21" operator="lessThan">
      <formula>0</formula>
    </cfRule>
    <cfRule type="cellIs" dxfId="2490" priority="22" operator="lessThan">
      <formula>0</formula>
    </cfRule>
    <cfRule type="cellIs" dxfId="2489" priority="23" operator="lessThan">
      <formula>0</formula>
    </cfRule>
    <cfRule type="cellIs" dxfId="2488" priority="24" operator="lessThan">
      <formula>0</formula>
    </cfRule>
    <cfRule type="cellIs" dxfId="2487" priority="25" operator="lessThan">
      <formula>0</formula>
    </cfRule>
    <cfRule type="cellIs" dxfId="2486" priority="26" operator="lessThan">
      <formula>0</formula>
    </cfRule>
    <cfRule type="cellIs" dxfId="2485" priority="27" operator="lessThan">
      <formula>0</formula>
    </cfRule>
    <cfRule type="cellIs" dxfId="2484" priority="28" operator="lessThan">
      <formula>0</formula>
    </cfRule>
    <cfRule type="cellIs" dxfId="2483" priority="29" operator="lessThan">
      <formula>0</formula>
    </cfRule>
    <cfRule type="cellIs" dxfId="2482" priority="30" operator="lessThan">
      <formula>0</formula>
    </cfRule>
    <cfRule type="cellIs" dxfId="2481" priority="31" operator="lessThan">
      <formula>0</formula>
    </cfRule>
    <cfRule type="cellIs" dxfId="2480" priority="32" operator="lessThan">
      <formula>0</formula>
    </cfRule>
    <cfRule type="cellIs" dxfId="2479" priority="33" operator="lessThan">
      <formula>0</formula>
    </cfRule>
    <cfRule type="cellIs" dxfId="2478" priority="34" operator="lessThan">
      <formula>0</formula>
    </cfRule>
    <cfRule type="cellIs" dxfId="2477" priority="35" operator="lessThan">
      <formula>0</formula>
    </cfRule>
    <cfRule type="cellIs" dxfId="2476" priority="36" operator="lessThan">
      <formula>0</formula>
    </cfRule>
    <cfRule type="cellIs" dxfId="2475" priority="37" operator="lessThan">
      <formula>0</formula>
    </cfRule>
    <cfRule type="cellIs" dxfId="2474" priority="38" operator="lessThan">
      <formula>0</formula>
    </cfRule>
    <cfRule type="cellIs" dxfId="2473" priority="39" operator="lessThan">
      <formula>0</formula>
    </cfRule>
    <cfRule type="cellIs" dxfId="2472" priority="40" operator="lessThan">
      <formula>0</formula>
    </cfRule>
    <cfRule type="cellIs" dxfId="2471" priority="41" operator="lessThan">
      <formula>0</formula>
    </cfRule>
    <cfRule type="cellIs" dxfId="2470" priority="42" operator="lessThan">
      <formula>0</formula>
    </cfRule>
    <cfRule type="cellIs" dxfId="2469" priority="43" operator="lessThan">
      <formula>0</formula>
    </cfRule>
    <cfRule type="cellIs" dxfId="2468" priority="44" operator="lessThan">
      <formula>0</formula>
    </cfRule>
    <cfRule type="cellIs" dxfId="2467" priority="45" operator="greaterThan">
      <formula>0</formula>
    </cfRule>
    <cfRule type="cellIs" dxfId="2466" priority="46" operator="lessThan">
      <formula>0</formula>
    </cfRule>
    <cfRule type="cellIs" dxfId="2465" priority="47" operator="lessThan">
      <formula>0</formula>
    </cfRule>
  </conditionalFormatting>
  <conditionalFormatting sqref="E193">
    <cfRule type="cellIs" dxfId="2464" priority="17" operator="lessThan">
      <formula>0</formula>
    </cfRule>
  </conditionalFormatting>
  <conditionalFormatting sqref="E194">
    <cfRule type="cellIs" dxfId="2463" priority="16" operator="lessThan">
      <formula>0</formula>
    </cfRule>
  </conditionalFormatting>
  <conditionalFormatting sqref="W20">
    <cfRule type="cellIs" dxfId="2462" priority="13" operator="lessThan">
      <formula>0</formula>
    </cfRule>
  </conditionalFormatting>
  <conditionalFormatting sqref="V20">
    <cfRule type="cellIs" dxfId="2461" priority="12" operator="lessThan">
      <formula>0</formula>
    </cfRule>
  </conditionalFormatting>
  <conditionalFormatting sqref="E188">
    <cfRule type="cellIs" dxfId="2460" priority="11" operator="lessThan">
      <formula>0</formula>
    </cfRule>
  </conditionalFormatting>
  <conditionalFormatting sqref="E183">
    <cfRule type="cellIs" dxfId="2459" priority="10" operator="lessThan">
      <formula>0</formula>
    </cfRule>
  </conditionalFormatting>
  <conditionalFormatting sqref="E48">
    <cfRule type="cellIs" dxfId="2458" priority="9" operator="lessThan">
      <formula>0</formula>
    </cfRule>
  </conditionalFormatting>
  <conditionalFormatting sqref="E177">
    <cfRule type="cellIs" dxfId="2457" priority="8" operator="lessThan">
      <formula>0</formula>
    </cfRule>
  </conditionalFormatting>
  <conditionalFormatting sqref="E168">
    <cfRule type="cellIs" dxfId="2456" priority="7" operator="lessThan">
      <formula>0</formula>
    </cfRule>
  </conditionalFormatting>
  <conditionalFormatting sqref="E166">
    <cfRule type="cellIs" dxfId="2455" priority="6" operator="lessThan">
      <formula>0</formula>
    </cfRule>
  </conditionalFormatting>
  <conditionalFormatting sqref="E165">
    <cfRule type="cellIs" dxfId="2454" priority="5" operator="lessThan">
      <formula>0</formula>
    </cfRule>
  </conditionalFormatting>
  <conditionalFormatting sqref="E164">
    <cfRule type="cellIs" dxfId="2453" priority="4" operator="lessThan">
      <formula>0</formula>
    </cfRule>
  </conditionalFormatting>
  <conditionalFormatting sqref="E159">
    <cfRule type="cellIs" dxfId="2452" priority="3" operator="lessThan">
      <formula>0</formula>
    </cfRule>
  </conditionalFormatting>
  <conditionalFormatting sqref="E157">
    <cfRule type="cellIs" dxfId="2451" priority="2" operator="lessThan">
      <formula>0</formula>
    </cfRule>
  </conditionalFormatting>
  <conditionalFormatting sqref="E155">
    <cfRule type="cellIs" dxfId="2450" priority="1" operator="lessThan">
      <formula>0</formula>
    </cfRule>
  </conditionalFormatting>
  <dataValidations count="3">
    <dataValidation type="list" allowBlank="1" showInputMessage="1" showErrorMessage="1" sqref="C22 C24:C28 C30:C36 C38:C40 C42:C44 C46 C48 C197:C198 C221:C222 C254:C255 C301:C304 C354:C355 C392:C393 C422:C423 C461 C492:C493 C559:C560 C573:C574 C607 C615:C616 C618:C621 C623:C635" xr:uid="{00000000-0002-0000-0A00-000000000000}">
      <formula1>$I$4:$I$28</formula1>
    </dataValidation>
    <dataValidation type="list" allowBlank="1" showInputMessage="1" showErrorMessage="1" sqref="C3:C18 C23 C29 C45 C47 C49:C51 C54:C56 C66:C67 C69:C76 C943:C978 C980:C1025 C1027:C1085 C1088 C1090:C1145 C1152:C1183 C1186:C1211 C1213:C1221 C1223:C1250 C1252:C1255 C1258:C1262 C1264 C1266:C1267 C1269:C1291 C1293:C1327 C1330:C1341 C1343:C1372 C1374:C1426 C1429:C1463" xr:uid="{00000000-0002-0000-0A00-000001000000}">
      <formula1>$I$5:$I$31</formula1>
    </dataValidation>
    <dataValidation type="list" allowBlank="1" showInputMessage="1" showErrorMessage="1" sqref="C150:C196 C199:C220 C223:C253 C256:C300 C305:C353 C356:C391 C394:C421 C424:C460 C462:C491 C494:C558 C561:C572 C575:C606 C608:C615 C617 C622 C625:C632 C643:C654 C656:C693 C696:C733 C735:C797 C799:C871 C873:C942" xr:uid="{00000000-0002-0000-0A00-000002000000}">
      <formula1>$I$5:$I$30</formula1>
    </dataValidation>
  </dataValidations>
  <pageMargins left="0.25" right="0.25" top="0.75" bottom="0.75" header="0.3" footer="0.3"/>
  <pageSetup paperSize="9" scale="10"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pageSetUpPr fitToPage="1"/>
  </sheetPr>
  <dimension ref="A1:AI587"/>
  <sheetViews>
    <sheetView showZeros="0"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5.46484375" style="426" bestFit="1" customWidth="1"/>
    <col min="5" max="5" width="10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8.86328125" style="426" customWidth="1"/>
    <col min="12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7.86328125" style="426" bestFit="1" customWidth="1"/>
    <col min="27" max="27" width="11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5" width="9.1328125" style="426" customWidth="1"/>
    <col min="36" max="16384" width="9.1328125" style="426"/>
  </cols>
  <sheetData>
    <row r="1" spans="1:35" ht="13.15" customHeight="1" x14ac:dyDescent="0.4">
      <c r="A1" s="418" t="s">
        <v>187</v>
      </c>
      <c r="B1" s="418" t="s">
        <v>1568</v>
      </c>
      <c r="C1" s="418" t="s">
        <v>189</v>
      </c>
      <c r="D1" s="418" t="s">
        <v>191</v>
      </c>
      <c r="E1" s="419" t="s">
        <v>1569</v>
      </c>
      <c r="F1" s="418" t="s">
        <v>1570</v>
      </c>
      <c r="J1" s="45" t="s">
        <v>3</v>
      </c>
      <c r="K1" s="800">
        <f t="shared" ref="K1:V1" si="0">SUM(K27/$W27)</f>
        <v>7.6228883641884779E-2</v>
      </c>
      <c r="L1" s="800">
        <f t="shared" si="0"/>
        <v>8.1990300087879622E-2</v>
      </c>
      <c r="M1" s="800">
        <f t="shared" si="0"/>
        <v>8.860458521206975E-2</v>
      </c>
      <c r="N1" s="800">
        <f t="shared" si="0"/>
        <v>7.226536042761067E-2</v>
      </c>
      <c r="O1" s="800">
        <f t="shared" si="0"/>
        <v>7.3092963334442304E-2</v>
      </c>
      <c r="P1" s="800">
        <f t="shared" si="0"/>
        <v>6.0931325979048316E-2</v>
      </c>
      <c r="Q1" s="800">
        <f t="shared" si="0"/>
        <v>5.3831869222249799E-2</v>
      </c>
      <c r="R1" s="800">
        <f t="shared" si="0"/>
        <v>8.4588929010157354E-2</v>
      </c>
      <c r="S1" s="800">
        <f t="shared" si="0"/>
        <v>0.11074835957446405</v>
      </c>
      <c r="T1" s="800">
        <f t="shared" si="0"/>
        <v>9.8286868203347019E-2</v>
      </c>
      <c r="U1" s="800">
        <f t="shared" si="0"/>
        <v>9.5557079619354265E-2</v>
      </c>
      <c r="V1" s="800">
        <f t="shared" si="0"/>
        <v>0.10387347568749203</v>
      </c>
      <c r="W1" s="431">
        <f>SUM(K1:V1)</f>
        <v>0.99999999999999989</v>
      </c>
      <c r="AD1" s="46" t="s">
        <v>2282</v>
      </c>
      <c r="AE1" s="45" t="s">
        <v>5</v>
      </c>
      <c r="AF1" s="45" t="s">
        <v>6</v>
      </c>
      <c r="AG1" s="45" t="s">
        <v>7</v>
      </c>
      <c r="AH1" s="45" t="s">
        <v>8</v>
      </c>
    </row>
    <row r="2" spans="1:35" ht="13.9" customHeight="1" x14ac:dyDescent="0.4">
      <c r="A2" s="427"/>
      <c r="B2" s="701"/>
      <c r="C2" s="427"/>
      <c r="D2" s="427"/>
      <c r="E2" s="695"/>
      <c r="F2" s="427"/>
      <c r="I2"/>
      <c r="J2" s="647" t="s">
        <v>12</v>
      </c>
      <c r="K2" s="737">
        <f t="shared" ref="K2:V2" si="1">$J17*K1</f>
        <v>5015.8605436360185</v>
      </c>
      <c r="L2" s="737">
        <f t="shared" si="1"/>
        <v>5394.9617457824788</v>
      </c>
      <c r="M2" s="737">
        <f t="shared" si="1"/>
        <v>5830.1817069541894</v>
      </c>
      <c r="N2" s="737">
        <f t="shared" si="1"/>
        <v>4755.0607161367825</v>
      </c>
      <c r="O2" s="737">
        <f t="shared" si="1"/>
        <v>4809.516987406304</v>
      </c>
      <c r="P2" s="737">
        <f t="shared" si="1"/>
        <v>4009.281249421379</v>
      </c>
      <c r="Q2" s="737">
        <f t="shared" si="1"/>
        <v>3542.1369948240367</v>
      </c>
      <c r="R2" s="737">
        <f t="shared" si="1"/>
        <v>5565.9515288683542</v>
      </c>
      <c r="S2" s="737">
        <f t="shared" si="1"/>
        <v>7287.2420599997349</v>
      </c>
      <c r="T2" s="737">
        <f t="shared" si="1"/>
        <v>6467.2759277802343</v>
      </c>
      <c r="U2" s="737">
        <f t="shared" si="1"/>
        <v>6287.6558389535103</v>
      </c>
      <c r="V2" s="737">
        <f t="shared" si="1"/>
        <v>6834.8747002369755</v>
      </c>
      <c r="W2" s="801">
        <f>SUM(K2:V2)</f>
        <v>65800</v>
      </c>
      <c r="AA2" s="559" t="s">
        <v>13</v>
      </c>
      <c r="AB2" s="816">
        <v>12</v>
      </c>
      <c r="AD2" s="48" t="s">
        <v>2283</v>
      </c>
      <c r="AE2" s="683">
        <f t="shared" ref="AE2:AE9" si="2">AF2+AG2</f>
        <v>37519.659999999996</v>
      </c>
      <c r="AF2" s="443">
        <f>SUM(N16:V16)</f>
        <v>37519.659999999996</v>
      </c>
      <c r="AH2" s="445">
        <f t="shared" ref="AH2:AH8" si="3">SUM(AF2-AF3)/AF2</f>
        <v>-0.389614404821366</v>
      </c>
    </row>
    <row r="3" spans="1:35" ht="13.9" customHeight="1" x14ac:dyDescent="0.4">
      <c r="A3" s="427"/>
      <c r="B3" s="701"/>
      <c r="C3" s="427"/>
      <c r="D3" s="427"/>
      <c r="E3" s="695"/>
      <c r="F3" s="427"/>
      <c r="I3"/>
      <c r="J3" s="647"/>
      <c r="K3" s="737"/>
      <c r="L3" s="737"/>
      <c r="M3" s="737"/>
      <c r="N3" s="737"/>
      <c r="O3" s="737"/>
      <c r="P3" s="737"/>
      <c r="Q3" s="737"/>
      <c r="R3" s="737"/>
      <c r="S3" s="737"/>
      <c r="T3" s="737"/>
      <c r="U3" s="737"/>
      <c r="V3" s="737"/>
      <c r="W3" s="801"/>
      <c r="AD3" s="48" t="s">
        <v>1573</v>
      </c>
      <c r="AE3" s="683">
        <f t="shared" si="2"/>
        <v>65182.930000000008</v>
      </c>
      <c r="AF3" s="443">
        <f t="shared" ref="AF3:AF9" si="4">SUM(N19:V19)</f>
        <v>52137.860000000008</v>
      </c>
      <c r="AG3" s="443">
        <f>SUM(K19:M19)</f>
        <v>13045.07</v>
      </c>
      <c r="AH3" s="445">
        <f t="shared" si="3"/>
        <v>0.18366221782021747</v>
      </c>
    </row>
    <row r="4" spans="1:35" ht="13.9" customHeight="1" x14ac:dyDescent="0.4">
      <c r="A4" s="463"/>
      <c r="B4" s="464"/>
      <c r="C4" s="464"/>
      <c r="D4" s="49"/>
      <c r="E4" s="695"/>
      <c r="F4" s="49"/>
      <c r="I4" s="420" t="s">
        <v>140</v>
      </c>
      <c r="J4" s="421" t="s">
        <v>18</v>
      </c>
      <c r="K4" s="577" t="s">
        <v>142</v>
      </c>
      <c r="L4" s="577" t="s">
        <v>143</v>
      </c>
      <c r="M4" s="577" t="s">
        <v>144</v>
      </c>
      <c r="N4" s="577" t="s">
        <v>145</v>
      </c>
      <c r="O4" s="577" t="s">
        <v>146</v>
      </c>
      <c r="P4" s="577" t="s">
        <v>147</v>
      </c>
      <c r="Q4" s="577" t="s">
        <v>148</v>
      </c>
      <c r="R4" s="577" t="s">
        <v>149</v>
      </c>
      <c r="S4" s="577" t="s">
        <v>150</v>
      </c>
      <c r="T4" s="577" t="s">
        <v>151</v>
      </c>
      <c r="U4" s="577" t="s">
        <v>152</v>
      </c>
      <c r="V4" s="577" t="s">
        <v>153</v>
      </c>
      <c r="W4" s="423" t="s">
        <v>19</v>
      </c>
      <c r="X4" s="812" t="s">
        <v>20</v>
      </c>
      <c r="Y4" s="579" t="s">
        <v>21</v>
      </c>
      <c r="Z4" s="580" t="s">
        <v>22</v>
      </c>
      <c r="AA4" s="815" t="s">
        <v>23</v>
      </c>
      <c r="AB4" s="45" t="s">
        <v>24</v>
      </c>
      <c r="AD4" s="48" t="s">
        <v>1574</v>
      </c>
      <c r="AE4" s="683">
        <f t="shared" si="2"/>
        <v>55607.175000000003</v>
      </c>
      <c r="AF4" s="443">
        <f t="shared" si="4"/>
        <v>42562.105000000003</v>
      </c>
      <c r="AG4" s="443">
        <f t="shared" ref="AG4:AG9" si="5">SUM(K19:M19)</f>
        <v>13045.07</v>
      </c>
      <c r="AH4" s="445">
        <f t="shared" si="3"/>
        <v>-0.42231781064399876</v>
      </c>
    </row>
    <row r="5" spans="1:35" ht="13.5" customHeight="1" x14ac:dyDescent="0.35">
      <c r="A5" s="463"/>
      <c r="B5" s="464"/>
      <c r="C5" s="464"/>
      <c r="D5" s="49"/>
      <c r="E5" s="695"/>
      <c r="F5" s="49"/>
      <c r="I5" s="581" t="s">
        <v>28</v>
      </c>
      <c r="J5" s="431">
        <v>1750</v>
      </c>
      <c r="K5" s="432">
        <f>SUMIFS($E$145:$E$587,$A$145:$A$587,"&gt;31/12/2019",$A$145:$A$587,"&lt;1/2/2020",$C$145:$C$587,$I5)</f>
        <v>2526</v>
      </c>
      <c r="L5" s="432">
        <f t="shared" ref="L5:L15" si="6">SUMIFS($E$145:$E$587,$A$145:$A$587,"&gt;31/1/2020",$A$145:$A$587,"&lt;1/3/2020",$C$145:$C$587,$I5)</f>
        <v>1350</v>
      </c>
      <c r="M5" s="432">
        <f t="shared" ref="M5:M15" si="7">SUMIFS($E$145:$E$587,$A$145:$A$587,"&gt;29/2/2020",$A$145:$A$587,"&lt;1/4/2020",$C$145:$C$587,$I5)</f>
        <v>646</v>
      </c>
      <c r="N5" s="432">
        <f t="shared" ref="N5:N15" si="8">SUMIFS($E$145:$E$587,$A$145:$A$587,"&gt;31/3/2020",$A$145:$A$587,"&lt;1/5/2020",$C$145:$C$587,$I5)</f>
        <v>262.5</v>
      </c>
      <c r="O5" s="432">
        <f t="shared" ref="O5:O15" si="9">SUMIFS($E$145:$E$587,$A$145:$A$587,"&gt;30/4/2020",$A$145:$A$587,"&lt;1/6/2020",$C$145:$C$587,$I5)</f>
        <v>129.80000000000001</v>
      </c>
      <c r="P5" s="432">
        <f t="shared" ref="P5:P15" si="10">SUMIFS($E$145:$E$587,$A$145:$A$587,"&gt;31/5/2020",$A$145:$A$587,"&lt;1/7/2020",$C$145:$C$587,$I5)</f>
        <v>103.2</v>
      </c>
      <c r="Q5" s="432">
        <f t="shared" ref="Q5:Q15" si="11">SUMIFS($E$145:$E$587,$A$145:$A$587,"&gt;30/6/2020",$A$145:$A$587,"&lt;1/8/2020",$C$145:$C$587,$I5)</f>
        <v>750</v>
      </c>
      <c r="R5" s="432">
        <f t="shared" ref="R5:R15" si="12">SUMIFS($E$145:$E$587,$A$145:$A$587,"&gt;31/7/2020",$A$145:$A$587,"&lt;1/9/2020",$C$145:$C$587,$I5)</f>
        <v>650</v>
      </c>
      <c r="S5" s="432">
        <f t="shared" ref="S5:S15" si="13">SUMIFS($E$145:$E$587,$A$145:$A$587,"&gt;31/8/2020",$A$145:$A$587,"&lt;1/10/2020",$C$145:$C$587,$I5)</f>
        <v>355</v>
      </c>
      <c r="T5" s="432">
        <f t="shared" ref="T5:T15" si="14">SUMIFS($E$145:$E$587,$A$145:$A$587,"&gt;30/9/2020",$A$145:$A$587,"&lt;1/11/2020",$C$145:$C$587,$I5)</f>
        <v>485</v>
      </c>
      <c r="U5" s="432">
        <f t="shared" ref="U5:U15" si="15">SUMIFS($E$145:$E$587,$A$145:$A$587,"&gt;31/10/2020",$A$145:$A$587,"&lt;1/12/2020",$C$145:$C$587,$I5)</f>
        <v>549.25</v>
      </c>
      <c r="V5" s="432">
        <f t="shared" ref="V5:V13" si="16">SUMIFS($E$145:$E$587,$A$145:$A$587,"&gt;30/11/2020",$A$145:$A$587,"&lt;1/1/2021",$C$145:$C$587,$I5)</f>
        <v>577.5</v>
      </c>
      <c r="W5" s="431">
        <f t="shared" ref="W5:W15" si="17">SUM(K5:V5)</f>
        <v>8384.25</v>
      </c>
      <c r="X5" s="432">
        <f t="shared" ref="X5:X16" si="18">SUM(V5-(J5*12)*(V$1))</f>
        <v>-1603.8429894373326</v>
      </c>
      <c r="Y5" s="432">
        <f t="shared" ref="Y5:Y16" si="19">W5-AA5</f>
        <v>-12615.749999999996</v>
      </c>
      <c r="Z5" s="433">
        <f t="shared" ref="Z5:Z13" si="20">Y5/AA5</f>
        <v>-0.6007499999999999</v>
      </c>
      <c r="AA5" s="814">
        <f t="shared" ref="AA5:AA16" si="21">SUM(J5*12)*(K$1+L$1+M$1+N$1+O$1+P$1+Q$1+R$1+S$1+T$1+U$1+V$1)</f>
        <v>20999.999999999996</v>
      </c>
      <c r="AB5" s="813">
        <f t="shared" ref="AB5:AB16" si="22">W5/$AB$2</f>
        <v>698.6875</v>
      </c>
      <c r="AD5" s="48" t="s">
        <v>2284</v>
      </c>
      <c r="AE5" s="683">
        <f t="shared" si="2"/>
        <v>86576.47</v>
      </c>
      <c r="AF5" s="443">
        <f t="shared" si="4"/>
        <v>60536.84</v>
      </c>
      <c r="AG5" s="443">
        <f t="shared" si="5"/>
        <v>26039.63</v>
      </c>
      <c r="AH5" s="445">
        <f t="shared" si="3"/>
        <v>0.25562682161804279</v>
      </c>
    </row>
    <row r="6" spans="1:35" ht="13.5" customHeight="1" x14ac:dyDescent="0.35">
      <c r="A6" s="693"/>
      <c r="B6" s="693"/>
      <c r="C6" s="693"/>
      <c r="D6" s="49"/>
      <c r="E6" s="695"/>
      <c r="F6" s="49"/>
      <c r="I6" s="581" t="s">
        <v>1274</v>
      </c>
      <c r="J6" s="431">
        <v>2200</v>
      </c>
      <c r="K6" s="432">
        <f t="shared" ref="K6:K15" si="23">SUMIFS(E$145:E$587,A$145:A$587,"&gt;31/12/2019",A$145:A$587,"&lt;1/2/2020",C$145:C$587,I6)</f>
        <v>4096.6000000000004</v>
      </c>
      <c r="L6" s="432">
        <f t="shared" si="6"/>
        <v>1966</v>
      </c>
      <c r="M6" s="432">
        <f t="shared" si="7"/>
        <v>551</v>
      </c>
      <c r="N6" s="432">
        <f t="shared" si="8"/>
        <v>0</v>
      </c>
      <c r="O6" s="432">
        <f t="shared" si="9"/>
        <v>0</v>
      </c>
      <c r="P6" s="432">
        <f t="shared" si="10"/>
        <v>1993.75</v>
      </c>
      <c r="Q6" s="432">
        <f t="shared" si="11"/>
        <v>1187</v>
      </c>
      <c r="R6" s="432">
        <f t="shared" si="12"/>
        <v>2308</v>
      </c>
      <c r="S6" s="432">
        <f t="shared" si="13"/>
        <v>2238</v>
      </c>
      <c r="T6" s="432">
        <f t="shared" si="14"/>
        <v>1683</v>
      </c>
      <c r="U6" s="432">
        <f t="shared" si="15"/>
        <v>866</v>
      </c>
      <c r="V6" s="432">
        <f t="shared" si="16"/>
        <v>249</v>
      </c>
      <c r="W6" s="431">
        <f t="shared" si="17"/>
        <v>17138.349999999999</v>
      </c>
      <c r="X6" s="432">
        <f t="shared" si="18"/>
        <v>-2493.2597581497894</v>
      </c>
      <c r="Y6" s="432">
        <f t="shared" si="19"/>
        <v>-9261.6499999999978</v>
      </c>
      <c r="Z6" s="433">
        <f t="shared" si="20"/>
        <v>-0.35082007575757573</v>
      </c>
      <c r="AA6" s="814">
        <f t="shared" si="21"/>
        <v>26399.999999999996</v>
      </c>
      <c r="AB6" s="813">
        <f t="shared" si="22"/>
        <v>1428.1958333333332</v>
      </c>
      <c r="AD6" s="48" t="s">
        <v>1576</v>
      </c>
      <c r="AE6" s="683">
        <f t="shared" si="2"/>
        <v>61193.33</v>
      </c>
      <c r="AF6" s="443">
        <f t="shared" si="4"/>
        <v>45062</v>
      </c>
      <c r="AG6" s="443">
        <f t="shared" si="5"/>
        <v>16131.33</v>
      </c>
      <c r="AH6" s="445">
        <f t="shared" si="3"/>
        <v>1.2560472238249522E-2</v>
      </c>
    </row>
    <row r="7" spans="1:35" ht="13.5" customHeight="1" x14ac:dyDescent="0.35">
      <c r="A7" s="693"/>
      <c r="B7" s="693"/>
      <c r="C7" s="693"/>
      <c r="D7" s="49"/>
      <c r="E7" s="695"/>
      <c r="F7" s="49"/>
      <c r="I7" s="581" t="s">
        <v>1276</v>
      </c>
      <c r="J7" s="431">
        <v>750</v>
      </c>
      <c r="K7" s="432">
        <f t="shared" si="23"/>
        <v>774.85</v>
      </c>
      <c r="L7" s="432">
        <f t="shared" si="6"/>
        <v>633.75</v>
      </c>
      <c r="M7" s="432">
        <f t="shared" si="7"/>
        <v>2758.75</v>
      </c>
      <c r="N7" s="432">
        <f t="shared" si="8"/>
        <v>283.75</v>
      </c>
      <c r="O7" s="432">
        <f t="shared" si="9"/>
        <v>533.75</v>
      </c>
      <c r="P7" s="432">
        <f t="shared" si="10"/>
        <v>840</v>
      </c>
      <c r="Q7" s="432">
        <f t="shared" si="11"/>
        <v>0</v>
      </c>
      <c r="R7" s="432">
        <f t="shared" si="12"/>
        <v>687.5</v>
      </c>
      <c r="S7" s="432">
        <f t="shared" si="13"/>
        <v>0</v>
      </c>
      <c r="T7" s="432">
        <f t="shared" si="14"/>
        <v>0</v>
      </c>
      <c r="U7" s="432">
        <f t="shared" si="15"/>
        <v>465</v>
      </c>
      <c r="V7" s="432">
        <f t="shared" si="16"/>
        <v>187.5</v>
      </c>
      <c r="W7" s="431">
        <f t="shared" si="17"/>
        <v>7164.85</v>
      </c>
      <c r="X7" s="432">
        <f t="shared" si="18"/>
        <v>-747.36128118742829</v>
      </c>
      <c r="Y7" s="432">
        <f t="shared" si="19"/>
        <v>-1835.1499999999978</v>
      </c>
      <c r="Z7" s="433">
        <f t="shared" si="20"/>
        <v>-0.20390555555555537</v>
      </c>
      <c r="AA7" s="814">
        <f t="shared" si="21"/>
        <v>8999.9999999999982</v>
      </c>
      <c r="AB7" s="813">
        <f t="shared" si="22"/>
        <v>597.07083333333333</v>
      </c>
      <c r="AD7" s="48" t="s">
        <v>1577</v>
      </c>
      <c r="AE7" s="683">
        <f t="shared" si="2"/>
        <v>57074</v>
      </c>
      <c r="AF7" s="443">
        <f t="shared" si="4"/>
        <v>44496</v>
      </c>
      <c r="AG7" s="443">
        <f t="shared" si="5"/>
        <v>12578</v>
      </c>
      <c r="AH7" s="445">
        <f t="shared" si="3"/>
        <v>0.10681859043509528</v>
      </c>
    </row>
    <row r="8" spans="1:35" ht="13.5" customHeight="1" x14ac:dyDescent="0.35">
      <c r="A8" s="693"/>
      <c r="B8" s="693"/>
      <c r="C8" s="464"/>
      <c r="D8" s="49"/>
      <c r="E8" s="695"/>
      <c r="F8" s="49"/>
      <c r="I8" s="581" t="s">
        <v>1277</v>
      </c>
      <c r="J8" s="431">
        <v>-750</v>
      </c>
      <c r="K8" s="432">
        <f t="shared" si="23"/>
        <v>-1154.0999999999999</v>
      </c>
      <c r="L8" s="432">
        <f t="shared" si="6"/>
        <v>0</v>
      </c>
      <c r="M8" s="432">
        <f t="shared" si="7"/>
        <v>0</v>
      </c>
      <c r="N8" s="432">
        <f t="shared" si="8"/>
        <v>0</v>
      </c>
      <c r="O8" s="432">
        <f t="shared" si="9"/>
        <v>0</v>
      </c>
      <c r="P8" s="432">
        <f t="shared" si="10"/>
        <v>-1443.75</v>
      </c>
      <c r="Q8" s="432">
        <f t="shared" si="11"/>
        <v>0</v>
      </c>
      <c r="R8" s="432">
        <f t="shared" si="12"/>
        <v>-800</v>
      </c>
      <c r="S8" s="432">
        <f t="shared" si="13"/>
        <v>0</v>
      </c>
      <c r="T8" s="432">
        <f t="shared" si="14"/>
        <v>0</v>
      </c>
      <c r="U8" s="432">
        <f t="shared" si="15"/>
        <v>0</v>
      </c>
      <c r="V8" s="432">
        <f t="shared" si="16"/>
        <v>0</v>
      </c>
      <c r="W8" s="704">
        <f t="shared" si="17"/>
        <v>-3397.85</v>
      </c>
      <c r="X8" s="432">
        <f t="shared" si="18"/>
        <v>934.86128118742829</v>
      </c>
      <c r="Y8" s="432">
        <f t="shared" si="19"/>
        <v>5602.1499999999978</v>
      </c>
      <c r="Z8" s="433">
        <f t="shared" si="20"/>
        <v>-0.62246111111111102</v>
      </c>
      <c r="AA8" s="814">
        <f t="shared" si="21"/>
        <v>-8999.9999999999982</v>
      </c>
      <c r="AB8" s="813">
        <f t="shared" si="22"/>
        <v>-283.15416666666664</v>
      </c>
      <c r="AD8" s="48" t="s">
        <v>1578</v>
      </c>
      <c r="AE8" s="683">
        <f t="shared" si="2"/>
        <v>54316</v>
      </c>
      <c r="AF8" s="443">
        <f t="shared" si="4"/>
        <v>39743</v>
      </c>
      <c r="AG8" s="443">
        <f t="shared" si="5"/>
        <v>14573</v>
      </c>
      <c r="AH8" s="445">
        <f t="shared" si="3"/>
        <v>0.76363133130362582</v>
      </c>
    </row>
    <row r="9" spans="1:35" ht="13.5" customHeight="1" x14ac:dyDescent="0.35">
      <c r="A9" s="693"/>
      <c r="B9" s="693"/>
      <c r="C9" s="693"/>
      <c r="D9" s="693"/>
      <c r="E9" s="695"/>
      <c r="F9" s="693"/>
      <c r="I9" s="581" t="s">
        <v>1278</v>
      </c>
      <c r="J9" s="431">
        <v>100</v>
      </c>
      <c r="K9" s="432">
        <f t="shared" si="23"/>
        <v>60</v>
      </c>
      <c r="L9" s="432">
        <f t="shared" si="6"/>
        <v>40</v>
      </c>
      <c r="M9" s="432">
        <f t="shared" si="7"/>
        <v>80</v>
      </c>
      <c r="N9" s="432">
        <f t="shared" si="8"/>
        <v>100</v>
      </c>
      <c r="O9" s="432">
        <f t="shared" si="9"/>
        <v>80</v>
      </c>
      <c r="P9" s="432">
        <f t="shared" si="10"/>
        <v>60</v>
      </c>
      <c r="Q9" s="432">
        <f t="shared" si="11"/>
        <v>60</v>
      </c>
      <c r="R9" s="432">
        <f t="shared" si="12"/>
        <v>40</v>
      </c>
      <c r="S9" s="432">
        <f t="shared" si="13"/>
        <v>640</v>
      </c>
      <c r="T9" s="432">
        <f t="shared" si="14"/>
        <v>260</v>
      </c>
      <c r="U9" s="432">
        <f t="shared" si="15"/>
        <v>80</v>
      </c>
      <c r="V9" s="432">
        <f t="shared" si="16"/>
        <v>80</v>
      </c>
      <c r="W9" s="431">
        <f t="shared" si="17"/>
        <v>1580</v>
      </c>
      <c r="X9" s="432">
        <f t="shared" si="18"/>
        <v>-44.64817082499043</v>
      </c>
      <c r="Y9" s="432">
        <f t="shared" si="19"/>
        <v>380.00000000000023</v>
      </c>
      <c r="Z9" s="433">
        <f t="shared" si="20"/>
        <v>0.31666666666666693</v>
      </c>
      <c r="AA9" s="814">
        <f t="shared" si="21"/>
        <v>1199.9999999999998</v>
      </c>
      <c r="AB9" s="813">
        <f t="shared" si="22"/>
        <v>131.66666666666666</v>
      </c>
      <c r="AD9" s="48" t="s">
        <v>1579</v>
      </c>
      <c r="AE9" s="683">
        <f t="shared" si="2"/>
        <v>20273</v>
      </c>
      <c r="AF9" s="443">
        <f t="shared" si="4"/>
        <v>9394</v>
      </c>
      <c r="AG9" s="443">
        <f t="shared" si="5"/>
        <v>10879</v>
      </c>
      <c r="AH9" s="445"/>
    </row>
    <row r="10" spans="1:35" ht="13.5" customHeight="1" x14ac:dyDescent="0.35">
      <c r="A10" s="463">
        <v>43605</v>
      </c>
      <c r="B10" s="464" t="s">
        <v>2285</v>
      </c>
      <c r="C10" s="464" t="s">
        <v>123</v>
      </c>
      <c r="D10" s="463">
        <v>43605</v>
      </c>
      <c r="E10" s="465">
        <v>250</v>
      </c>
      <c r="F10" s="45" t="s">
        <v>2286</v>
      </c>
      <c r="I10" s="582" t="s">
        <v>1279</v>
      </c>
      <c r="J10" s="431">
        <v>1000</v>
      </c>
      <c r="K10" s="432">
        <f t="shared" si="23"/>
        <v>1244.5</v>
      </c>
      <c r="L10" s="432">
        <f t="shared" si="6"/>
        <v>785</v>
      </c>
      <c r="M10" s="432">
        <f t="shared" si="7"/>
        <v>50</v>
      </c>
      <c r="N10" s="432">
        <f t="shared" si="8"/>
        <v>825</v>
      </c>
      <c r="O10" s="432">
        <f t="shared" si="9"/>
        <v>600</v>
      </c>
      <c r="P10" s="432">
        <f t="shared" si="10"/>
        <v>4970</v>
      </c>
      <c r="Q10" s="432">
        <f t="shared" si="11"/>
        <v>720</v>
      </c>
      <c r="R10" s="432">
        <f t="shared" si="12"/>
        <v>8465</v>
      </c>
      <c r="S10" s="432">
        <f t="shared" si="13"/>
        <v>545</v>
      </c>
      <c r="T10" s="432">
        <f t="shared" si="14"/>
        <v>70</v>
      </c>
      <c r="U10" s="432">
        <f t="shared" si="15"/>
        <v>625</v>
      </c>
      <c r="V10" s="432">
        <f t="shared" si="16"/>
        <v>205</v>
      </c>
      <c r="W10" s="431">
        <f t="shared" si="17"/>
        <v>19104.5</v>
      </c>
      <c r="X10" s="432">
        <f t="shared" si="18"/>
        <v>-1041.4817082499044</v>
      </c>
      <c r="Y10" s="432">
        <f t="shared" si="19"/>
        <v>7104.5000000000018</v>
      </c>
      <c r="Z10" s="433">
        <f t="shared" si="20"/>
        <v>0.59204166666666691</v>
      </c>
      <c r="AA10" s="814">
        <f t="shared" si="21"/>
        <v>11999.999999999998</v>
      </c>
      <c r="AB10" s="813">
        <f t="shared" si="22"/>
        <v>1592.0416666666667</v>
      </c>
    </row>
    <row r="11" spans="1:35" ht="13.5" customHeight="1" x14ac:dyDescent="0.35">
      <c r="A11" s="463"/>
      <c r="B11" s="464"/>
      <c r="C11" s="464"/>
      <c r="D11" s="463"/>
      <c r="E11" s="465"/>
      <c r="F11" s="45"/>
      <c r="I11" s="582" t="s">
        <v>1280</v>
      </c>
      <c r="J11" s="431">
        <v>200</v>
      </c>
      <c r="K11" s="432">
        <f t="shared" si="23"/>
        <v>300</v>
      </c>
      <c r="L11" s="432">
        <f t="shared" si="6"/>
        <v>475</v>
      </c>
      <c r="M11" s="432">
        <f t="shared" si="7"/>
        <v>655</v>
      </c>
      <c r="N11" s="432">
        <f t="shared" si="8"/>
        <v>125</v>
      </c>
      <c r="O11" s="432">
        <f t="shared" si="9"/>
        <v>125</v>
      </c>
      <c r="P11" s="432">
        <f t="shared" si="10"/>
        <v>0</v>
      </c>
      <c r="Q11" s="432">
        <f t="shared" si="11"/>
        <v>0</v>
      </c>
      <c r="R11" s="432">
        <f t="shared" si="12"/>
        <v>0</v>
      </c>
      <c r="S11" s="432">
        <f t="shared" si="13"/>
        <v>0</v>
      </c>
      <c r="T11" s="432">
        <f t="shared" si="14"/>
        <v>0</v>
      </c>
      <c r="U11" s="432">
        <f t="shared" si="15"/>
        <v>610</v>
      </c>
      <c r="V11" s="432">
        <f t="shared" si="16"/>
        <v>1775</v>
      </c>
      <c r="W11" s="431">
        <f t="shared" si="17"/>
        <v>4065</v>
      </c>
      <c r="X11" s="432">
        <f t="shared" si="18"/>
        <v>1525.7036583500192</v>
      </c>
      <c r="Y11" s="432">
        <f t="shared" si="19"/>
        <v>1665.0000000000005</v>
      </c>
      <c r="Z11" s="433">
        <f t="shared" si="20"/>
        <v>0.69375000000000031</v>
      </c>
      <c r="AA11" s="814">
        <f t="shared" si="21"/>
        <v>2399.9999999999995</v>
      </c>
      <c r="AB11" s="813">
        <f t="shared" si="22"/>
        <v>338.75</v>
      </c>
    </row>
    <row r="12" spans="1:35" ht="13.5" customHeight="1" x14ac:dyDescent="0.35">
      <c r="A12" s="463"/>
      <c r="B12" s="464"/>
      <c r="C12" s="464"/>
      <c r="D12" s="463"/>
      <c r="E12" s="465"/>
      <c r="F12" s="45"/>
      <c r="I12" s="582" t="s">
        <v>1281</v>
      </c>
      <c r="J12" s="431">
        <f>-2000/12</f>
        <v>-166.66666666666666</v>
      </c>
      <c r="K12" s="432">
        <f t="shared" si="23"/>
        <v>-200</v>
      </c>
      <c r="L12" s="432">
        <f t="shared" si="6"/>
        <v>-475</v>
      </c>
      <c r="M12" s="432">
        <f t="shared" si="7"/>
        <v>-135</v>
      </c>
      <c r="N12" s="432">
        <f t="shared" si="8"/>
        <v>0</v>
      </c>
      <c r="O12" s="432">
        <f t="shared" si="9"/>
        <v>0</v>
      </c>
      <c r="P12" s="432">
        <f t="shared" si="10"/>
        <v>0</v>
      </c>
      <c r="Q12" s="432">
        <f t="shared" si="11"/>
        <v>-50</v>
      </c>
      <c r="R12" s="432">
        <f t="shared" si="12"/>
        <v>0</v>
      </c>
      <c r="S12" s="432">
        <f t="shared" si="13"/>
        <v>-65</v>
      </c>
      <c r="T12" s="432">
        <f t="shared" si="14"/>
        <v>-300</v>
      </c>
      <c r="U12" s="432">
        <f t="shared" si="15"/>
        <v>0</v>
      </c>
      <c r="V12" s="432">
        <f t="shared" si="16"/>
        <v>-150</v>
      </c>
      <c r="W12" s="431">
        <f t="shared" si="17"/>
        <v>-1375</v>
      </c>
      <c r="X12" s="432">
        <f t="shared" si="18"/>
        <v>57.746951374984064</v>
      </c>
      <c r="Y12" s="432">
        <f t="shared" si="19"/>
        <v>624.99999999999977</v>
      </c>
      <c r="Z12" s="433">
        <f t="shared" si="20"/>
        <v>-0.31249999999999994</v>
      </c>
      <c r="AA12" s="814">
        <f t="shared" si="21"/>
        <v>-1999.9999999999998</v>
      </c>
      <c r="AB12" s="813">
        <f t="shared" si="22"/>
        <v>-114.58333333333333</v>
      </c>
    </row>
    <row r="13" spans="1:35" ht="13.5" customHeight="1" x14ac:dyDescent="0.35">
      <c r="A13" s="463">
        <v>43772</v>
      </c>
      <c r="B13" s="464" t="s">
        <v>2287</v>
      </c>
      <c r="C13" s="464" t="s">
        <v>123</v>
      </c>
      <c r="D13" s="463"/>
      <c r="E13" s="465">
        <v>500</v>
      </c>
      <c r="F13" s="45" t="s">
        <v>2288</v>
      </c>
      <c r="I13" s="582" t="s">
        <v>1282</v>
      </c>
      <c r="J13" s="431">
        <f>3000/12</f>
        <v>250</v>
      </c>
      <c r="K13" s="432">
        <f t="shared" si="23"/>
        <v>0</v>
      </c>
      <c r="L13" s="432">
        <f t="shared" si="6"/>
        <v>251.89</v>
      </c>
      <c r="M13" s="432">
        <f t="shared" si="7"/>
        <v>175.29692307692306</v>
      </c>
      <c r="N13" s="432">
        <f t="shared" si="8"/>
        <v>0</v>
      </c>
      <c r="O13" s="432">
        <f t="shared" si="9"/>
        <v>293.11</v>
      </c>
      <c r="P13" s="432">
        <f t="shared" si="10"/>
        <v>328.72</v>
      </c>
      <c r="Q13" s="432">
        <f t="shared" si="11"/>
        <v>0</v>
      </c>
      <c r="R13" s="432">
        <f t="shared" si="12"/>
        <v>343.57</v>
      </c>
      <c r="S13" s="432">
        <f t="shared" si="13"/>
        <v>413.62</v>
      </c>
      <c r="T13" s="432">
        <f t="shared" si="14"/>
        <v>225.69</v>
      </c>
      <c r="U13" s="432">
        <f t="shared" si="15"/>
        <v>129.53</v>
      </c>
      <c r="V13" s="432">
        <f t="shared" si="16"/>
        <v>111.07</v>
      </c>
      <c r="W13" s="431">
        <f t="shared" si="17"/>
        <v>2272.4969230769234</v>
      </c>
      <c r="X13" s="432">
        <f t="shared" si="18"/>
        <v>-200.5504270624761</v>
      </c>
      <c r="Y13" s="432">
        <f t="shared" si="19"/>
        <v>-727.50307692307615</v>
      </c>
      <c r="Z13" s="433">
        <f t="shared" si="20"/>
        <v>-0.24250102564102541</v>
      </c>
      <c r="AA13" s="814">
        <f t="shared" si="21"/>
        <v>2999.9999999999995</v>
      </c>
      <c r="AB13" s="813">
        <f t="shared" si="22"/>
        <v>189.37474358974362</v>
      </c>
    </row>
    <row r="14" spans="1:35" ht="13.5" customHeight="1" x14ac:dyDescent="0.35">
      <c r="A14" s="463">
        <v>43768</v>
      </c>
      <c r="B14" s="464" t="s">
        <v>2289</v>
      </c>
      <c r="C14" s="464" t="s">
        <v>123</v>
      </c>
      <c r="D14" s="463">
        <v>43845</v>
      </c>
      <c r="E14" s="465">
        <v>250</v>
      </c>
      <c r="F14" s="45" t="s">
        <v>1180</v>
      </c>
      <c r="I14" s="582" t="s">
        <v>1283</v>
      </c>
      <c r="J14" s="431">
        <f>1200/12</f>
        <v>100</v>
      </c>
      <c r="K14" s="432">
        <f t="shared" si="23"/>
        <v>0</v>
      </c>
      <c r="L14" s="432">
        <f t="shared" si="6"/>
        <v>0</v>
      </c>
      <c r="M14" s="432">
        <f t="shared" si="7"/>
        <v>0</v>
      </c>
      <c r="N14" s="432">
        <f t="shared" si="8"/>
        <v>0</v>
      </c>
      <c r="O14" s="432">
        <f t="shared" si="9"/>
        <v>0</v>
      </c>
      <c r="P14" s="432">
        <f t="shared" si="10"/>
        <v>0</v>
      </c>
      <c r="Q14" s="432">
        <f t="shared" si="11"/>
        <v>0</v>
      </c>
      <c r="R14" s="432">
        <f t="shared" si="12"/>
        <v>0</v>
      </c>
      <c r="S14" s="432">
        <f t="shared" si="13"/>
        <v>0</v>
      </c>
      <c r="T14" s="432">
        <f t="shared" si="14"/>
        <v>0</v>
      </c>
      <c r="U14" s="432">
        <f t="shared" si="15"/>
        <v>0</v>
      </c>
      <c r="V14" s="432">
        <v>1</v>
      </c>
      <c r="W14" s="431">
        <f t="shared" si="17"/>
        <v>1</v>
      </c>
      <c r="X14" s="432">
        <f t="shared" si="18"/>
        <v>-123.64817082499043</v>
      </c>
      <c r="Y14" s="432">
        <f t="shared" si="19"/>
        <v>-1198.9999999999998</v>
      </c>
      <c r="Z14" s="433"/>
      <c r="AA14" s="814">
        <f t="shared" si="21"/>
        <v>1199.9999999999998</v>
      </c>
      <c r="AB14" s="813">
        <f t="shared" si="22"/>
        <v>8.3333333333333329E-2</v>
      </c>
    </row>
    <row r="15" spans="1:35" ht="13.5" customHeight="1" x14ac:dyDescent="0.35">
      <c r="A15" s="463">
        <v>43647</v>
      </c>
      <c r="B15" s="464" t="s">
        <v>1805</v>
      </c>
      <c r="C15" s="464" t="s">
        <v>123</v>
      </c>
      <c r="E15" s="465">
        <v>0</v>
      </c>
      <c r="F15" s="49"/>
      <c r="I15" s="582" t="s">
        <v>1284</v>
      </c>
      <c r="J15" s="431">
        <v>50</v>
      </c>
      <c r="K15" s="432">
        <f t="shared" si="23"/>
        <v>0</v>
      </c>
      <c r="L15" s="432">
        <f t="shared" si="6"/>
        <v>25</v>
      </c>
      <c r="M15" s="432">
        <f t="shared" si="7"/>
        <v>2.7</v>
      </c>
      <c r="N15" s="432">
        <f t="shared" si="8"/>
        <v>2.1</v>
      </c>
      <c r="O15" s="432">
        <f t="shared" si="9"/>
        <v>25</v>
      </c>
      <c r="P15" s="432">
        <f t="shared" si="10"/>
        <v>2.7</v>
      </c>
      <c r="Q15" s="432">
        <f t="shared" si="11"/>
        <v>0</v>
      </c>
      <c r="R15" s="432">
        <f t="shared" si="12"/>
        <v>0</v>
      </c>
      <c r="S15" s="432">
        <f t="shared" si="13"/>
        <v>0</v>
      </c>
      <c r="T15" s="432">
        <f t="shared" si="14"/>
        <v>0</v>
      </c>
      <c r="U15" s="432">
        <f t="shared" si="15"/>
        <v>7.8000000000000007</v>
      </c>
      <c r="V15" s="432">
        <f>SUMIFS($E$145:$E$587,$A$145:$A$587,"&gt;30/11/2020",$A$145:$A$587,"&lt;1/1/2021",$C$145:$C$587,$I15)</f>
        <v>0</v>
      </c>
      <c r="W15" s="431">
        <f t="shared" si="17"/>
        <v>65.3</v>
      </c>
      <c r="X15" s="432">
        <f t="shared" si="18"/>
        <v>-62.324085412495215</v>
      </c>
      <c r="Y15" s="432">
        <f t="shared" si="19"/>
        <v>-534.69999999999993</v>
      </c>
      <c r="Z15" s="433">
        <f>Y15/AA15</f>
        <v>-0.89116666666666677</v>
      </c>
      <c r="AA15" s="814">
        <f t="shared" si="21"/>
        <v>599.99999999999989</v>
      </c>
      <c r="AB15" s="813">
        <f t="shared" si="22"/>
        <v>5.4416666666666664</v>
      </c>
    </row>
    <row r="16" spans="1:35" ht="15.75" customHeight="1" thickBot="1" x14ac:dyDescent="0.45">
      <c r="A16" s="427"/>
      <c r="B16" s="427"/>
      <c r="C16" s="427"/>
      <c r="E16" s="751"/>
      <c r="F16" s="763"/>
      <c r="I16" s="437" t="s">
        <v>63</v>
      </c>
      <c r="J16" s="778">
        <f t="shared" ref="J16:W16" si="24">SUM(J5:J15)</f>
        <v>5483.333333333333</v>
      </c>
      <c r="K16" s="439">
        <f t="shared" si="24"/>
        <v>7647.85</v>
      </c>
      <c r="L16" s="439">
        <f t="shared" si="24"/>
        <v>5051.6400000000003</v>
      </c>
      <c r="M16" s="439">
        <f t="shared" si="24"/>
        <v>4783.7469230769229</v>
      </c>
      <c r="N16" s="439">
        <f t="shared" si="24"/>
        <v>1598.35</v>
      </c>
      <c r="O16" s="439">
        <f t="shared" si="24"/>
        <v>1786.6599999999999</v>
      </c>
      <c r="P16" s="439">
        <f t="shared" si="24"/>
        <v>6854.62</v>
      </c>
      <c r="Q16" s="439">
        <f t="shared" si="24"/>
        <v>2667</v>
      </c>
      <c r="R16" s="439">
        <f t="shared" si="24"/>
        <v>11694.07</v>
      </c>
      <c r="S16" s="439">
        <f t="shared" si="24"/>
        <v>4126.62</v>
      </c>
      <c r="T16" s="439">
        <f t="shared" si="24"/>
        <v>2423.69</v>
      </c>
      <c r="U16" s="439">
        <f t="shared" si="24"/>
        <v>3332.5800000000004</v>
      </c>
      <c r="V16" s="439">
        <f t="shared" si="24"/>
        <v>3036.07</v>
      </c>
      <c r="W16" s="438">
        <f t="shared" si="24"/>
        <v>55002.896923076922</v>
      </c>
      <c r="X16" s="432">
        <f t="shared" si="18"/>
        <v>-3798.8047002369753</v>
      </c>
      <c r="Y16" s="820">
        <f t="shared" si="19"/>
        <v>-10797.103076923064</v>
      </c>
      <c r="Z16" s="833">
        <f>Y16/AA16</f>
        <v>-0.16408971241524417</v>
      </c>
      <c r="AA16" s="814">
        <f t="shared" si="21"/>
        <v>65799.999999999985</v>
      </c>
      <c r="AB16" s="834">
        <f t="shared" si="22"/>
        <v>4583.5747435897438</v>
      </c>
      <c r="AD16" s="469" t="s">
        <v>70</v>
      </c>
      <c r="AE16" s="469" t="s">
        <v>71</v>
      </c>
      <c r="AF16" s="469" t="s">
        <v>72</v>
      </c>
      <c r="AG16" s="469" t="s">
        <v>73</v>
      </c>
      <c r="AH16" s="469" t="s">
        <v>74</v>
      </c>
      <c r="AI16" s="469" t="s">
        <v>75</v>
      </c>
    </row>
    <row r="17" spans="1:35" ht="13.9" customHeight="1" x14ac:dyDescent="0.4">
      <c r="A17" s="427"/>
      <c r="B17" s="427"/>
      <c r="C17" s="427"/>
      <c r="D17" s="463"/>
      <c r="E17" s="751"/>
      <c r="F17" s="763"/>
      <c r="J17" s="441">
        <f>J16*12</f>
        <v>65800</v>
      </c>
      <c r="K17" s="671">
        <f t="shared" ref="K17:V17" si="25">K16/K2</f>
        <v>1.5247333799388374</v>
      </c>
      <c r="L17" s="671">
        <f t="shared" si="25"/>
        <v>0.93636252452561486</v>
      </c>
      <c r="M17" s="671">
        <f t="shared" si="25"/>
        <v>0.82051420753677573</v>
      </c>
      <c r="N17" s="671">
        <f t="shared" si="25"/>
        <v>0.33613661221524188</v>
      </c>
      <c r="O17" s="671">
        <f t="shared" si="25"/>
        <v>0.37148428931187061</v>
      </c>
      <c r="P17" s="671">
        <f t="shared" si="25"/>
        <v>1.709687989833405</v>
      </c>
      <c r="Q17" s="671">
        <f t="shared" si="25"/>
        <v>0.75293530540946485</v>
      </c>
      <c r="R17" s="671">
        <f t="shared" si="25"/>
        <v>2.1010010488498789</v>
      </c>
      <c r="S17" s="671">
        <f t="shared" si="25"/>
        <v>0.56628007770612609</v>
      </c>
      <c r="T17" s="671">
        <f t="shared" si="25"/>
        <v>0.37476211422942707</v>
      </c>
      <c r="U17" s="671">
        <f t="shared" si="25"/>
        <v>0.53001946756593799</v>
      </c>
      <c r="V17" s="671">
        <f t="shared" si="25"/>
        <v>0.44420272984590853</v>
      </c>
      <c r="W17" s="671">
        <f>W16/AA16</f>
        <v>0.83591028758475583</v>
      </c>
      <c r="X17" s="583"/>
      <c r="Y17" s="832"/>
      <c r="AB17" s="445"/>
    </row>
    <row r="18" spans="1:35" ht="13.9" customHeight="1" x14ac:dyDescent="0.4">
      <c r="A18" s="463"/>
      <c r="J18" s="441"/>
      <c r="K18" s="441"/>
      <c r="L18" s="441"/>
      <c r="M18" s="441"/>
      <c r="N18" s="441"/>
      <c r="O18" s="441"/>
      <c r="P18" s="441"/>
      <c r="Q18" s="441"/>
      <c r="R18" s="441"/>
      <c r="S18" s="441"/>
      <c r="T18" s="441"/>
      <c r="U18" s="441"/>
      <c r="V18" s="441"/>
      <c r="W18" s="441"/>
      <c r="X18" s="583"/>
      <c r="Y18" s="585"/>
      <c r="Z18" s="45" t="s">
        <v>84</v>
      </c>
      <c r="AB18" s="817">
        <f>SUM(P16+Q16+R16+S16+T16+U16)/6</f>
        <v>5183.0966666666664</v>
      </c>
    </row>
    <row r="19" spans="1:35" ht="13.9" customHeight="1" x14ac:dyDescent="0.4">
      <c r="A19" s="427">
        <v>43787</v>
      </c>
      <c r="B19" s="427" t="s">
        <v>2290</v>
      </c>
      <c r="C19" s="427" t="s">
        <v>65</v>
      </c>
      <c r="E19" s="751">
        <v>100</v>
      </c>
      <c r="F19" s="763" t="s">
        <v>2291</v>
      </c>
      <c r="G19" s="427"/>
      <c r="I19" s="541" t="s">
        <v>109</v>
      </c>
      <c r="J19" s="584" t="s">
        <v>43</v>
      </c>
      <c r="K19" s="558">
        <v>5891.07</v>
      </c>
      <c r="L19" s="558">
        <v>2739.5</v>
      </c>
      <c r="M19" s="558">
        <v>4414.5</v>
      </c>
      <c r="N19" s="558">
        <v>5147.5</v>
      </c>
      <c r="O19" s="558">
        <v>6878</v>
      </c>
      <c r="P19" s="558">
        <v>4875.34</v>
      </c>
      <c r="Q19" s="558">
        <v>5769.97</v>
      </c>
      <c r="R19" s="558">
        <v>7463.89</v>
      </c>
      <c r="S19" s="558">
        <v>6034.39</v>
      </c>
      <c r="T19" s="558">
        <v>4573.58</v>
      </c>
      <c r="U19" s="558">
        <v>5973.75</v>
      </c>
      <c r="V19" s="558">
        <v>5421.4400000000014</v>
      </c>
      <c r="W19" s="431">
        <f t="shared" ref="W19:W25" si="26">SUM(K19:V19)</f>
        <v>65182.93</v>
      </c>
      <c r="X19" s="583">
        <f t="shared" ref="X19:X24" si="27">W19-W20</f>
        <v>-3418.8049999999857</v>
      </c>
      <c r="Y19" s="585">
        <f t="shared" ref="Y19:Y24" si="28">X19/W20</f>
        <v>-4.983554716218163E-2</v>
      </c>
      <c r="Z19" s="45" t="s">
        <v>110</v>
      </c>
      <c r="AB19" s="817">
        <f>SUM(K16+L16+M16+N16+O16+P16)/6</f>
        <v>4620.4778205128205</v>
      </c>
    </row>
    <row r="20" spans="1:35" ht="13.9" customHeight="1" x14ac:dyDescent="0.4">
      <c r="A20" s="427"/>
      <c r="B20" s="427"/>
      <c r="C20" s="427"/>
      <c r="E20" s="751"/>
      <c r="F20" s="763"/>
      <c r="I20" s="541" t="s">
        <v>115</v>
      </c>
      <c r="J20" s="45" t="s">
        <v>46</v>
      </c>
      <c r="K20" s="558">
        <v>8277.4700000000012</v>
      </c>
      <c r="L20" s="558">
        <v>10607.11</v>
      </c>
      <c r="M20" s="558">
        <v>7155.05</v>
      </c>
      <c r="N20" s="558">
        <v>4371.0150000000003</v>
      </c>
      <c r="O20" s="558">
        <v>4002.63</v>
      </c>
      <c r="P20" s="558">
        <v>3243.6</v>
      </c>
      <c r="Q20" s="558">
        <v>2859.03</v>
      </c>
      <c r="R20" s="558">
        <v>4792.59</v>
      </c>
      <c r="S20" s="558">
        <v>6443.88</v>
      </c>
      <c r="T20" s="558">
        <v>3908.03</v>
      </c>
      <c r="U20" s="558">
        <v>8299.08</v>
      </c>
      <c r="V20" s="558">
        <v>4642.25</v>
      </c>
      <c r="W20" s="431">
        <f t="shared" si="26"/>
        <v>68601.734999999986</v>
      </c>
      <c r="X20" s="583">
        <f t="shared" si="27"/>
        <v>-8066.4350000000122</v>
      </c>
      <c r="Y20" s="585">
        <f t="shared" si="28"/>
        <v>-0.10521230648912075</v>
      </c>
      <c r="AB20" s="445">
        <f>SUM(AB18-AB19)/AB18</f>
        <v>0.10854878508674916</v>
      </c>
      <c r="AD20" s="470">
        <v>42937</v>
      </c>
      <c r="AE20" s="471" t="s">
        <v>1807</v>
      </c>
      <c r="AF20" s="471" t="s">
        <v>1808</v>
      </c>
      <c r="AG20" s="472">
        <v>146746</v>
      </c>
      <c r="AH20" s="473">
        <v>200</v>
      </c>
      <c r="AI20" s="474" t="s">
        <v>1775</v>
      </c>
    </row>
    <row r="21" spans="1:35" ht="13.9" customHeight="1" x14ac:dyDescent="0.4">
      <c r="A21" s="427"/>
      <c r="B21" s="427"/>
      <c r="C21" s="427"/>
      <c r="E21" s="751"/>
      <c r="F21" s="763"/>
      <c r="I21" s="440" t="s">
        <v>116</v>
      </c>
      <c r="J21" s="45" t="s">
        <v>49</v>
      </c>
      <c r="K21" s="558">
        <v>3203.5</v>
      </c>
      <c r="L21" s="558">
        <v>6685</v>
      </c>
      <c r="M21" s="558">
        <v>6242.83</v>
      </c>
      <c r="N21" s="558">
        <v>6063.17</v>
      </c>
      <c r="O21" s="558">
        <v>5851.71</v>
      </c>
      <c r="P21" s="558">
        <v>5479.93</v>
      </c>
      <c r="Q21" s="558">
        <v>3603.81</v>
      </c>
      <c r="R21" s="558">
        <v>4658.8500000000004</v>
      </c>
      <c r="S21" s="558">
        <v>10821.67</v>
      </c>
      <c r="T21" s="558">
        <v>9224.58</v>
      </c>
      <c r="U21" s="558">
        <v>10504.09</v>
      </c>
      <c r="V21" s="558">
        <v>4329.0300000000007</v>
      </c>
      <c r="W21" s="431">
        <f t="shared" si="26"/>
        <v>76668.17</v>
      </c>
      <c r="X21" s="583">
        <f t="shared" si="27"/>
        <v>19028.169999999998</v>
      </c>
      <c r="Y21" s="585">
        <f t="shared" si="28"/>
        <v>0.3301209229701596</v>
      </c>
      <c r="AA21" s="559" t="s">
        <v>1038</v>
      </c>
      <c r="AB21" s="831">
        <f>SUM(K16:T16)+(AB16*2)</f>
        <v>57801.396410256413</v>
      </c>
      <c r="AD21" s="470">
        <v>42941</v>
      </c>
      <c r="AE21" s="471" t="s">
        <v>1809</v>
      </c>
      <c r="AF21" s="471" t="s">
        <v>1810</v>
      </c>
      <c r="AG21" s="472">
        <v>146833</v>
      </c>
      <c r="AH21" s="473">
        <v>200</v>
      </c>
      <c r="AI21" s="474" t="s">
        <v>1775</v>
      </c>
    </row>
    <row r="22" spans="1:35" ht="13.9" customHeight="1" x14ac:dyDescent="0.4">
      <c r="A22" s="463"/>
      <c r="B22" s="427" t="s">
        <v>2292</v>
      </c>
      <c r="C22" s="427"/>
      <c r="E22" s="751">
        <f>395-225-100</f>
        <v>70</v>
      </c>
      <c r="F22" s="763" t="s">
        <v>1058</v>
      </c>
      <c r="I22" s="440" t="s">
        <v>117</v>
      </c>
      <c r="J22" s="584" t="s">
        <v>52</v>
      </c>
      <c r="K22" s="434">
        <v>4537</v>
      </c>
      <c r="L22" s="434">
        <f>4583-264</f>
        <v>4319</v>
      </c>
      <c r="M22" s="558">
        <f>3935-213</f>
        <v>3722</v>
      </c>
      <c r="N22" s="558">
        <f>4947-396</f>
        <v>4551</v>
      </c>
      <c r="O22" s="558">
        <f>3911-293</f>
        <v>3618</v>
      </c>
      <c r="P22" s="558">
        <f>2992-213</f>
        <v>2779</v>
      </c>
      <c r="Q22" s="558">
        <f>2927-218</f>
        <v>2709</v>
      </c>
      <c r="R22" s="558">
        <f>7466-213</f>
        <v>7253</v>
      </c>
      <c r="S22" s="558">
        <f>4218-425</f>
        <v>3793</v>
      </c>
      <c r="T22" s="558">
        <f>10697-213</f>
        <v>10484</v>
      </c>
      <c r="U22" s="558">
        <f>5081-213</f>
        <v>4868</v>
      </c>
      <c r="V22" s="558">
        <f>5220-213</f>
        <v>5007</v>
      </c>
      <c r="W22" s="431">
        <f t="shared" si="26"/>
        <v>57640</v>
      </c>
      <c r="X22" s="583">
        <f t="shared" si="27"/>
        <v>-1429</v>
      </c>
      <c r="Y22" s="585">
        <f t="shared" si="28"/>
        <v>-2.4192046589581677E-2</v>
      </c>
      <c r="Z22" s="445"/>
      <c r="AA22" s="771"/>
      <c r="AB22" s="799"/>
      <c r="AD22" s="470">
        <v>42947</v>
      </c>
      <c r="AE22" s="471" t="s">
        <v>1811</v>
      </c>
      <c r="AF22" s="471" t="s">
        <v>1812</v>
      </c>
      <c r="AG22" s="472">
        <v>146978</v>
      </c>
      <c r="AH22" s="473">
        <v>135</v>
      </c>
      <c r="AI22" s="474" t="s">
        <v>1375</v>
      </c>
    </row>
    <row r="23" spans="1:35" ht="14.25" customHeight="1" x14ac:dyDescent="0.45">
      <c r="A23" s="463"/>
      <c r="B23" s="464"/>
      <c r="C23" s="464"/>
      <c r="E23" s="465"/>
      <c r="F23" s="462"/>
      <c r="I23" s="440" t="s">
        <v>118</v>
      </c>
      <c r="J23" s="45" t="s">
        <v>55</v>
      </c>
      <c r="K23" s="434">
        <v>3710</v>
      </c>
      <c r="L23" s="434">
        <v>3750</v>
      </c>
      <c r="M23" s="828">
        <v>7113</v>
      </c>
      <c r="N23" s="558">
        <f>3928-213</f>
        <v>3715</v>
      </c>
      <c r="O23" s="558">
        <f>2501-213</f>
        <v>2288</v>
      </c>
      <c r="P23" s="558">
        <f>3468-213</f>
        <v>3255</v>
      </c>
      <c r="Q23" s="558">
        <f>1986-224</f>
        <v>1762</v>
      </c>
      <c r="R23" s="558">
        <f>4145-212</f>
        <v>3933</v>
      </c>
      <c r="S23" s="558">
        <f>8518-212</f>
        <v>8306</v>
      </c>
      <c r="T23" s="558">
        <f>5829-424</f>
        <v>5405</v>
      </c>
      <c r="U23" s="558">
        <f>3816-212</f>
        <v>3604</v>
      </c>
      <c r="V23" s="558">
        <f>12440-212</f>
        <v>12228</v>
      </c>
      <c r="W23" s="431">
        <f t="shared" si="26"/>
        <v>59069</v>
      </c>
      <c r="X23" s="583">
        <f t="shared" si="27"/>
        <v>8447</v>
      </c>
      <c r="Y23" s="585">
        <f t="shared" si="28"/>
        <v>0.16686420923709058</v>
      </c>
      <c r="Z23" s="445"/>
      <c r="AA23" s="445"/>
      <c r="AB23" s="45" t="s">
        <v>119</v>
      </c>
      <c r="AD23" s="470">
        <v>42969</v>
      </c>
      <c r="AE23" s="471" t="s">
        <v>1813</v>
      </c>
      <c r="AF23" s="471" t="s">
        <v>1814</v>
      </c>
      <c r="AG23" s="472">
        <v>147703</v>
      </c>
      <c r="AH23" s="473">
        <v>200</v>
      </c>
      <c r="AI23" s="474" t="s">
        <v>1775</v>
      </c>
    </row>
    <row r="24" spans="1:35" ht="13.9" customHeight="1" x14ac:dyDescent="0.4">
      <c r="A24" s="463"/>
      <c r="B24" s="427"/>
      <c r="C24" s="427"/>
      <c r="D24" s="463"/>
      <c r="E24" s="751"/>
      <c r="F24" s="462"/>
      <c r="I24" s="440" t="s">
        <v>120</v>
      </c>
      <c r="J24" s="45" t="s">
        <v>58</v>
      </c>
      <c r="K24" s="434">
        <f>4439-1260</f>
        <v>3179</v>
      </c>
      <c r="L24" s="434">
        <f>3071-197</f>
        <v>2874</v>
      </c>
      <c r="M24" s="558">
        <f>4958-132</f>
        <v>4826</v>
      </c>
      <c r="N24" s="558">
        <f>3585-132</f>
        <v>3453</v>
      </c>
      <c r="O24" s="558">
        <f>5008-33</f>
        <v>4975</v>
      </c>
      <c r="P24" s="558">
        <v>3386</v>
      </c>
      <c r="Q24" s="558">
        <v>3633</v>
      </c>
      <c r="R24" s="558">
        <v>3855</v>
      </c>
      <c r="S24" s="558">
        <v>6440</v>
      </c>
      <c r="T24" s="558">
        <v>3536</v>
      </c>
      <c r="U24" s="558">
        <v>2851</v>
      </c>
      <c r="V24" s="558">
        <v>7614</v>
      </c>
      <c r="W24" s="431">
        <f t="shared" si="26"/>
        <v>50622</v>
      </c>
      <c r="X24" s="583">
        <f t="shared" si="27"/>
        <v>41228</v>
      </c>
      <c r="Y24" s="585">
        <f t="shared" si="28"/>
        <v>4.3887587822014051</v>
      </c>
      <c r="AD24" s="470">
        <v>42970</v>
      </c>
      <c r="AE24" s="471" t="s">
        <v>1815</v>
      </c>
      <c r="AF24" s="471" t="s">
        <v>1816</v>
      </c>
      <c r="AG24" s="472">
        <v>147671</v>
      </c>
      <c r="AH24" s="473">
        <v>200</v>
      </c>
      <c r="AI24" s="474" t="s">
        <v>1775</v>
      </c>
    </row>
    <row r="25" spans="1:35" ht="13.9" customHeight="1" x14ac:dyDescent="0.4">
      <c r="A25" s="427"/>
      <c r="B25" s="464"/>
      <c r="C25" s="464"/>
      <c r="E25" s="751"/>
      <c r="F25" s="763"/>
      <c r="I25" s="541" t="s">
        <v>121</v>
      </c>
      <c r="J25" s="45" t="s">
        <v>61</v>
      </c>
      <c r="U25" s="558">
        <f>3346-338</f>
        <v>3008</v>
      </c>
      <c r="V25" s="558">
        <f>6776-390</f>
        <v>6386</v>
      </c>
      <c r="W25" s="431">
        <f t="shared" si="26"/>
        <v>9394</v>
      </c>
      <c r="AD25" s="470">
        <v>42970</v>
      </c>
      <c r="AE25" s="471" t="s">
        <v>1817</v>
      </c>
      <c r="AF25" s="471" t="s">
        <v>1818</v>
      </c>
      <c r="AG25" s="472">
        <v>147844</v>
      </c>
      <c r="AH25" s="473">
        <v>200</v>
      </c>
      <c r="AI25" s="474" t="s">
        <v>1819</v>
      </c>
    </row>
    <row r="26" spans="1:35" ht="13.9" customHeight="1" x14ac:dyDescent="0.4">
      <c r="A26" s="427"/>
      <c r="B26" s="464" t="s">
        <v>2293</v>
      </c>
      <c r="C26" s="464" t="s">
        <v>123</v>
      </c>
      <c r="E26" s="751">
        <v>200</v>
      </c>
      <c r="F26" s="763" t="s">
        <v>2294</v>
      </c>
      <c r="I26" s="446" t="s">
        <v>82</v>
      </c>
      <c r="J26" s="441"/>
      <c r="K26" s="671">
        <f t="shared" ref="K26:V26" si="29">IFERROR((K16-K19)/K19,0)</f>
        <v>0.29821068159095049</v>
      </c>
      <c r="L26" s="671">
        <f t="shared" si="29"/>
        <v>0.84400073006023013</v>
      </c>
      <c r="M26" s="671">
        <f t="shared" si="29"/>
        <v>8.3644109882641968E-2</v>
      </c>
      <c r="N26" s="671">
        <f t="shared" si="29"/>
        <v>-0.68949004371053912</v>
      </c>
      <c r="O26" s="671">
        <f t="shared" si="29"/>
        <v>-0.74023553358534455</v>
      </c>
      <c r="P26" s="671">
        <f t="shared" si="29"/>
        <v>0.40597783949427113</v>
      </c>
      <c r="Q26" s="671">
        <f t="shared" si="29"/>
        <v>-0.53777922588852278</v>
      </c>
      <c r="R26" s="671">
        <f t="shared" si="29"/>
        <v>0.56675272545549293</v>
      </c>
      <c r="S26" s="671">
        <f t="shared" si="29"/>
        <v>-0.31614960252817603</v>
      </c>
      <c r="T26" s="671">
        <f t="shared" si="29"/>
        <v>-0.47006721211829683</v>
      </c>
      <c r="U26" s="671">
        <f t="shared" si="29"/>
        <v>-0.44212931575643433</v>
      </c>
      <c r="V26" s="671">
        <f t="shared" si="29"/>
        <v>-0.43998826879943348</v>
      </c>
      <c r="W26" s="671">
        <f>IFERROR((W16-W21)/W21,0)</f>
        <v>-0.28258497727183363</v>
      </c>
      <c r="Y26" s="688">
        <f>W16-K19-L19-M19-N19-O19-P19-Q19-R19-S19-T19-U19-V19</f>
        <v>-10180.03307692308</v>
      </c>
      <c r="Z26" s="433">
        <f>Y26/(K19+L19+M19+N19+O19+P19+Q19+R19+S19+T19+U19+V19)</f>
        <v>-0.15617636514533914</v>
      </c>
      <c r="AD26" s="470">
        <v>42976</v>
      </c>
      <c r="AE26" s="471" t="s">
        <v>1820</v>
      </c>
      <c r="AF26" s="471" t="s">
        <v>1821</v>
      </c>
      <c r="AG26" s="472">
        <v>148062</v>
      </c>
      <c r="AH26" s="473">
        <v>65</v>
      </c>
      <c r="AI26" s="474" t="s">
        <v>1375</v>
      </c>
    </row>
    <row r="27" spans="1:35" ht="15" customHeight="1" x14ac:dyDescent="0.4">
      <c r="A27" s="427"/>
      <c r="B27" s="427"/>
      <c r="C27" s="427"/>
      <c r="E27" s="751"/>
      <c r="F27" s="763"/>
      <c r="I27" s="447" t="s">
        <v>123</v>
      </c>
      <c r="J27" s="448">
        <f ca="1">SUMIF($C1:E95,I27,$E1:$E65)</f>
        <v>1200</v>
      </c>
      <c r="K27" s="558">
        <f t="shared" ref="K27:V27" si="30">AVERAGE(K19:K24)</f>
        <v>4799.6733333333332</v>
      </c>
      <c r="L27" s="558">
        <f t="shared" si="30"/>
        <v>5162.4350000000004</v>
      </c>
      <c r="M27" s="558">
        <f t="shared" si="30"/>
        <v>5578.8966666666665</v>
      </c>
      <c r="N27" s="558">
        <f t="shared" si="30"/>
        <v>4550.1141666666663</v>
      </c>
      <c r="O27" s="558">
        <f t="shared" si="30"/>
        <v>4602.2233333333334</v>
      </c>
      <c r="P27" s="558">
        <f t="shared" si="30"/>
        <v>3836.4783333333339</v>
      </c>
      <c r="Q27" s="558">
        <f t="shared" si="30"/>
        <v>3389.4683333333328</v>
      </c>
      <c r="R27" s="558">
        <f t="shared" si="30"/>
        <v>5326.0550000000003</v>
      </c>
      <c r="S27" s="558">
        <f t="shared" si="30"/>
        <v>6973.1566666666668</v>
      </c>
      <c r="T27" s="558">
        <f t="shared" si="30"/>
        <v>6188.5316666666668</v>
      </c>
      <c r="U27" s="558">
        <f t="shared" si="30"/>
        <v>6016.6533333333327</v>
      </c>
      <c r="V27" s="558">
        <f t="shared" si="30"/>
        <v>6540.2866666666669</v>
      </c>
      <c r="W27" s="449">
        <f>SUM(K27:V27)</f>
        <v>62963.972500000003</v>
      </c>
      <c r="X27" s="449" t="s">
        <v>1039</v>
      </c>
      <c r="AD27" s="470">
        <v>42978</v>
      </c>
      <c r="AE27" s="471" t="s">
        <v>1822</v>
      </c>
      <c r="AF27" s="471" t="s">
        <v>1823</v>
      </c>
      <c r="AG27" s="472">
        <v>148222</v>
      </c>
      <c r="AH27" s="473">
        <v>200</v>
      </c>
      <c r="AI27" s="474" t="s">
        <v>1775</v>
      </c>
    </row>
    <row r="28" spans="1:35" ht="15" customHeight="1" x14ac:dyDescent="0.4">
      <c r="A28" s="427"/>
      <c r="B28" s="427"/>
      <c r="C28" s="427"/>
      <c r="E28" s="751"/>
      <c r="F28" s="763"/>
      <c r="I28" s="450" t="s">
        <v>65</v>
      </c>
      <c r="J28" s="451">
        <f ca="1">SUMIF($C1:E65,I28,$E1:$E65)</f>
        <v>275</v>
      </c>
      <c r="L28" s="449"/>
      <c r="M28" s="449"/>
      <c r="N28" s="449"/>
      <c r="O28" s="449"/>
      <c r="P28" s="449"/>
      <c r="Q28" s="449"/>
      <c r="R28" s="449"/>
      <c r="S28" s="449"/>
      <c r="T28" s="449"/>
      <c r="U28" s="449"/>
      <c r="V28" s="449"/>
      <c r="W28" s="449"/>
      <c r="X28" s="449"/>
      <c r="AD28" s="470">
        <v>42978</v>
      </c>
      <c r="AE28" s="471" t="s">
        <v>1824</v>
      </c>
      <c r="AF28" s="471" t="s">
        <v>1825</v>
      </c>
      <c r="AG28" s="472">
        <v>148235</v>
      </c>
      <c r="AH28" s="473">
        <v>200</v>
      </c>
      <c r="AI28" s="474" t="s">
        <v>1775</v>
      </c>
    </row>
    <row r="29" spans="1:35" ht="15.4" customHeight="1" thickBot="1" x14ac:dyDescent="0.45">
      <c r="A29" s="427"/>
      <c r="B29" s="427"/>
      <c r="C29" s="427"/>
      <c r="D29" s="463"/>
      <c r="E29" s="751"/>
      <c r="F29" s="763"/>
      <c r="I29" s="452" t="s">
        <v>1289</v>
      </c>
      <c r="J29" s="453">
        <f ca="1">SUM(J27:J28)</f>
        <v>1475</v>
      </c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795" t="s">
        <v>132</v>
      </c>
      <c r="V29" s="796"/>
      <c r="W29" s="688">
        <f>SUM(W19:W24)+W16</f>
        <v>432786.73192307691</v>
      </c>
      <c r="X29" s="454"/>
      <c r="AD29" s="470">
        <v>42978</v>
      </c>
      <c r="AE29" s="471" t="s">
        <v>1826</v>
      </c>
      <c r="AF29" s="471" t="s">
        <v>1827</v>
      </c>
      <c r="AG29" s="472">
        <v>148256</v>
      </c>
      <c r="AH29" s="473">
        <v>41</v>
      </c>
      <c r="AI29" s="474" t="s">
        <v>1375</v>
      </c>
    </row>
    <row r="30" spans="1:35" ht="13.9" customHeight="1" thickBot="1" x14ac:dyDescent="0.4">
      <c r="A30" s="427"/>
      <c r="B30" s="427" t="s">
        <v>2224</v>
      </c>
      <c r="C30" s="427" t="s">
        <v>65</v>
      </c>
      <c r="D30" s="463">
        <v>44259</v>
      </c>
      <c r="E30" s="751">
        <v>175</v>
      </c>
      <c r="F30" s="763" t="s">
        <v>2295</v>
      </c>
      <c r="J30" s="454"/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795" t="s">
        <v>133</v>
      </c>
      <c r="V30" s="796"/>
      <c r="W30" s="558">
        <f>W29/6.5</f>
        <v>66582.574142011828</v>
      </c>
      <c r="X30" s="454"/>
      <c r="AD30" s="470">
        <v>42982</v>
      </c>
      <c r="AE30" s="471" t="s">
        <v>1828</v>
      </c>
      <c r="AF30" s="471" t="s">
        <v>1829</v>
      </c>
      <c r="AG30" s="472">
        <v>148035</v>
      </c>
      <c r="AH30" s="476">
        <v>200</v>
      </c>
      <c r="AI30" s="474" t="s">
        <v>1775</v>
      </c>
    </row>
    <row r="31" spans="1:35" ht="13.9" customHeight="1" x14ac:dyDescent="0.4">
      <c r="A31" s="427"/>
      <c r="B31" s="427"/>
      <c r="C31" s="427"/>
      <c r="E31" s="751"/>
      <c r="F31" s="763"/>
      <c r="I31" s="455" t="s">
        <v>134</v>
      </c>
      <c r="J31" s="456">
        <f>W16</f>
        <v>55002.896923076922</v>
      </c>
      <c r="K31" s="454">
        <f>SUM(E145:E1266)-J31</f>
        <v>-1</v>
      </c>
      <c r="L31" s="454"/>
      <c r="M31" s="454"/>
      <c r="N31" s="454"/>
      <c r="O31" s="454"/>
      <c r="P31" s="454"/>
      <c r="Q31" s="454"/>
      <c r="R31" s="454"/>
      <c r="S31" s="454"/>
      <c r="T31" s="454"/>
      <c r="U31" s="454"/>
      <c r="V31" s="454"/>
      <c r="W31" s="454"/>
      <c r="X31" s="454"/>
      <c r="AD31" s="470">
        <v>42998</v>
      </c>
      <c r="AE31" s="526" t="s">
        <v>1830</v>
      </c>
      <c r="AF31" s="471" t="s">
        <v>1831</v>
      </c>
      <c r="AG31" s="472" t="s">
        <v>1832</v>
      </c>
      <c r="AH31" s="476">
        <v>200</v>
      </c>
      <c r="AI31" s="49" t="s">
        <v>1775</v>
      </c>
    </row>
    <row r="32" spans="1:35" ht="14.25" customHeight="1" thickBot="1" x14ac:dyDescent="0.45">
      <c r="A32" s="463"/>
      <c r="B32" s="427"/>
      <c r="C32" s="427"/>
      <c r="D32" s="463"/>
      <c r="E32" s="751"/>
      <c r="F32" s="763"/>
      <c r="I32" s="457" t="s">
        <v>135</v>
      </c>
      <c r="J32" s="458">
        <f>J31-AA16</f>
        <v>-10797.103076923064</v>
      </c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  <c r="V32" s="454">
        <v>2524</v>
      </c>
      <c r="W32" s="454">
        <f>V16-V32</f>
        <v>512.07000000000016</v>
      </c>
      <c r="X32" s="454"/>
      <c r="AD32" s="470">
        <v>42998</v>
      </c>
      <c r="AE32" s="471" t="s">
        <v>1833</v>
      </c>
      <c r="AF32" s="471" t="s">
        <v>1834</v>
      </c>
      <c r="AG32" s="472" t="s">
        <v>1835</v>
      </c>
      <c r="AH32" s="476">
        <v>200</v>
      </c>
      <c r="AI32" s="474" t="s">
        <v>1836</v>
      </c>
    </row>
    <row r="33" spans="9:35" x14ac:dyDescent="0.35"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454"/>
      <c r="V33" s="454"/>
      <c r="W33" s="454"/>
      <c r="X33" s="454"/>
      <c r="AD33" s="470">
        <v>43018</v>
      </c>
      <c r="AE33" s="474" t="s">
        <v>1837</v>
      </c>
      <c r="AF33" s="474" t="s">
        <v>1838</v>
      </c>
      <c r="AG33" s="477" t="s">
        <v>1839</v>
      </c>
      <c r="AH33" s="476">
        <v>200</v>
      </c>
      <c r="AI33" s="474" t="s">
        <v>1775</v>
      </c>
    </row>
    <row r="34" spans="9:35" x14ac:dyDescent="0.35">
      <c r="J34" s="454"/>
      <c r="K34" s="454"/>
      <c r="L34" s="454"/>
      <c r="M34" s="454"/>
      <c r="N34" s="454"/>
      <c r="O34" s="454"/>
      <c r="P34" s="454"/>
      <c r="Q34" s="454"/>
      <c r="R34" s="454"/>
      <c r="S34" s="454"/>
      <c r="T34" s="454"/>
      <c r="U34" s="454"/>
      <c r="V34" s="454"/>
      <c r="W34" s="454"/>
      <c r="X34" s="454"/>
      <c r="AD34" s="470">
        <v>43018</v>
      </c>
      <c r="AE34" s="474" t="s">
        <v>1840</v>
      </c>
      <c r="AF34" s="474" t="s">
        <v>1841</v>
      </c>
      <c r="AG34" s="477"/>
      <c r="AH34" s="540">
        <v>200</v>
      </c>
      <c r="AI34" s="474" t="s">
        <v>1775</v>
      </c>
    </row>
    <row r="35" spans="9:35" ht="13.15" customHeight="1" x14ac:dyDescent="0.4">
      <c r="I35" s="420" t="s">
        <v>140</v>
      </c>
      <c r="J35" s="557" t="s">
        <v>2296</v>
      </c>
      <c r="K35" s="577" t="s">
        <v>142</v>
      </c>
      <c r="L35" s="577" t="s">
        <v>143</v>
      </c>
      <c r="M35" s="577" t="s">
        <v>144</v>
      </c>
      <c r="N35" s="577" t="s">
        <v>145</v>
      </c>
      <c r="O35" s="577" t="s">
        <v>146</v>
      </c>
      <c r="P35" s="577" t="s">
        <v>147</v>
      </c>
      <c r="Q35" s="577" t="s">
        <v>148</v>
      </c>
      <c r="R35" s="577" t="s">
        <v>149</v>
      </c>
      <c r="S35" s="577" t="s">
        <v>150</v>
      </c>
      <c r="T35" s="577" t="s">
        <v>151</v>
      </c>
      <c r="U35" s="577" t="s">
        <v>152</v>
      </c>
      <c r="V35" s="577" t="s">
        <v>153</v>
      </c>
      <c r="W35" s="423" t="s">
        <v>19</v>
      </c>
      <c r="Y35" s="579" t="s">
        <v>21</v>
      </c>
      <c r="AD35" s="470">
        <v>43018</v>
      </c>
      <c r="AE35" s="474" t="s">
        <v>1843</v>
      </c>
      <c r="AF35" s="474" t="s">
        <v>1844</v>
      </c>
      <c r="AG35" s="477"/>
      <c r="AH35" s="476">
        <v>200</v>
      </c>
      <c r="AI35" s="474" t="s">
        <v>1775</v>
      </c>
    </row>
    <row r="36" spans="9:35" x14ac:dyDescent="0.35">
      <c r="I36" s="581" t="s">
        <v>28</v>
      </c>
      <c r="J36" s="431"/>
      <c r="K36" s="432">
        <f>K5-'Sales 2019'!K4</f>
        <v>1141</v>
      </c>
      <c r="L36" s="432">
        <f>L5-'Sales 2019'!L4</f>
        <v>-5</v>
      </c>
      <c r="M36" s="432">
        <f>M5-'Sales 2019'!M4</f>
        <v>-989</v>
      </c>
      <c r="N36" s="432">
        <f>N5-'Sales 2019'!N4</f>
        <v>-2280.5</v>
      </c>
      <c r="O36" s="432">
        <f>O5-'Sales 2019'!O4</f>
        <v>-725.2</v>
      </c>
      <c r="P36" s="432">
        <f>P5-'Sales 2019'!P4</f>
        <v>-686.8</v>
      </c>
      <c r="Q36" s="432">
        <f>Q5-'Sales 2019'!Q4</f>
        <v>-164.5</v>
      </c>
      <c r="R36" s="432">
        <f>R5-'Sales 2019'!R4</f>
        <v>-805</v>
      </c>
      <c r="S36" s="432">
        <f>S5-'Sales 2019'!S4</f>
        <v>-1435.75</v>
      </c>
      <c r="T36" s="432">
        <f>T5-'Sales 2019'!T4</f>
        <v>-144</v>
      </c>
      <c r="U36" s="432">
        <f>U5-'Sales 2019'!U4</f>
        <v>-1256.25</v>
      </c>
      <c r="V36" s="432">
        <f>V5-'Sales 2019'!V4</f>
        <v>177.5</v>
      </c>
      <c r="W36" s="788">
        <f t="shared" ref="W36:W42" si="31">SUM(K36:V36)</f>
        <v>-7173.5</v>
      </c>
      <c r="X36" s="445">
        <f>W36/'Sales 2019'!W4</f>
        <v>-0.46108852501165015</v>
      </c>
      <c r="Y36" s="790">
        <f t="shared" ref="Y36:Y47" si="32">SUM(K36:V36)</f>
        <v>-7173.5</v>
      </c>
      <c r="Z36" s="445"/>
      <c r="AD36" s="470">
        <v>43018</v>
      </c>
      <c r="AE36" s="426" t="s">
        <v>1845</v>
      </c>
      <c r="AF36" s="474" t="s">
        <v>1846</v>
      </c>
      <c r="AG36" s="477" t="s">
        <v>1847</v>
      </c>
      <c r="AH36" s="476">
        <v>200</v>
      </c>
      <c r="AI36" s="474" t="s">
        <v>1775</v>
      </c>
    </row>
    <row r="37" spans="9:35" x14ac:dyDescent="0.35">
      <c r="I37" s="581" t="s">
        <v>1274</v>
      </c>
      <c r="J37" s="431"/>
      <c r="K37" s="432">
        <f>K6-'Sales 2019'!K5</f>
        <v>490.10000000000036</v>
      </c>
      <c r="L37" s="432">
        <f>L6-'Sales 2019'!L5</f>
        <v>667.40000000000009</v>
      </c>
      <c r="M37" s="432">
        <f>M6-'Sales 2019'!M5</f>
        <v>-1381</v>
      </c>
      <c r="N37" s="432">
        <f>N6-'Sales 2019'!N5</f>
        <v>-2272.5</v>
      </c>
      <c r="O37" s="432">
        <f>O6-'Sales 2019'!O5</f>
        <v>-5192</v>
      </c>
      <c r="P37" s="432">
        <f>P6-'Sales 2019'!P5</f>
        <v>-464.25</v>
      </c>
      <c r="Q37" s="432">
        <f>Q6-'Sales 2019'!Q5</f>
        <v>-522</v>
      </c>
      <c r="R37" s="432">
        <f>R6-'Sales 2019'!R5</f>
        <v>-1906</v>
      </c>
      <c r="S37" s="432">
        <f>S6-'Sales 2019'!S5</f>
        <v>968</v>
      </c>
      <c r="T37" s="432">
        <f>T6-'Sales 2019'!T5</f>
        <v>-270</v>
      </c>
      <c r="U37" s="432">
        <f>U6-'Sales 2019'!U5</f>
        <v>-3189</v>
      </c>
      <c r="V37" s="432">
        <f>V6-'Sales 2019'!V5</f>
        <v>-1724.5</v>
      </c>
      <c r="W37" s="788">
        <f t="shared" si="31"/>
        <v>-14795.75</v>
      </c>
      <c r="X37" s="445">
        <f>W37/'Sales 2019'!W5</f>
        <v>-0.46332133988432428</v>
      </c>
      <c r="Y37" s="790">
        <f t="shared" si="32"/>
        <v>-14795.75</v>
      </c>
      <c r="Z37" s="445"/>
      <c r="AD37" s="470">
        <v>43024</v>
      </c>
      <c r="AE37" s="426" t="s">
        <v>1848</v>
      </c>
      <c r="AF37" s="426" t="s">
        <v>1849</v>
      </c>
      <c r="AG37" s="477" t="s">
        <v>1850</v>
      </c>
      <c r="AH37" s="476">
        <v>200</v>
      </c>
      <c r="AI37" s="474" t="s">
        <v>1775</v>
      </c>
    </row>
    <row r="38" spans="9:35" x14ac:dyDescent="0.35">
      <c r="I38" s="581" t="s">
        <v>1276</v>
      </c>
      <c r="J38" s="431"/>
      <c r="K38" s="432">
        <f>K7-'Sales 2019'!K6</f>
        <v>-376.22000000000014</v>
      </c>
      <c r="L38" s="432">
        <f>L7-'Sales 2019'!L6</f>
        <v>-583.75</v>
      </c>
      <c r="M38" s="432">
        <f>M7-'Sales 2019'!M6</f>
        <v>1951.25</v>
      </c>
      <c r="N38" s="432">
        <f>N7-'Sales 2019'!N6</f>
        <v>-558.75</v>
      </c>
      <c r="O38" s="432">
        <f>O7-'Sales 2019'!O6</f>
        <v>-571.25</v>
      </c>
      <c r="P38" s="432">
        <f>P7-'Sales 2019'!P6</f>
        <v>-190</v>
      </c>
      <c r="Q38" s="432">
        <f>Q7-'Sales 2019'!Q6</f>
        <v>-1257.5</v>
      </c>
      <c r="R38" s="432">
        <f>R7-'Sales 2019'!R6</f>
        <v>-2002.5</v>
      </c>
      <c r="S38" s="432">
        <f>S7-'Sales 2019'!S6</f>
        <v>-1404.5</v>
      </c>
      <c r="T38" s="432">
        <f>T7-'Sales 2019'!T6</f>
        <v>-707.5</v>
      </c>
      <c r="U38" s="432">
        <f>U7-'Sales 2019'!U6</f>
        <v>-588.75</v>
      </c>
      <c r="V38" s="432">
        <f>V7-'Sales 2019'!V6</f>
        <v>-383.75</v>
      </c>
      <c r="W38" s="788">
        <f t="shared" si="31"/>
        <v>-6673.22</v>
      </c>
      <c r="X38" s="445">
        <f>W38/'Sales 2019'!W6</f>
        <v>-0.48223632341793332</v>
      </c>
      <c r="Y38" s="790">
        <f t="shared" si="32"/>
        <v>-6673.22</v>
      </c>
      <c r="Z38" s="445"/>
      <c r="AD38" s="470">
        <v>43025</v>
      </c>
      <c r="AE38" s="426" t="s">
        <v>1851</v>
      </c>
      <c r="AF38" s="426" t="s">
        <v>1852</v>
      </c>
      <c r="AH38" s="476">
        <v>200</v>
      </c>
      <c r="AI38" s="426" t="s">
        <v>1853</v>
      </c>
    </row>
    <row r="39" spans="9:35" x14ac:dyDescent="0.35">
      <c r="I39" s="581" t="s">
        <v>1277</v>
      </c>
      <c r="J39" s="431"/>
      <c r="K39" s="432">
        <f>K8-'Sales 2019'!K7</f>
        <v>-217.59999999999991</v>
      </c>
      <c r="L39" s="432">
        <f>L8-'Sales 2019'!L7</f>
        <v>1471.6</v>
      </c>
      <c r="M39" s="432">
        <f>M8-'Sales 2019'!M7</f>
        <v>900</v>
      </c>
      <c r="N39" s="432">
        <f>N8-'Sales 2019'!N7</f>
        <v>1870.5</v>
      </c>
      <c r="O39" s="432">
        <f>O8-'Sales 2019'!O7</f>
        <v>1079</v>
      </c>
      <c r="P39" s="432">
        <f>P8-'Sales 2019'!P7</f>
        <v>-1119.75</v>
      </c>
      <c r="Q39" s="432">
        <f>Q8-'Sales 2019'!Q7</f>
        <v>1054.5</v>
      </c>
      <c r="R39" s="432">
        <f>R8-'Sales 2019'!R7</f>
        <v>640</v>
      </c>
      <c r="S39" s="432">
        <f>S8-'Sales 2019'!S7</f>
        <v>485.75</v>
      </c>
      <c r="T39" s="432">
        <f>T8-'Sales 2019'!T7</f>
        <v>0</v>
      </c>
      <c r="U39" s="432">
        <f>U8-'Sales 2019'!U7</f>
        <v>1679</v>
      </c>
      <c r="V39" s="432">
        <f>V8-'Sales 2019'!V7</f>
        <v>117.5</v>
      </c>
      <c r="W39" s="788">
        <f t="shared" si="31"/>
        <v>7960.5</v>
      </c>
      <c r="X39" s="445">
        <f>W39/'Sales 2019'!W7</f>
        <v>-0.70085003543648505</v>
      </c>
      <c r="Y39" s="790">
        <f t="shared" si="32"/>
        <v>7960.5</v>
      </c>
      <c r="Z39" s="445"/>
      <c r="AD39" s="470">
        <v>43027</v>
      </c>
      <c r="AE39" s="426" t="s">
        <v>1854</v>
      </c>
      <c r="AF39" s="426" t="s">
        <v>1855</v>
      </c>
      <c r="AG39" s="478" t="s">
        <v>1856</v>
      </c>
      <c r="AH39" s="476">
        <v>150</v>
      </c>
      <c r="AI39" s="474" t="s">
        <v>1775</v>
      </c>
    </row>
    <row r="40" spans="9:35" x14ac:dyDescent="0.35">
      <c r="I40" s="581" t="s">
        <v>1278</v>
      </c>
      <c r="J40" s="431"/>
      <c r="K40" s="432">
        <f>K9-'Sales 2019'!K8</f>
        <v>20</v>
      </c>
      <c r="L40" s="432">
        <f>L9-'Sales 2019'!L8</f>
        <v>-200</v>
      </c>
      <c r="M40" s="432">
        <f>M9-'Sales 2019'!M8</f>
        <v>20</v>
      </c>
      <c r="N40" s="432">
        <f>N9-'Sales 2019'!N8</f>
        <v>0</v>
      </c>
      <c r="O40" s="432">
        <f>O9-'Sales 2019'!O8</f>
        <v>0</v>
      </c>
      <c r="P40" s="432">
        <f>P9-'Sales 2019'!P8</f>
        <v>-60</v>
      </c>
      <c r="Q40" s="432">
        <f>Q9-'Sales 2019'!Q8</f>
        <v>-80</v>
      </c>
      <c r="R40" s="432">
        <f>R9-'Sales 2019'!R8</f>
        <v>-20</v>
      </c>
      <c r="S40" s="432">
        <f>S9-'Sales 2019'!S8</f>
        <v>600</v>
      </c>
      <c r="T40" s="432">
        <f>T9-'Sales 2019'!T8</f>
        <v>0</v>
      </c>
      <c r="U40" s="432">
        <f>U9-'Sales 2019'!U8</f>
        <v>20</v>
      </c>
      <c r="V40" s="432">
        <f>V9-'Sales 2019'!V8</f>
        <v>20</v>
      </c>
      <c r="W40" s="788">
        <f t="shared" si="31"/>
        <v>320</v>
      </c>
      <c r="X40" s="445">
        <f>W40/'Sales 2019'!W8</f>
        <v>0.25396825396825395</v>
      </c>
      <c r="Y40" s="790">
        <f t="shared" si="32"/>
        <v>320</v>
      </c>
      <c r="Z40" s="445"/>
      <c r="AD40" s="470"/>
      <c r="AG40" s="478"/>
      <c r="AH40" s="476"/>
      <c r="AI40" s="474"/>
    </row>
    <row r="41" spans="9:35" x14ac:dyDescent="0.35">
      <c r="I41" s="582" t="s">
        <v>1279</v>
      </c>
      <c r="J41" s="431"/>
      <c r="K41" s="432">
        <f>K10-'Sales 2019'!K9</f>
        <v>599.5</v>
      </c>
      <c r="L41" s="432">
        <f>L10-'Sales 2019'!L9</f>
        <v>720</v>
      </c>
      <c r="M41" s="432">
        <f>M10-'Sales 2019'!M9</f>
        <v>-530</v>
      </c>
      <c r="N41" s="432">
        <f>N10-'Sales 2019'!N9</f>
        <v>-220</v>
      </c>
      <c r="O41" s="432">
        <f>O10-'Sales 2019'!O9</f>
        <v>-95</v>
      </c>
      <c r="P41" s="432">
        <f>P10-'Sales 2019'!P9</f>
        <v>4245</v>
      </c>
      <c r="Q41" s="432">
        <f>Q10-'Sales 2019'!Q9</f>
        <v>-825</v>
      </c>
      <c r="R41" s="432">
        <f>R10-'Sales 2019'!R9</f>
        <v>7985</v>
      </c>
      <c r="S41" s="432">
        <f>S10-'Sales 2019'!S9</f>
        <v>-1045</v>
      </c>
      <c r="T41" s="432">
        <f>T10-'Sales 2019'!T9</f>
        <v>-290</v>
      </c>
      <c r="U41" s="432">
        <f>U10-'Sales 2019'!U9</f>
        <v>-3.5</v>
      </c>
      <c r="V41" s="432">
        <f>V10-'Sales 2019'!V9</f>
        <v>-750</v>
      </c>
      <c r="W41" s="788">
        <f t="shared" si="31"/>
        <v>9791</v>
      </c>
      <c r="X41" s="445">
        <f>W41/'Sales 2019'!W9</f>
        <v>1.0512696623181403</v>
      </c>
      <c r="Y41" s="790">
        <f t="shared" si="32"/>
        <v>9791</v>
      </c>
      <c r="Z41" s="445"/>
      <c r="AD41" s="470">
        <v>43049</v>
      </c>
      <c r="AE41" s="45" t="s">
        <v>1857</v>
      </c>
      <c r="AF41" s="45" t="s">
        <v>1858</v>
      </c>
      <c r="AG41" s="48" t="s">
        <v>1859</v>
      </c>
      <c r="AH41" s="476">
        <v>200</v>
      </c>
      <c r="AI41" s="474" t="s">
        <v>1775</v>
      </c>
    </row>
    <row r="42" spans="9:35" x14ac:dyDescent="0.35">
      <c r="I42" s="582" t="s">
        <v>1280</v>
      </c>
      <c r="J42" s="431"/>
      <c r="K42" s="432">
        <f>K11-'Sales 2019'!K10</f>
        <v>300</v>
      </c>
      <c r="L42" s="432">
        <f>L11-'Sales 2019'!L10</f>
        <v>475</v>
      </c>
      <c r="M42" s="432">
        <f>M11-'Sales 2019'!M10</f>
        <v>655</v>
      </c>
      <c r="N42" s="432">
        <f>N11-'Sales 2019'!N10</f>
        <v>-55</v>
      </c>
      <c r="O42" s="432">
        <f>O11-'Sales 2019'!O10</f>
        <v>95</v>
      </c>
      <c r="P42" s="432">
        <f>P11-'Sales 2019'!P10</f>
        <v>0</v>
      </c>
      <c r="Q42" s="432">
        <f>Q11-'Sales 2019'!Q10</f>
        <v>0</v>
      </c>
      <c r="R42" s="432">
        <f>R11-'Sales 2019'!R10</f>
        <v>0</v>
      </c>
      <c r="S42" s="432">
        <f>S11-'Sales 2019'!S10</f>
        <v>-250</v>
      </c>
      <c r="T42" s="432">
        <f>T11-'Sales 2019'!T10</f>
        <v>0</v>
      </c>
      <c r="U42" s="432">
        <f>U11-'Sales 2019'!U10</f>
        <v>560</v>
      </c>
      <c r="V42" s="432">
        <f>V11-'Sales 2019'!V10</f>
        <v>700</v>
      </c>
      <c r="W42" s="788">
        <f t="shared" si="31"/>
        <v>2480</v>
      </c>
      <c r="X42" s="445">
        <f>W42/'Sales 2019'!W10</f>
        <v>1.5646687697160884</v>
      </c>
      <c r="Y42" s="790">
        <f t="shared" si="32"/>
        <v>2480</v>
      </c>
      <c r="Z42" s="445"/>
      <c r="AD42" s="470"/>
      <c r="AE42" s="45"/>
      <c r="AF42" s="45"/>
      <c r="AG42" s="48"/>
      <c r="AH42" s="476"/>
      <c r="AI42" s="474"/>
    </row>
    <row r="43" spans="9:35" x14ac:dyDescent="0.35">
      <c r="I43" s="582" t="s">
        <v>1281</v>
      </c>
      <c r="J43" s="431"/>
      <c r="K43" s="432">
        <f>K12-'Sales 2019'!K11</f>
        <v>-200</v>
      </c>
      <c r="L43" s="432">
        <f>L12-'Sales 2019'!L11</f>
        <v>-475</v>
      </c>
      <c r="M43" s="432">
        <f>M12-'Sales 2019'!M11</f>
        <v>-135</v>
      </c>
      <c r="N43" s="432">
        <f>N12-'Sales 2019'!N11</f>
        <v>0</v>
      </c>
      <c r="O43" s="432">
        <f>O12-'Sales 2019'!O11</f>
        <v>0</v>
      </c>
      <c r="P43" s="432">
        <f>P12-'Sales 2019'!P11</f>
        <v>-26.34</v>
      </c>
      <c r="Q43" s="432">
        <f>Q12-'Sales 2019'!Q11</f>
        <v>-1294.4000000000001</v>
      </c>
      <c r="R43" s="432">
        <f>R12-'Sales 2019'!R11</f>
        <v>0</v>
      </c>
      <c r="S43" s="432">
        <f>S12-'Sales 2019'!S11</f>
        <v>-239.89</v>
      </c>
      <c r="T43" s="432">
        <f>T12-'Sales 2019'!T11</f>
        <v>-957.48</v>
      </c>
      <c r="U43" s="432">
        <f>U12-'Sales 2019'!U11</f>
        <v>0</v>
      </c>
      <c r="V43" s="432">
        <f>V12-'Sales 2019'!V11</f>
        <v>-578.29</v>
      </c>
      <c r="W43" s="432">
        <f>W12-'Sales 2019'!W11</f>
        <v>-3906.4</v>
      </c>
      <c r="X43" s="445">
        <f>W43/'Sales 2019'!W11</f>
        <v>-1.5431776882357588</v>
      </c>
      <c r="Y43" s="790">
        <f t="shared" si="32"/>
        <v>-3906.4</v>
      </c>
      <c r="Z43" s="445"/>
      <c r="AD43" s="470"/>
      <c r="AE43" s="45"/>
      <c r="AF43" s="45"/>
      <c r="AG43" s="48"/>
      <c r="AH43" s="476"/>
      <c r="AI43" s="474"/>
    </row>
    <row r="44" spans="9:35" x14ac:dyDescent="0.35">
      <c r="I44" s="582" t="s">
        <v>1282</v>
      </c>
      <c r="J44" s="431"/>
      <c r="K44" s="432">
        <f>K13-'Sales 2019'!K11</f>
        <v>0</v>
      </c>
      <c r="L44" s="432">
        <f>L13-'Sales 2019'!L11</f>
        <v>251.89</v>
      </c>
      <c r="M44" s="432">
        <f>M13-'Sales 2019'!M11</f>
        <v>175.29692307692306</v>
      </c>
      <c r="N44" s="432">
        <f>N13-'Sales 2019'!N11</f>
        <v>0</v>
      </c>
      <c r="O44" s="432">
        <f>O13-'Sales 2019'!O11</f>
        <v>293.11</v>
      </c>
      <c r="P44" s="432">
        <f>P13-'Sales 2019'!P11</f>
        <v>302.38000000000005</v>
      </c>
      <c r="Q44" s="432">
        <f>Q13-'Sales 2019'!Q11</f>
        <v>-1244.4000000000001</v>
      </c>
      <c r="R44" s="432">
        <f>R13-'Sales 2019'!R11</f>
        <v>343.57</v>
      </c>
      <c r="S44" s="432">
        <f>S13-'Sales 2019'!S11</f>
        <v>238.73000000000002</v>
      </c>
      <c r="T44" s="432">
        <f>T13-'Sales 2019'!T11</f>
        <v>-431.79</v>
      </c>
      <c r="U44" s="432">
        <f>U13-'Sales 2019'!U11</f>
        <v>129.53</v>
      </c>
      <c r="V44" s="432">
        <f>V13-'Sales 2019'!V11</f>
        <v>-317.22000000000003</v>
      </c>
      <c r="W44" s="788">
        <f>SUM(K44:V44)</f>
        <v>-258.90307692307692</v>
      </c>
      <c r="X44" s="445">
        <f>W44/'Sales 2019'!W11</f>
        <v>-0.10227663621832855</v>
      </c>
      <c r="Y44" s="790">
        <f t="shared" si="32"/>
        <v>-258.90307692307692</v>
      </c>
      <c r="Z44" s="445"/>
      <c r="AD44" s="470"/>
      <c r="AE44" s="45"/>
      <c r="AF44" s="45"/>
      <c r="AG44" s="48"/>
      <c r="AH44" s="476"/>
      <c r="AI44" s="474"/>
    </row>
    <row r="45" spans="9:35" x14ac:dyDescent="0.35">
      <c r="I45" s="582" t="s">
        <v>1283</v>
      </c>
      <c r="J45" s="431"/>
      <c r="K45" s="432">
        <f>K14-'Sales 2019'!K12</f>
        <v>0</v>
      </c>
      <c r="L45" s="432">
        <f>L14-'Sales 2019'!L12</f>
        <v>0</v>
      </c>
      <c r="M45" s="432">
        <f>M14-'Sales 2019'!M12</f>
        <v>-300</v>
      </c>
      <c r="N45" s="432">
        <f>N14-'Sales 2019'!N12</f>
        <v>0</v>
      </c>
      <c r="O45" s="432">
        <f>O14-'Sales 2019'!O12</f>
        <v>0</v>
      </c>
      <c r="P45" s="432">
        <f>P14-'Sales 2019'!P12</f>
        <v>-50</v>
      </c>
      <c r="Q45" s="432">
        <f>Q14-'Sales 2019'!Q12</f>
        <v>0</v>
      </c>
      <c r="R45" s="432">
        <f>R14-'Sales 2019'!R12</f>
        <v>0</v>
      </c>
      <c r="S45" s="432">
        <f>S14-'Sales 2019'!S12</f>
        <v>0</v>
      </c>
      <c r="T45" s="432">
        <f>T14-'Sales 2019'!T12</f>
        <v>0</v>
      </c>
      <c r="U45" s="432">
        <f>U14-'Sales 2019'!U12</f>
        <v>0</v>
      </c>
      <c r="V45" s="432">
        <f>V14-'Sales 2019'!V12</f>
        <v>-74</v>
      </c>
      <c r="W45" s="788">
        <f>SUM(K45:V45)</f>
        <v>-424</v>
      </c>
      <c r="X45" s="445">
        <f>W45/'Sales 2019'!W12</f>
        <v>-0.99764705882352944</v>
      </c>
      <c r="Y45" s="790">
        <f t="shared" si="32"/>
        <v>-424</v>
      </c>
      <c r="Z45" s="445"/>
      <c r="AD45" s="470"/>
      <c r="AE45" s="45"/>
      <c r="AF45" s="45"/>
      <c r="AG45" s="48"/>
      <c r="AH45" s="476"/>
      <c r="AI45" s="474"/>
    </row>
    <row r="46" spans="9:35" ht="13.15" customHeight="1" thickBot="1" x14ac:dyDescent="0.4">
      <c r="I46" s="582" t="s">
        <v>1284</v>
      </c>
      <c r="J46" s="431"/>
      <c r="K46" s="432">
        <f>K15-'Sales 2019'!K13</f>
        <v>0</v>
      </c>
      <c r="L46" s="432">
        <f>L15-'Sales 2019'!L13</f>
        <v>-10</v>
      </c>
      <c r="M46" s="432">
        <f>M15-'Sales 2019'!M13</f>
        <v>2.7</v>
      </c>
      <c r="N46" s="432">
        <f>N15-'Sales 2019'!N13</f>
        <v>-32.9</v>
      </c>
      <c r="O46" s="432">
        <f>O15-'Sales 2019'!O13</f>
        <v>25</v>
      </c>
      <c r="P46" s="432">
        <f>P15-'Sales 2019'!P13</f>
        <v>2.7</v>
      </c>
      <c r="Q46" s="432">
        <f>Q15-'Sales 2019'!Q13</f>
        <v>-14.07</v>
      </c>
      <c r="R46" s="432">
        <f>R15-'Sales 2019'!R13</f>
        <v>-4.8899999999999997</v>
      </c>
      <c r="S46" s="432">
        <f>S15-'Sales 2019'!S13</f>
        <v>0</v>
      </c>
      <c r="T46" s="432">
        <f>T15-'Sales 2019'!T13</f>
        <v>-6.6</v>
      </c>
      <c r="U46" s="432">
        <f>U15-'Sales 2019'!U13</f>
        <v>7.8000000000000007</v>
      </c>
      <c r="V46" s="432">
        <f>V15-'Sales 2019'!V13</f>
        <v>-0.9</v>
      </c>
      <c r="W46" s="788">
        <f>SUM(K46:V46)</f>
        <v>-31.159999999999993</v>
      </c>
      <c r="X46" s="445">
        <f>W46/'Sales 2019'!W13</f>
        <v>-0.32303545511092674</v>
      </c>
      <c r="Y46" s="790">
        <f t="shared" si="32"/>
        <v>-31.159999999999993</v>
      </c>
      <c r="Z46" s="445"/>
      <c r="AD46" s="470">
        <v>43054</v>
      </c>
      <c r="AE46" s="426" t="s">
        <v>1862</v>
      </c>
      <c r="AF46" s="426" t="s">
        <v>1863</v>
      </c>
      <c r="AG46" s="48" t="s">
        <v>1864</v>
      </c>
      <c r="AH46" s="476">
        <v>200</v>
      </c>
      <c r="AI46" s="474" t="s">
        <v>1775</v>
      </c>
    </row>
    <row r="47" spans="9:35" ht="13.9" customHeight="1" thickTop="1" thickBot="1" x14ac:dyDescent="0.45">
      <c r="I47" s="437" t="s">
        <v>63</v>
      </c>
      <c r="J47" s="438"/>
      <c r="K47" s="587">
        <f t="shared" ref="K47:W47" si="33">SUM(K36:K46)</f>
        <v>1756.7800000000002</v>
      </c>
      <c r="L47" s="587">
        <f t="shared" si="33"/>
        <v>2312.14</v>
      </c>
      <c r="M47" s="587">
        <f t="shared" si="33"/>
        <v>369.24692307692311</v>
      </c>
      <c r="N47" s="587">
        <f t="shared" si="33"/>
        <v>-3549.15</v>
      </c>
      <c r="O47" s="587">
        <f t="shared" si="33"/>
        <v>-5091.34</v>
      </c>
      <c r="P47" s="587">
        <f t="shared" si="33"/>
        <v>1952.94</v>
      </c>
      <c r="Q47" s="587">
        <f t="shared" si="33"/>
        <v>-4347.37</v>
      </c>
      <c r="R47" s="587">
        <f t="shared" si="33"/>
        <v>4230.1799999999994</v>
      </c>
      <c r="S47" s="587">
        <f t="shared" si="33"/>
        <v>-2082.66</v>
      </c>
      <c r="T47" s="587">
        <f t="shared" si="33"/>
        <v>-2807.37</v>
      </c>
      <c r="U47" s="587">
        <f t="shared" si="33"/>
        <v>-2641.1699999999996</v>
      </c>
      <c r="V47" s="587">
        <f t="shared" si="33"/>
        <v>-2813.6600000000003</v>
      </c>
      <c r="W47" s="789">
        <f t="shared" si="33"/>
        <v>-12711.433076923078</v>
      </c>
      <c r="X47" s="445">
        <f>W47/'Sales 2019'!W14</f>
        <v>-0.19501168598777438</v>
      </c>
      <c r="Y47" s="790">
        <f t="shared" si="32"/>
        <v>-12711.433076923078</v>
      </c>
      <c r="Z47" s="445"/>
      <c r="AD47" s="470">
        <v>43057</v>
      </c>
      <c r="AE47" s="45" t="s">
        <v>1865</v>
      </c>
      <c r="AF47" s="45" t="s">
        <v>1866</v>
      </c>
      <c r="AG47" s="48" t="s">
        <v>1867</v>
      </c>
      <c r="AH47" s="476">
        <v>135</v>
      </c>
      <c r="AI47" s="45" t="s">
        <v>1141</v>
      </c>
    </row>
    <row r="48" spans="9:35" ht="13.15" customHeight="1" thickTop="1" x14ac:dyDescent="0.35">
      <c r="AD48" s="470">
        <v>43066</v>
      </c>
      <c r="AE48" s="426" t="s">
        <v>1868</v>
      </c>
      <c r="AF48" s="426" t="s">
        <v>1869</v>
      </c>
      <c r="AG48" s="48" t="s">
        <v>1870</v>
      </c>
      <c r="AH48" s="476">
        <v>200</v>
      </c>
      <c r="AI48" s="48" t="s">
        <v>1871</v>
      </c>
    </row>
    <row r="49" spans="9:35" ht="15" customHeight="1" x14ac:dyDescent="0.4">
      <c r="I49" s="420" t="s">
        <v>140</v>
      </c>
      <c r="J49" s="557" t="s">
        <v>154</v>
      </c>
      <c r="K49" s="577" t="s">
        <v>142</v>
      </c>
      <c r="L49" s="577" t="s">
        <v>143</v>
      </c>
      <c r="M49" s="577" t="s">
        <v>144</v>
      </c>
      <c r="N49" s="577" t="s">
        <v>145</v>
      </c>
      <c r="O49" s="577" t="s">
        <v>146</v>
      </c>
      <c r="P49" s="577" t="s">
        <v>147</v>
      </c>
      <c r="Q49" s="577" t="s">
        <v>148</v>
      </c>
      <c r="R49" s="577" t="s">
        <v>149</v>
      </c>
      <c r="S49" s="577" t="s">
        <v>150</v>
      </c>
      <c r="T49" s="577" t="s">
        <v>151</v>
      </c>
      <c r="U49" s="577" t="s">
        <v>152</v>
      </c>
      <c r="V49" s="577" t="s">
        <v>153</v>
      </c>
      <c r="W49" s="577" t="s">
        <v>19</v>
      </c>
      <c r="AD49" s="470">
        <v>43066</v>
      </c>
      <c r="AE49" s="426" t="s">
        <v>1872</v>
      </c>
      <c r="AF49" s="426" t="s">
        <v>1873</v>
      </c>
      <c r="AG49" s="48" t="s">
        <v>1874</v>
      </c>
      <c r="AH49" s="476">
        <v>150</v>
      </c>
      <c r="AI49" s="45" t="s">
        <v>1875</v>
      </c>
    </row>
    <row r="50" spans="9:35" x14ac:dyDescent="0.35">
      <c r="I50" s="581" t="s">
        <v>28</v>
      </c>
      <c r="J50" s="431"/>
      <c r="K50" s="432">
        <f t="shared" ref="K50:K60" si="34">COUNTIFS($A$145:$A$587,"&gt;31/12/2019",$A$145:$A$587,"&lt;1/2/2020",$C$145:$C$587,I50)</f>
        <v>12</v>
      </c>
      <c r="L50" s="432">
        <f t="shared" ref="L50:L60" si="35">COUNTIFS($A$145:$A$587,"&gt;31/1/2020",$A$145:$A$587,"&lt;1/3/2020",$C$145:$C$587,$I50)</f>
        <v>9</v>
      </c>
      <c r="M50" s="432">
        <f t="shared" ref="M50:M60" si="36">COUNTIFS($A$145:$A$587,"&gt;29/2/2020",$A$145:$A$587,"&lt;1/4/2020",$C$145:$C$587,$I50)</f>
        <v>16</v>
      </c>
      <c r="N50" s="432">
        <f t="shared" ref="N50:N60" si="37">COUNTIFS($A$145:$A$587,"&gt;31/3/2020",$A$145:$A$587,"&lt;1/5/2020",$C$145:$C$587,$I50)</f>
        <v>41</v>
      </c>
      <c r="O50" s="432">
        <f t="shared" ref="O50:O60" si="38">COUNTIFS($A$145:$A$587,"&gt;30/4/2020",$A$145:$A$587,"&lt;1/6/2020",$C$145:$C$587,$I50)</f>
        <v>19</v>
      </c>
      <c r="P50" s="432">
        <f t="shared" ref="P50:P60" si="39">COUNTIFS($A$145:$A$587,"&gt;31/5/2020",$A$145:$A$587,"&lt;1/7/2020",$C$145:$C$587,$I50)</f>
        <v>15</v>
      </c>
      <c r="Q50" s="432">
        <f t="shared" ref="Q50:Q60" si="40">COUNTIFS($A$145:$A$587,"&gt;30/6/2020",$A$145:$A$587,"&lt;1/8/2020",$C$145:$C$587,$I50)</f>
        <v>3</v>
      </c>
      <c r="R50" s="432">
        <f t="shared" ref="R50:R60" si="41">COUNTIFS($A$145:$A$587,"&gt;31/7/2020",$A$145:$A$587,"&lt;1/9/2020",$C$145:$C$587,$I50)</f>
        <v>3</v>
      </c>
      <c r="S50" s="432">
        <f t="shared" ref="S50:S60" si="42">COUNTIFS($A$145:$A$587,"&gt;31/8/2020",$A$145:$A$587,"&lt;1/10/2020",$C$145:$C$587,$I50)</f>
        <v>3</v>
      </c>
      <c r="T50" s="432">
        <f t="shared" ref="T50:T60" si="43">COUNTIFS($A$145:$A$587,"&gt;30/9/2020",$A$145:$A$587,"&lt;1/11/2020",$C$145:$C$587,$I50)</f>
        <v>3</v>
      </c>
      <c r="U50" s="432">
        <f t="shared" ref="U50:U60" si="44">COUNTIFS($A$145:$A$587,"&gt;31/10/2020",$A$145:$A$587,"&lt;1/12/2020",$C$145:$C$587,$I50)</f>
        <v>9</v>
      </c>
      <c r="V50" s="432">
        <f t="shared" ref="V50:V60" si="45">COUNTIFS($A$145:$A$587,"&gt;30/11/2020",$A$145:$A$587,"&lt;1/1/2021",$C$145:$C$587,$I50)</f>
        <v>10</v>
      </c>
      <c r="W50" s="431">
        <f t="shared" ref="W50:W60" si="46">SUM(K50:V50)</f>
        <v>143</v>
      </c>
      <c r="AD50" s="470">
        <v>43066</v>
      </c>
      <c r="AE50" s="426" t="s">
        <v>1876</v>
      </c>
      <c r="AF50" s="45" t="s">
        <v>1877</v>
      </c>
      <c r="AG50" s="48" t="s">
        <v>1878</v>
      </c>
      <c r="AH50" s="476">
        <v>200</v>
      </c>
      <c r="AI50" s="474" t="s">
        <v>1775</v>
      </c>
    </row>
    <row r="51" spans="9:35" x14ac:dyDescent="0.35">
      <c r="I51" s="581" t="s">
        <v>1274</v>
      </c>
      <c r="J51" s="431"/>
      <c r="K51" s="432">
        <f t="shared" si="34"/>
        <v>22</v>
      </c>
      <c r="L51" s="432">
        <f t="shared" si="35"/>
        <v>19</v>
      </c>
      <c r="M51" s="432">
        <f t="shared" si="36"/>
        <v>7</v>
      </c>
      <c r="N51" s="432">
        <f t="shared" si="37"/>
        <v>0</v>
      </c>
      <c r="O51" s="432">
        <f t="shared" si="38"/>
        <v>0</v>
      </c>
      <c r="P51" s="432">
        <f t="shared" si="39"/>
        <v>8</v>
      </c>
      <c r="Q51" s="432">
        <f t="shared" si="40"/>
        <v>10</v>
      </c>
      <c r="R51" s="432">
        <f t="shared" si="41"/>
        <v>9</v>
      </c>
      <c r="S51" s="432">
        <f t="shared" si="42"/>
        <v>10</v>
      </c>
      <c r="T51" s="432">
        <f t="shared" si="43"/>
        <v>17</v>
      </c>
      <c r="U51" s="432">
        <f t="shared" si="44"/>
        <v>5</v>
      </c>
      <c r="V51" s="432">
        <f t="shared" si="45"/>
        <v>2</v>
      </c>
      <c r="W51" s="431">
        <f t="shared" si="46"/>
        <v>109</v>
      </c>
      <c r="AD51" s="470">
        <v>43068</v>
      </c>
      <c r="AE51" s="426" t="s">
        <v>1879</v>
      </c>
      <c r="AF51" s="426" t="s">
        <v>1880</v>
      </c>
      <c r="AG51" s="48" t="s">
        <v>1881</v>
      </c>
      <c r="AH51" s="476">
        <v>200</v>
      </c>
      <c r="AI51" s="45" t="s">
        <v>1775</v>
      </c>
    </row>
    <row r="52" spans="9:35" x14ac:dyDescent="0.35">
      <c r="I52" s="581" t="s">
        <v>1276</v>
      </c>
      <c r="J52" s="431"/>
      <c r="K52" s="432">
        <f t="shared" si="34"/>
        <v>2</v>
      </c>
      <c r="L52" s="432">
        <f t="shared" si="35"/>
        <v>1</v>
      </c>
      <c r="M52" s="432">
        <f t="shared" si="36"/>
        <v>5</v>
      </c>
      <c r="N52" s="432">
        <f t="shared" si="37"/>
        <v>1</v>
      </c>
      <c r="O52" s="432">
        <f t="shared" si="38"/>
        <v>1</v>
      </c>
      <c r="P52" s="432">
        <f t="shared" si="39"/>
        <v>4</v>
      </c>
      <c r="Q52" s="432">
        <f t="shared" si="40"/>
        <v>1</v>
      </c>
      <c r="R52" s="432">
        <f t="shared" si="41"/>
        <v>1</v>
      </c>
      <c r="S52" s="432">
        <f t="shared" si="42"/>
        <v>1</v>
      </c>
      <c r="T52" s="432">
        <f t="shared" si="43"/>
        <v>1</v>
      </c>
      <c r="U52" s="432">
        <f t="shared" si="44"/>
        <v>1</v>
      </c>
      <c r="V52" s="432">
        <f t="shared" si="45"/>
        <v>1</v>
      </c>
      <c r="W52" s="431">
        <f t="shared" si="46"/>
        <v>20</v>
      </c>
      <c r="AD52" s="470"/>
      <c r="AG52" s="48"/>
      <c r="AI52" s="45"/>
    </row>
    <row r="53" spans="9:35" x14ac:dyDescent="0.35">
      <c r="I53" s="581" t="s">
        <v>1277</v>
      </c>
      <c r="J53" s="431"/>
      <c r="K53" s="432">
        <f t="shared" si="34"/>
        <v>6</v>
      </c>
      <c r="L53" s="432">
        <f t="shared" si="35"/>
        <v>0</v>
      </c>
      <c r="M53" s="432">
        <f t="shared" si="36"/>
        <v>0</v>
      </c>
      <c r="N53" s="432">
        <f t="shared" si="37"/>
        <v>0</v>
      </c>
      <c r="O53" s="432">
        <f t="shared" si="38"/>
        <v>0</v>
      </c>
      <c r="P53" s="432">
        <f t="shared" si="39"/>
        <v>2</v>
      </c>
      <c r="Q53" s="432">
        <f t="shared" si="40"/>
        <v>0</v>
      </c>
      <c r="R53" s="432">
        <f t="shared" si="41"/>
        <v>1</v>
      </c>
      <c r="S53" s="432">
        <f t="shared" si="42"/>
        <v>0</v>
      </c>
      <c r="T53" s="432">
        <f t="shared" si="43"/>
        <v>0</v>
      </c>
      <c r="U53" s="432">
        <f t="shared" si="44"/>
        <v>0</v>
      </c>
      <c r="V53" s="432">
        <f t="shared" si="45"/>
        <v>0</v>
      </c>
      <c r="W53" s="431">
        <f t="shared" si="46"/>
        <v>9</v>
      </c>
      <c r="AD53" s="548">
        <v>43069</v>
      </c>
      <c r="AE53" s="426" t="s">
        <v>1882</v>
      </c>
      <c r="AF53" s="426" t="s">
        <v>1883</v>
      </c>
      <c r="AG53" s="48" t="s">
        <v>1884</v>
      </c>
      <c r="AH53" s="476">
        <v>200</v>
      </c>
      <c r="AI53" s="45" t="s">
        <v>1775</v>
      </c>
    </row>
    <row r="54" spans="9:35" x14ac:dyDescent="0.35">
      <c r="I54" s="581" t="s">
        <v>1278</v>
      </c>
      <c r="J54" s="431"/>
      <c r="K54" s="432">
        <f t="shared" si="34"/>
        <v>2</v>
      </c>
      <c r="L54" s="432">
        <f t="shared" si="35"/>
        <v>1</v>
      </c>
      <c r="M54" s="432">
        <f t="shared" si="36"/>
        <v>3</v>
      </c>
      <c r="N54" s="432">
        <f t="shared" si="37"/>
        <v>2</v>
      </c>
      <c r="O54" s="432">
        <f t="shared" si="38"/>
        <v>1</v>
      </c>
      <c r="P54" s="432">
        <f t="shared" si="39"/>
        <v>1</v>
      </c>
      <c r="Q54" s="432">
        <f t="shared" si="40"/>
        <v>1</v>
      </c>
      <c r="R54" s="432">
        <f t="shared" si="41"/>
        <v>1</v>
      </c>
      <c r="S54" s="432">
        <f t="shared" si="42"/>
        <v>2</v>
      </c>
      <c r="T54" s="432">
        <f t="shared" si="43"/>
        <v>3</v>
      </c>
      <c r="U54" s="432">
        <f t="shared" si="44"/>
        <v>2</v>
      </c>
      <c r="V54" s="432">
        <f t="shared" si="45"/>
        <v>1</v>
      </c>
      <c r="W54" s="431">
        <f t="shared" si="46"/>
        <v>20</v>
      </c>
      <c r="AD54" s="470">
        <v>43081</v>
      </c>
      <c r="AE54" s="426" t="s">
        <v>676</v>
      </c>
      <c r="AF54" s="45" t="s">
        <v>1885</v>
      </c>
      <c r="AG54" s="48" t="s">
        <v>1886</v>
      </c>
      <c r="AH54" s="476">
        <v>200</v>
      </c>
      <c r="AI54" s="49" t="s">
        <v>1267</v>
      </c>
    </row>
    <row r="55" spans="9:35" x14ac:dyDescent="0.35">
      <c r="I55" s="582" t="s">
        <v>1279</v>
      </c>
      <c r="J55" s="431"/>
      <c r="K55" s="432">
        <f t="shared" si="34"/>
        <v>8</v>
      </c>
      <c r="L55" s="432">
        <f t="shared" si="35"/>
        <v>3</v>
      </c>
      <c r="M55" s="432">
        <f t="shared" si="36"/>
        <v>1</v>
      </c>
      <c r="N55" s="432">
        <f t="shared" si="37"/>
        <v>7</v>
      </c>
      <c r="O55" s="432">
        <f t="shared" si="38"/>
        <v>11</v>
      </c>
      <c r="P55" s="432">
        <f t="shared" si="39"/>
        <v>9</v>
      </c>
      <c r="Q55" s="432">
        <f t="shared" si="40"/>
        <v>2</v>
      </c>
      <c r="R55" s="432">
        <f t="shared" si="41"/>
        <v>5</v>
      </c>
      <c r="S55" s="432">
        <f t="shared" si="42"/>
        <v>3</v>
      </c>
      <c r="T55" s="432">
        <f t="shared" si="43"/>
        <v>2</v>
      </c>
      <c r="U55" s="432">
        <f t="shared" si="44"/>
        <v>8</v>
      </c>
      <c r="V55" s="432">
        <f t="shared" si="45"/>
        <v>4</v>
      </c>
      <c r="W55" s="431">
        <f t="shared" si="46"/>
        <v>63</v>
      </c>
      <c r="AD55" s="470">
        <v>43090</v>
      </c>
      <c r="AE55" s="45" t="s">
        <v>1887</v>
      </c>
      <c r="AF55" s="45" t="s">
        <v>1888</v>
      </c>
      <c r="AG55" s="48" t="s">
        <v>1889</v>
      </c>
      <c r="AH55" s="476">
        <v>50</v>
      </c>
      <c r="AI55" s="49" t="s">
        <v>1141</v>
      </c>
    </row>
    <row r="56" spans="9:35" x14ac:dyDescent="0.35">
      <c r="I56" s="582" t="s">
        <v>1280</v>
      </c>
      <c r="J56" s="431"/>
      <c r="K56" s="432">
        <f t="shared" si="34"/>
        <v>2</v>
      </c>
      <c r="L56" s="432">
        <f t="shared" si="35"/>
        <v>1</v>
      </c>
      <c r="M56" s="432">
        <f t="shared" si="36"/>
        <v>7</v>
      </c>
      <c r="N56" s="432">
        <f t="shared" si="37"/>
        <v>1</v>
      </c>
      <c r="O56" s="432">
        <f t="shared" si="38"/>
        <v>1</v>
      </c>
      <c r="P56" s="432">
        <f t="shared" si="39"/>
        <v>0</v>
      </c>
      <c r="Q56" s="432">
        <f t="shared" si="40"/>
        <v>0</v>
      </c>
      <c r="R56" s="432">
        <f t="shared" si="41"/>
        <v>0</v>
      </c>
      <c r="S56" s="432">
        <f t="shared" si="42"/>
        <v>0</v>
      </c>
      <c r="T56" s="432">
        <f t="shared" si="43"/>
        <v>0</v>
      </c>
      <c r="U56" s="432">
        <f t="shared" si="44"/>
        <v>6</v>
      </c>
      <c r="V56" s="432">
        <f t="shared" si="45"/>
        <v>8</v>
      </c>
      <c r="W56" s="431">
        <f t="shared" si="46"/>
        <v>26</v>
      </c>
      <c r="AD56" s="470"/>
      <c r="AE56" s="45"/>
      <c r="AF56" s="45"/>
      <c r="AG56" s="48"/>
      <c r="AH56" s="476"/>
      <c r="AI56" s="49"/>
    </row>
    <row r="57" spans="9:35" x14ac:dyDescent="0.35">
      <c r="I57" s="582" t="s">
        <v>1281</v>
      </c>
      <c r="J57" s="431"/>
      <c r="K57" s="432">
        <f t="shared" si="34"/>
        <v>2</v>
      </c>
      <c r="L57" s="432">
        <f t="shared" si="35"/>
        <v>1</v>
      </c>
      <c r="M57" s="432">
        <f t="shared" si="36"/>
        <v>2</v>
      </c>
      <c r="N57" s="432">
        <f t="shared" si="37"/>
        <v>0</v>
      </c>
      <c r="O57" s="432">
        <f t="shared" si="38"/>
        <v>0</v>
      </c>
      <c r="P57" s="432">
        <f t="shared" si="39"/>
        <v>0</v>
      </c>
      <c r="Q57" s="432">
        <f t="shared" si="40"/>
        <v>1</v>
      </c>
      <c r="R57" s="432">
        <f t="shared" si="41"/>
        <v>0</v>
      </c>
      <c r="S57" s="432">
        <f t="shared" si="42"/>
        <v>1</v>
      </c>
      <c r="T57" s="432">
        <f t="shared" si="43"/>
        <v>2</v>
      </c>
      <c r="U57" s="432">
        <f t="shared" si="44"/>
        <v>0</v>
      </c>
      <c r="V57" s="432">
        <f t="shared" si="45"/>
        <v>1</v>
      </c>
      <c r="W57" s="431">
        <f t="shared" si="46"/>
        <v>10</v>
      </c>
      <c r="AD57" s="470"/>
      <c r="AE57" s="45"/>
      <c r="AF57" s="45"/>
      <c r="AG57" s="48"/>
      <c r="AH57" s="476"/>
      <c r="AI57" s="49"/>
    </row>
    <row r="58" spans="9:35" x14ac:dyDescent="0.35">
      <c r="I58" s="582" t="s">
        <v>1282</v>
      </c>
      <c r="J58" s="431"/>
      <c r="K58" s="432">
        <f t="shared" si="34"/>
        <v>0</v>
      </c>
      <c r="L58" s="432">
        <f t="shared" si="35"/>
        <v>2</v>
      </c>
      <c r="M58" s="432">
        <f t="shared" si="36"/>
        <v>2</v>
      </c>
      <c r="N58" s="432">
        <f t="shared" si="37"/>
        <v>0</v>
      </c>
      <c r="O58" s="432">
        <f t="shared" si="38"/>
        <v>2</v>
      </c>
      <c r="P58" s="432">
        <f t="shared" si="39"/>
        <v>1</v>
      </c>
      <c r="Q58" s="432">
        <f t="shared" si="40"/>
        <v>0</v>
      </c>
      <c r="R58" s="432">
        <f t="shared" si="41"/>
        <v>2</v>
      </c>
      <c r="S58" s="432">
        <f t="shared" si="42"/>
        <v>2</v>
      </c>
      <c r="T58" s="432">
        <f t="shared" si="43"/>
        <v>1</v>
      </c>
      <c r="U58" s="432">
        <f t="shared" si="44"/>
        <v>1</v>
      </c>
      <c r="V58" s="432">
        <f t="shared" si="45"/>
        <v>2</v>
      </c>
      <c r="W58" s="431">
        <f t="shared" si="46"/>
        <v>15</v>
      </c>
      <c r="AD58" s="470"/>
      <c r="AE58" s="45"/>
      <c r="AF58" s="45"/>
      <c r="AG58" s="48"/>
      <c r="AH58" s="476"/>
      <c r="AI58" s="49"/>
    </row>
    <row r="59" spans="9:35" x14ac:dyDescent="0.35">
      <c r="I59" s="582" t="s">
        <v>1283</v>
      </c>
      <c r="J59" s="431"/>
      <c r="K59" s="432">
        <f t="shared" si="34"/>
        <v>0</v>
      </c>
      <c r="L59" s="432">
        <f t="shared" si="35"/>
        <v>0</v>
      </c>
      <c r="M59" s="432">
        <f t="shared" si="36"/>
        <v>0</v>
      </c>
      <c r="N59" s="432">
        <f t="shared" si="37"/>
        <v>0</v>
      </c>
      <c r="O59" s="432">
        <f t="shared" si="38"/>
        <v>0</v>
      </c>
      <c r="P59" s="432">
        <f t="shared" si="39"/>
        <v>0</v>
      </c>
      <c r="Q59" s="432">
        <f t="shared" si="40"/>
        <v>0</v>
      </c>
      <c r="R59" s="432">
        <f t="shared" si="41"/>
        <v>0</v>
      </c>
      <c r="S59" s="432">
        <f t="shared" si="42"/>
        <v>0</v>
      </c>
      <c r="T59" s="432">
        <f t="shared" si="43"/>
        <v>0</v>
      </c>
      <c r="U59" s="432">
        <f t="shared" si="44"/>
        <v>0</v>
      </c>
      <c r="V59" s="432">
        <f t="shared" si="45"/>
        <v>0</v>
      </c>
      <c r="W59" s="431">
        <f t="shared" si="46"/>
        <v>0</v>
      </c>
      <c r="AD59" s="470"/>
      <c r="AE59" s="45"/>
      <c r="AF59" s="45"/>
      <c r="AG59" s="48"/>
      <c r="AH59" s="476"/>
      <c r="AI59" s="49"/>
    </row>
    <row r="60" spans="9:35" x14ac:dyDescent="0.35">
      <c r="I60" s="582" t="s">
        <v>1284</v>
      </c>
      <c r="J60" s="431"/>
      <c r="K60" s="432">
        <f t="shared" si="34"/>
        <v>0</v>
      </c>
      <c r="L60" s="432">
        <f t="shared" si="35"/>
        <v>1</v>
      </c>
      <c r="M60" s="432">
        <f t="shared" si="36"/>
        <v>1</v>
      </c>
      <c r="N60" s="432">
        <f t="shared" si="37"/>
        <v>1</v>
      </c>
      <c r="O60" s="432">
        <f t="shared" si="38"/>
        <v>1</v>
      </c>
      <c r="P60" s="432">
        <f t="shared" si="39"/>
        <v>1</v>
      </c>
      <c r="Q60" s="432">
        <f t="shared" si="40"/>
        <v>0</v>
      </c>
      <c r="R60" s="432">
        <f t="shared" si="41"/>
        <v>0</v>
      </c>
      <c r="S60" s="432">
        <f t="shared" si="42"/>
        <v>0</v>
      </c>
      <c r="T60" s="432">
        <f t="shared" si="43"/>
        <v>0</v>
      </c>
      <c r="U60" s="432">
        <f t="shared" si="44"/>
        <v>2</v>
      </c>
      <c r="V60" s="432">
        <f t="shared" si="45"/>
        <v>0</v>
      </c>
      <c r="W60" s="431">
        <f t="shared" si="46"/>
        <v>7</v>
      </c>
      <c r="AD60" s="470">
        <v>43091</v>
      </c>
      <c r="AE60" s="45" t="s">
        <v>1681</v>
      </c>
      <c r="AF60" s="45" t="s">
        <v>1890</v>
      </c>
      <c r="AG60" s="48" t="s">
        <v>1891</v>
      </c>
      <c r="AH60" s="476">
        <v>200</v>
      </c>
      <c r="AI60" s="49" t="s">
        <v>496</v>
      </c>
    </row>
    <row r="61" spans="9:35" ht="13.5" customHeight="1" thickBot="1" x14ac:dyDescent="0.45">
      <c r="I61" s="824" t="s">
        <v>63</v>
      </c>
      <c r="J61" s="825"/>
      <c r="K61" s="826">
        <f t="shared" ref="K61:W61" si="47">SUM(K50:K60)</f>
        <v>56</v>
      </c>
      <c r="L61" s="826">
        <f t="shared" si="47"/>
        <v>38</v>
      </c>
      <c r="M61" s="826">
        <f t="shared" si="47"/>
        <v>44</v>
      </c>
      <c r="N61" s="826">
        <f t="shared" si="47"/>
        <v>53</v>
      </c>
      <c r="O61" s="826">
        <f t="shared" si="47"/>
        <v>36</v>
      </c>
      <c r="P61" s="826">
        <f t="shared" si="47"/>
        <v>41</v>
      </c>
      <c r="Q61" s="826">
        <f t="shared" si="47"/>
        <v>18</v>
      </c>
      <c r="R61" s="826">
        <f t="shared" si="47"/>
        <v>22</v>
      </c>
      <c r="S61" s="826">
        <f t="shared" si="47"/>
        <v>22</v>
      </c>
      <c r="T61" s="826">
        <f t="shared" si="47"/>
        <v>29</v>
      </c>
      <c r="U61" s="826">
        <f t="shared" si="47"/>
        <v>34</v>
      </c>
      <c r="V61" s="826">
        <f t="shared" si="47"/>
        <v>29</v>
      </c>
      <c r="W61" s="825">
        <f t="shared" si="47"/>
        <v>422</v>
      </c>
      <c r="AD61" s="470">
        <v>43109</v>
      </c>
      <c r="AE61" s="426" t="s">
        <v>1892</v>
      </c>
      <c r="AF61" s="45" t="s">
        <v>1893</v>
      </c>
      <c r="AG61" s="48" t="s">
        <v>1894</v>
      </c>
      <c r="AH61" s="476">
        <v>200</v>
      </c>
      <c r="AI61" s="49" t="s">
        <v>1775</v>
      </c>
    </row>
    <row r="62" spans="9:35" ht="13.15" customHeight="1" thickTop="1" x14ac:dyDescent="0.35">
      <c r="AD62" s="470">
        <v>43116</v>
      </c>
      <c r="AE62" s="426" t="s">
        <v>1895</v>
      </c>
      <c r="AF62" s="45" t="s">
        <v>1896</v>
      </c>
      <c r="AG62" s="48" t="s">
        <v>1897</v>
      </c>
      <c r="AH62" s="476">
        <v>200</v>
      </c>
      <c r="AI62" s="49" t="s">
        <v>1775</v>
      </c>
    </row>
    <row r="63" spans="9:35" ht="13.15" customHeight="1" x14ac:dyDescent="0.4">
      <c r="I63" s="420" t="s">
        <v>140</v>
      </c>
      <c r="J63" s="557" t="s">
        <v>155</v>
      </c>
      <c r="K63" s="577" t="s">
        <v>142</v>
      </c>
      <c r="L63" s="577" t="s">
        <v>143</v>
      </c>
      <c r="M63" s="577" t="s">
        <v>144</v>
      </c>
      <c r="N63" s="577" t="s">
        <v>145</v>
      </c>
      <c r="O63" s="577" t="s">
        <v>146</v>
      </c>
      <c r="P63" s="577" t="s">
        <v>147</v>
      </c>
      <c r="Q63" s="577" t="s">
        <v>148</v>
      </c>
      <c r="R63" s="577" t="s">
        <v>149</v>
      </c>
      <c r="S63" s="577" t="s">
        <v>150</v>
      </c>
      <c r="T63" s="577" t="s">
        <v>151</v>
      </c>
      <c r="U63" s="577" t="s">
        <v>152</v>
      </c>
      <c r="V63" s="577" t="s">
        <v>153</v>
      </c>
      <c r="W63" s="577" t="s">
        <v>19</v>
      </c>
      <c r="AD63" s="470">
        <v>43129</v>
      </c>
      <c r="AE63" s="45" t="s">
        <v>1898</v>
      </c>
      <c r="AF63" s="45" t="s">
        <v>1899</v>
      </c>
      <c r="AG63" s="48" t="s">
        <v>1900</v>
      </c>
      <c r="AH63" s="257">
        <v>-159</v>
      </c>
      <c r="AI63" s="474"/>
    </row>
    <row r="64" spans="9:35" x14ac:dyDescent="0.35">
      <c r="I64" s="581" t="s">
        <v>28</v>
      </c>
      <c r="J64" s="431"/>
      <c r="K64" s="432">
        <f t="shared" ref="K64:W64" si="48">IFERROR(K5/K50,0)</f>
        <v>210.5</v>
      </c>
      <c r="L64" s="432">
        <f t="shared" si="48"/>
        <v>150</v>
      </c>
      <c r="M64" s="432">
        <f t="shared" si="48"/>
        <v>40.375</v>
      </c>
      <c r="N64" s="432">
        <f t="shared" si="48"/>
        <v>6.4024390243902438</v>
      </c>
      <c r="O64" s="432">
        <f t="shared" si="48"/>
        <v>6.8315789473684214</v>
      </c>
      <c r="P64" s="432">
        <f t="shared" si="48"/>
        <v>6.88</v>
      </c>
      <c r="Q64" s="432">
        <f t="shared" si="48"/>
        <v>250</v>
      </c>
      <c r="R64" s="432">
        <f t="shared" si="48"/>
        <v>216.66666666666666</v>
      </c>
      <c r="S64" s="432">
        <f t="shared" si="48"/>
        <v>118.33333333333333</v>
      </c>
      <c r="T64" s="432">
        <f t="shared" si="48"/>
        <v>161.66666666666666</v>
      </c>
      <c r="U64" s="432">
        <f t="shared" si="48"/>
        <v>61.027777777777779</v>
      </c>
      <c r="V64" s="432">
        <f t="shared" si="48"/>
        <v>57.75</v>
      </c>
      <c r="W64" s="431">
        <f t="shared" si="48"/>
        <v>58.63111888111888</v>
      </c>
      <c r="AD64" s="470">
        <v>43140</v>
      </c>
      <c r="AE64" s="45" t="s">
        <v>1901</v>
      </c>
      <c r="AF64" s="426" t="s">
        <v>1902</v>
      </c>
      <c r="AG64" s="48" t="s">
        <v>1903</v>
      </c>
      <c r="AH64" s="476">
        <v>200</v>
      </c>
      <c r="AI64" s="45" t="s">
        <v>1267</v>
      </c>
    </row>
    <row r="65" spans="9:35" x14ac:dyDescent="0.35">
      <c r="I65" s="581" t="s">
        <v>1274</v>
      </c>
      <c r="J65" s="431"/>
      <c r="K65" s="432">
        <f t="shared" ref="K65:W65" si="49">IFERROR(K6/K51,0)</f>
        <v>186.20909090909092</v>
      </c>
      <c r="L65" s="432">
        <f t="shared" si="49"/>
        <v>103.47368421052632</v>
      </c>
      <c r="M65" s="432">
        <f t="shared" si="49"/>
        <v>78.714285714285708</v>
      </c>
      <c r="N65" s="432">
        <f t="shared" si="49"/>
        <v>0</v>
      </c>
      <c r="O65" s="432">
        <f t="shared" si="49"/>
        <v>0</v>
      </c>
      <c r="P65" s="432">
        <f t="shared" si="49"/>
        <v>249.21875</v>
      </c>
      <c r="Q65" s="432">
        <f t="shared" si="49"/>
        <v>118.7</v>
      </c>
      <c r="R65" s="432">
        <f t="shared" si="49"/>
        <v>256.44444444444446</v>
      </c>
      <c r="S65" s="432">
        <f t="shared" si="49"/>
        <v>223.8</v>
      </c>
      <c r="T65" s="432">
        <f t="shared" si="49"/>
        <v>99</v>
      </c>
      <c r="U65" s="432">
        <f t="shared" si="49"/>
        <v>173.2</v>
      </c>
      <c r="V65" s="432">
        <f t="shared" si="49"/>
        <v>124.5</v>
      </c>
      <c r="W65" s="431">
        <f t="shared" si="49"/>
        <v>157.23256880733945</v>
      </c>
      <c r="AD65" s="470">
        <v>43144</v>
      </c>
      <c r="AE65" s="426" t="s">
        <v>1904</v>
      </c>
      <c r="AF65" s="426" t="s">
        <v>1905</v>
      </c>
      <c r="AG65" s="48" t="s">
        <v>1906</v>
      </c>
      <c r="AH65" s="476">
        <v>200</v>
      </c>
      <c r="AI65" s="45" t="s">
        <v>1267</v>
      </c>
    </row>
    <row r="66" spans="9:35" x14ac:dyDescent="0.35">
      <c r="I66" s="581" t="s">
        <v>1276</v>
      </c>
      <c r="J66" s="431"/>
      <c r="K66" s="432">
        <f t="shared" ref="K66:W66" si="50">IFERROR(K7/K52,0)</f>
        <v>387.42500000000001</v>
      </c>
      <c r="L66" s="432">
        <f t="shared" si="50"/>
        <v>633.75</v>
      </c>
      <c r="M66" s="432">
        <f t="shared" si="50"/>
        <v>551.75</v>
      </c>
      <c r="N66" s="432">
        <f t="shared" si="50"/>
        <v>283.75</v>
      </c>
      <c r="O66" s="432">
        <f t="shared" si="50"/>
        <v>533.75</v>
      </c>
      <c r="P66" s="432">
        <f t="shared" si="50"/>
        <v>210</v>
      </c>
      <c r="Q66" s="432">
        <f t="shared" si="50"/>
        <v>0</v>
      </c>
      <c r="R66" s="432">
        <f t="shared" si="50"/>
        <v>687.5</v>
      </c>
      <c r="S66" s="432">
        <f t="shared" si="50"/>
        <v>0</v>
      </c>
      <c r="T66" s="432">
        <f t="shared" si="50"/>
        <v>0</v>
      </c>
      <c r="U66" s="432">
        <f t="shared" si="50"/>
        <v>465</v>
      </c>
      <c r="V66" s="432">
        <f t="shared" si="50"/>
        <v>187.5</v>
      </c>
      <c r="W66" s="431">
        <f t="shared" si="50"/>
        <v>358.24250000000001</v>
      </c>
      <c r="AD66" s="470">
        <v>43144</v>
      </c>
      <c r="AE66" s="426" t="s">
        <v>1907</v>
      </c>
      <c r="AF66" s="45" t="s">
        <v>1908</v>
      </c>
      <c r="AG66" s="48" t="s">
        <v>1909</v>
      </c>
      <c r="AH66" s="476">
        <v>200</v>
      </c>
      <c r="AI66" s="45" t="s">
        <v>1267</v>
      </c>
    </row>
    <row r="67" spans="9:35" x14ac:dyDescent="0.35">
      <c r="I67" s="581" t="s">
        <v>1277</v>
      </c>
      <c r="J67" s="431"/>
      <c r="K67" s="432">
        <f t="shared" ref="K67:W67" si="51">IFERROR(K8/K53,0)</f>
        <v>-192.35</v>
      </c>
      <c r="L67" s="432">
        <f t="shared" si="51"/>
        <v>0</v>
      </c>
      <c r="M67" s="432">
        <f t="shared" si="51"/>
        <v>0</v>
      </c>
      <c r="N67" s="432">
        <f t="shared" si="51"/>
        <v>0</v>
      </c>
      <c r="O67" s="432">
        <f t="shared" si="51"/>
        <v>0</v>
      </c>
      <c r="P67" s="432">
        <f t="shared" si="51"/>
        <v>-721.875</v>
      </c>
      <c r="Q67" s="432">
        <f t="shared" si="51"/>
        <v>0</v>
      </c>
      <c r="R67" s="432">
        <f t="shared" si="51"/>
        <v>-800</v>
      </c>
      <c r="S67" s="432">
        <f t="shared" si="51"/>
        <v>0</v>
      </c>
      <c r="T67" s="432">
        <f t="shared" si="51"/>
        <v>0</v>
      </c>
      <c r="U67" s="432">
        <f t="shared" si="51"/>
        <v>0</v>
      </c>
      <c r="V67" s="432">
        <f t="shared" si="51"/>
        <v>0</v>
      </c>
      <c r="W67" s="431">
        <f t="shared" si="51"/>
        <v>-377.53888888888889</v>
      </c>
      <c r="AD67" s="470">
        <v>43145</v>
      </c>
      <c r="AE67" s="426" t="s">
        <v>1910</v>
      </c>
      <c r="AF67" s="45" t="s">
        <v>1911</v>
      </c>
      <c r="AG67" s="48" t="s">
        <v>1912</v>
      </c>
      <c r="AH67" s="476">
        <v>200</v>
      </c>
      <c r="AI67" s="45" t="s">
        <v>1775</v>
      </c>
    </row>
    <row r="68" spans="9:35" x14ac:dyDescent="0.35">
      <c r="I68" s="581" t="s">
        <v>1278</v>
      </c>
      <c r="J68" s="431"/>
      <c r="K68" s="432">
        <f t="shared" ref="K68:W68" si="52">IFERROR(K9/K54,0)</f>
        <v>30</v>
      </c>
      <c r="L68" s="432">
        <f t="shared" si="52"/>
        <v>40</v>
      </c>
      <c r="M68" s="432">
        <f t="shared" si="52"/>
        <v>26.666666666666668</v>
      </c>
      <c r="N68" s="432">
        <f t="shared" si="52"/>
        <v>50</v>
      </c>
      <c r="O68" s="432">
        <f t="shared" si="52"/>
        <v>80</v>
      </c>
      <c r="P68" s="432">
        <f t="shared" si="52"/>
        <v>60</v>
      </c>
      <c r="Q68" s="432">
        <f t="shared" si="52"/>
        <v>60</v>
      </c>
      <c r="R68" s="432">
        <f t="shared" si="52"/>
        <v>40</v>
      </c>
      <c r="S68" s="432">
        <f t="shared" si="52"/>
        <v>320</v>
      </c>
      <c r="T68" s="432">
        <f t="shared" si="52"/>
        <v>86.666666666666671</v>
      </c>
      <c r="U68" s="432">
        <f t="shared" si="52"/>
        <v>40</v>
      </c>
      <c r="V68" s="432">
        <f t="shared" si="52"/>
        <v>80</v>
      </c>
      <c r="W68" s="431">
        <f t="shared" si="52"/>
        <v>79</v>
      </c>
      <c r="AD68" s="470">
        <v>43151</v>
      </c>
      <c r="AE68" s="45" t="s">
        <v>1913</v>
      </c>
      <c r="AF68" s="426" t="s">
        <v>1914</v>
      </c>
      <c r="AG68" s="48" t="s">
        <v>1915</v>
      </c>
      <c r="AH68" s="476">
        <v>200</v>
      </c>
      <c r="AI68" s="45" t="s">
        <v>1267</v>
      </c>
    </row>
    <row r="69" spans="9:35" x14ac:dyDescent="0.35">
      <c r="I69" s="582" t="s">
        <v>1279</v>
      </c>
      <c r="J69" s="431"/>
      <c r="K69" s="432">
        <f t="shared" ref="K69:W69" si="53">IFERROR(K10/K55,0)</f>
        <v>155.5625</v>
      </c>
      <c r="L69" s="432">
        <f t="shared" si="53"/>
        <v>261.66666666666669</v>
      </c>
      <c r="M69" s="432">
        <f t="shared" si="53"/>
        <v>50</v>
      </c>
      <c r="N69" s="432">
        <f t="shared" si="53"/>
        <v>117.85714285714286</v>
      </c>
      <c r="O69" s="432">
        <f t="shared" si="53"/>
        <v>54.545454545454547</v>
      </c>
      <c r="P69" s="432">
        <f t="shared" si="53"/>
        <v>552.22222222222217</v>
      </c>
      <c r="Q69" s="432">
        <f t="shared" si="53"/>
        <v>360</v>
      </c>
      <c r="R69" s="432">
        <f t="shared" si="53"/>
        <v>1693</v>
      </c>
      <c r="S69" s="432">
        <f t="shared" si="53"/>
        <v>181.66666666666666</v>
      </c>
      <c r="T69" s="432">
        <f t="shared" si="53"/>
        <v>35</v>
      </c>
      <c r="U69" s="432">
        <f t="shared" si="53"/>
        <v>78.125</v>
      </c>
      <c r="V69" s="432">
        <f t="shared" si="53"/>
        <v>51.25</v>
      </c>
      <c r="W69" s="431">
        <f t="shared" si="53"/>
        <v>303.24603174603175</v>
      </c>
      <c r="AD69" s="470">
        <v>43152</v>
      </c>
      <c r="AE69" s="45" t="s">
        <v>1854</v>
      </c>
      <c r="AF69" s="426" t="s">
        <v>1916</v>
      </c>
      <c r="AG69" s="48" t="s">
        <v>1917</v>
      </c>
      <c r="AH69" s="476">
        <v>200</v>
      </c>
      <c r="AI69" s="45" t="s">
        <v>1267</v>
      </c>
    </row>
    <row r="70" spans="9:35" x14ac:dyDescent="0.35">
      <c r="I70" s="582" t="s">
        <v>1280</v>
      </c>
      <c r="J70" s="431"/>
      <c r="K70" s="432">
        <f t="shared" ref="K70:W70" si="54">IFERROR(K11/K56,0)</f>
        <v>150</v>
      </c>
      <c r="L70" s="432">
        <f t="shared" si="54"/>
        <v>475</v>
      </c>
      <c r="M70" s="432">
        <f t="shared" si="54"/>
        <v>93.571428571428569</v>
      </c>
      <c r="N70" s="432">
        <f t="shared" si="54"/>
        <v>125</v>
      </c>
      <c r="O70" s="432">
        <f t="shared" si="54"/>
        <v>125</v>
      </c>
      <c r="P70" s="432">
        <f t="shared" si="54"/>
        <v>0</v>
      </c>
      <c r="Q70" s="432">
        <f t="shared" si="54"/>
        <v>0</v>
      </c>
      <c r="R70" s="432">
        <f t="shared" si="54"/>
        <v>0</v>
      </c>
      <c r="S70" s="432">
        <f t="shared" si="54"/>
        <v>0</v>
      </c>
      <c r="T70" s="432">
        <f t="shared" si="54"/>
        <v>0</v>
      </c>
      <c r="U70" s="432">
        <f t="shared" si="54"/>
        <v>101.66666666666667</v>
      </c>
      <c r="V70" s="432">
        <f t="shared" si="54"/>
        <v>221.875</v>
      </c>
      <c r="W70" s="431">
        <f t="shared" si="54"/>
        <v>156.34615384615384</v>
      </c>
      <c r="AD70" s="470"/>
      <c r="AE70" s="45"/>
      <c r="AG70" s="48"/>
      <c r="AH70" s="476"/>
      <c r="AI70" s="45"/>
    </row>
    <row r="71" spans="9:35" x14ac:dyDescent="0.35">
      <c r="I71" s="582" t="s">
        <v>1281</v>
      </c>
      <c r="J71" s="431"/>
      <c r="K71" s="432">
        <f t="shared" ref="K71:W71" si="55">IFERROR(K12/K57,0)</f>
        <v>-100</v>
      </c>
      <c r="L71" s="432">
        <f t="shared" si="55"/>
        <v>-475</v>
      </c>
      <c r="M71" s="432">
        <f t="shared" si="55"/>
        <v>-67.5</v>
      </c>
      <c r="N71" s="432">
        <f t="shared" si="55"/>
        <v>0</v>
      </c>
      <c r="O71" s="432">
        <f t="shared" si="55"/>
        <v>0</v>
      </c>
      <c r="P71" s="432">
        <f t="shared" si="55"/>
        <v>0</v>
      </c>
      <c r="Q71" s="432">
        <f t="shared" si="55"/>
        <v>-50</v>
      </c>
      <c r="R71" s="432">
        <f t="shared" si="55"/>
        <v>0</v>
      </c>
      <c r="S71" s="432">
        <f t="shared" si="55"/>
        <v>-65</v>
      </c>
      <c r="T71" s="432">
        <f t="shared" si="55"/>
        <v>-150</v>
      </c>
      <c r="U71" s="432">
        <f t="shared" si="55"/>
        <v>0</v>
      </c>
      <c r="V71" s="432">
        <f t="shared" si="55"/>
        <v>-150</v>
      </c>
      <c r="W71" s="431">
        <f t="shared" si="55"/>
        <v>-137.5</v>
      </c>
      <c r="AD71" s="470"/>
      <c r="AE71" s="45"/>
      <c r="AG71" s="48"/>
      <c r="AH71" s="476"/>
      <c r="AI71" s="45"/>
    </row>
    <row r="72" spans="9:35" x14ac:dyDescent="0.35">
      <c r="I72" s="582" t="s">
        <v>1282</v>
      </c>
      <c r="J72" s="431"/>
      <c r="K72" s="432">
        <f t="shared" ref="K72:W72" si="56">IFERROR(K13/K58,0)</f>
        <v>0</v>
      </c>
      <c r="L72" s="432">
        <f t="shared" si="56"/>
        <v>125.94499999999999</v>
      </c>
      <c r="M72" s="432">
        <f t="shared" si="56"/>
        <v>87.648461538461532</v>
      </c>
      <c r="N72" s="432">
        <f t="shared" si="56"/>
        <v>0</v>
      </c>
      <c r="O72" s="432">
        <f t="shared" si="56"/>
        <v>146.55500000000001</v>
      </c>
      <c r="P72" s="432">
        <f t="shared" si="56"/>
        <v>328.72</v>
      </c>
      <c r="Q72" s="432">
        <f t="shared" si="56"/>
        <v>0</v>
      </c>
      <c r="R72" s="432">
        <f t="shared" si="56"/>
        <v>171.785</v>
      </c>
      <c r="S72" s="432">
        <f t="shared" si="56"/>
        <v>206.81</v>
      </c>
      <c r="T72" s="432">
        <f t="shared" si="56"/>
        <v>225.69</v>
      </c>
      <c r="U72" s="432">
        <f t="shared" si="56"/>
        <v>129.53</v>
      </c>
      <c r="V72" s="432">
        <f t="shared" si="56"/>
        <v>55.534999999999997</v>
      </c>
      <c r="W72" s="431">
        <f t="shared" si="56"/>
        <v>151.4997948717949</v>
      </c>
      <c r="AD72" s="470"/>
      <c r="AE72" s="45"/>
      <c r="AG72" s="48"/>
      <c r="AH72" s="476"/>
      <c r="AI72" s="45"/>
    </row>
    <row r="73" spans="9:35" x14ac:dyDescent="0.35">
      <c r="I73" s="582" t="s">
        <v>1283</v>
      </c>
      <c r="J73" s="431"/>
      <c r="K73" s="432">
        <f t="shared" ref="K73:W73" si="57">IFERROR(K14/K59,0)</f>
        <v>0</v>
      </c>
      <c r="L73" s="432">
        <f t="shared" si="57"/>
        <v>0</v>
      </c>
      <c r="M73" s="432">
        <f t="shared" si="57"/>
        <v>0</v>
      </c>
      <c r="N73" s="432">
        <f t="shared" si="57"/>
        <v>0</v>
      </c>
      <c r="O73" s="432">
        <f t="shared" si="57"/>
        <v>0</v>
      </c>
      <c r="P73" s="432">
        <f t="shared" si="57"/>
        <v>0</v>
      </c>
      <c r="Q73" s="432">
        <f t="shared" si="57"/>
        <v>0</v>
      </c>
      <c r="R73" s="432">
        <f t="shared" si="57"/>
        <v>0</v>
      </c>
      <c r="S73" s="432">
        <f t="shared" si="57"/>
        <v>0</v>
      </c>
      <c r="T73" s="432">
        <f t="shared" si="57"/>
        <v>0</v>
      </c>
      <c r="U73" s="432">
        <f t="shared" si="57"/>
        <v>0</v>
      </c>
      <c r="V73" s="432">
        <f t="shared" si="57"/>
        <v>0</v>
      </c>
      <c r="W73" s="431">
        <f t="shared" si="57"/>
        <v>0</v>
      </c>
      <c r="AD73" s="470"/>
      <c r="AE73" s="45"/>
      <c r="AG73" s="48"/>
      <c r="AH73" s="476"/>
      <c r="AI73" s="45"/>
    </row>
    <row r="74" spans="9:35" x14ac:dyDescent="0.35">
      <c r="I74" s="582" t="s">
        <v>1284</v>
      </c>
      <c r="J74" s="431"/>
      <c r="K74" s="432">
        <f t="shared" ref="K74:W74" si="58">IFERROR(K15/K60,0)</f>
        <v>0</v>
      </c>
      <c r="L74" s="432">
        <f t="shared" si="58"/>
        <v>25</v>
      </c>
      <c r="M74" s="432">
        <f t="shared" si="58"/>
        <v>2.7</v>
      </c>
      <c r="N74" s="432">
        <f t="shared" si="58"/>
        <v>2.1</v>
      </c>
      <c r="O74" s="432">
        <f t="shared" si="58"/>
        <v>25</v>
      </c>
      <c r="P74" s="432">
        <f t="shared" si="58"/>
        <v>2.7</v>
      </c>
      <c r="Q74" s="432">
        <f t="shared" si="58"/>
        <v>0</v>
      </c>
      <c r="R74" s="432">
        <f t="shared" si="58"/>
        <v>0</v>
      </c>
      <c r="S74" s="432">
        <f t="shared" si="58"/>
        <v>0</v>
      </c>
      <c r="T74" s="432">
        <f t="shared" si="58"/>
        <v>0</v>
      </c>
      <c r="U74" s="432">
        <f t="shared" si="58"/>
        <v>3.9000000000000004</v>
      </c>
      <c r="V74" s="432">
        <f t="shared" si="58"/>
        <v>0</v>
      </c>
      <c r="W74" s="431">
        <f t="shared" si="58"/>
        <v>9.3285714285714274</v>
      </c>
      <c r="AD74" s="470">
        <v>43152</v>
      </c>
      <c r="AE74" s="426" t="s">
        <v>1918</v>
      </c>
      <c r="AF74" s="426" t="s">
        <v>1919</v>
      </c>
      <c r="AG74" s="48" t="s">
        <v>1920</v>
      </c>
      <c r="AH74" s="476">
        <v>200</v>
      </c>
      <c r="AI74" s="45" t="s">
        <v>1775</v>
      </c>
    </row>
    <row r="75" spans="9:35" ht="13.5" customHeight="1" thickBot="1" x14ac:dyDescent="0.45">
      <c r="I75" s="824" t="s">
        <v>63</v>
      </c>
      <c r="J75" s="825"/>
      <c r="K75" s="798">
        <f t="shared" ref="K75:W75" si="59">IFERROR(K16/K61,0)</f>
        <v>136.56874999999999</v>
      </c>
      <c r="L75" s="798">
        <f t="shared" si="59"/>
        <v>132.93789473684211</v>
      </c>
      <c r="M75" s="798">
        <f t="shared" si="59"/>
        <v>108.72152097902098</v>
      </c>
      <c r="N75" s="798">
        <f t="shared" si="59"/>
        <v>30.15754716981132</v>
      </c>
      <c r="O75" s="798">
        <f t="shared" si="59"/>
        <v>49.629444444444438</v>
      </c>
      <c r="P75" s="798">
        <f t="shared" si="59"/>
        <v>167.18585365853659</v>
      </c>
      <c r="Q75" s="798">
        <f t="shared" si="59"/>
        <v>148.16666666666666</v>
      </c>
      <c r="R75" s="798">
        <f t="shared" si="59"/>
        <v>531.54863636363632</v>
      </c>
      <c r="S75" s="798">
        <f t="shared" si="59"/>
        <v>187.57363636363635</v>
      </c>
      <c r="T75" s="798">
        <f t="shared" si="59"/>
        <v>83.575517241379316</v>
      </c>
      <c r="U75" s="798">
        <f t="shared" si="59"/>
        <v>98.017058823529425</v>
      </c>
      <c r="V75" s="798">
        <f t="shared" si="59"/>
        <v>104.69206896551725</v>
      </c>
      <c r="W75" s="825">
        <f t="shared" si="59"/>
        <v>130.33861830113014</v>
      </c>
      <c r="AD75" s="470">
        <v>43167</v>
      </c>
      <c r="AE75" s="426" t="s">
        <v>1921</v>
      </c>
      <c r="AF75" s="45" t="s">
        <v>1922</v>
      </c>
      <c r="AG75" s="48" t="s">
        <v>1923</v>
      </c>
      <c r="AH75" s="476">
        <v>30</v>
      </c>
      <c r="AI75" s="45" t="s">
        <v>1924</v>
      </c>
    </row>
    <row r="76" spans="9:35" ht="13.15" customHeight="1" thickTop="1" x14ac:dyDescent="0.35">
      <c r="AD76" s="470">
        <v>43190</v>
      </c>
      <c r="AE76" s="45" t="s">
        <v>1925</v>
      </c>
      <c r="AF76" s="45" t="s">
        <v>1926</v>
      </c>
      <c r="AG76" s="48" t="s">
        <v>1927</v>
      </c>
      <c r="AH76" s="476">
        <v>125</v>
      </c>
      <c r="AI76" s="45" t="s">
        <v>1928</v>
      </c>
    </row>
    <row r="77" spans="9:35" x14ac:dyDescent="0.35">
      <c r="AD77" s="470">
        <v>43249</v>
      </c>
      <c r="AE77" s="45" t="s">
        <v>1191</v>
      </c>
      <c r="AF77" s="426" t="s">
        <v>1929</v>
      </c>
      <c r="AG77" s="48" t="s">
        <v>1930</v>
      </c>
      <c r="AH77" s="476">
        <v>200</v>
      </c>
      <c r="AI77" s="45" t="s">
        <v>1931</v>
      </c>
    </row>
    <row r="78" spans="9:35" ht="13.15" customHeight="1" x14ac:dyDescent="0.4">
      <c r="I78" s="420" t="s">
        <v>140</v>
      </c>
      <c r="J78" s="557" t="s">
        <v>1596</v>
      </c>
      <c r="K78" s="577" t="s">
        <v>142</v>
      </c>
      <c r="L78" s="577" t="s">
        <v>143</v>
      </c>
      <c r="M78" s="577" t="s">
        <v>144</v>
      </c>
      <c r="N78" s="577" t="s">
        <v>145</v>
      </c>
      <c r="O78" s="577" t="s">
        <v>146</v>
      </c>
      <c r="P78" s="577" t="s">
        <v>147</v>
      </c>
      <c r="Q78" s="577" t="s">
        <v>148</v>
      </c>
      <c r="R78" s="577" t="s">
        <v>149</v>
      </c>
      <c r="S78" s="577" t="s">
        <v>150</v>
      </c>
      <c r="T78" s="577" t="s">
        <v>151</v>
      </c>
      <c r="U78" s="577" t="s">
        <v>152</v>
      </c>
      <c r="V78" s="577" t="s">
        <v>153</v>
      </c>
      <c r="W78" s="577" t="s">
        <v>19</v>
      </c>
      <c r="X78" s="559" t="s">
        <v>76</v>
      </c>
      <c r="Y78" s="560" t="s">
        <v>23</v>
      </c>
      <c r="Z78" s="560" t="s">
        <v>21</v>
      </c>
      <c r="AD78" s="470">
        <v>43343</v>
      </c>
      <c r="AE78" s="45" t="s">
        <v>1932</v>
      </c>
      <c r="AF78" s="426" t="s">
        <v>1933</v>
      </c>
      <c r="AG78" s="48" t="s">
        <v>1934</v>
      </c>
      <c r="AH78" s="476">
        <v>200</v>
      </c>
      <c r="AI78" s="45" t="s">
        <v>1531</v>
      </c>
    </row>
    <row r="79" spans="9:35" x14ac:dyDescent="0.35">
      <c r="I79" s="581" t="s">
        <v>28</v>
      </c>
      <c r="J79" s="432">
        <f t="shared" ref="J79:V79" si="60">J5*70%</f>
        <v>1225</v>
      </c>
      <c r="K79" s="432">
        <f t="shared" si="60"/>
        <v>1768.1999999999998</v>
      </c>
      <c r="L79" s="432">
        <f t="shared" si="60"/>
        <v>944.99999999999989</v>
      </c>
      <c r="M79" s="432">
        <f t="shared" si="60"/>
        <v>452.2</v>
      </c>
      <c r="N79" s="432">
        <f t="shared" si="60"/>
        <v>183.75</v>
      </c>
      <c r="O79" s="432">
        <f t="shared" si="60"/>
        <v>90.86</v>
      </c>
      <c r="P79" s="432">
        <f t="shared" si="60"/>
        <v>72.239999999999995</v>
      </c>
      <c r="Q79" s="432">
        <f t="shared" si="60"/>
        <v>525</v>
      </c>
      <c r="R79" s="432">
        <f t="shared" si="60"/>
        <v>454.99999999999994</v>
      </c>
      <c r="S79" s="432">
        <f t="shared" si="60"/>
        <v>248.49999999999997</v>
      </c>
      <c r="T79" s="432">
        <f t="shared" si="60"/>
        <v>339.5</v>
      </c>
      <c r="U79" s="432">
        <f t="shared" si="60"/>
        <v>384.47499999999997</v>
      </c>
      <c r="V79" s="432">
        <f t="shared" si="60"/>
        <v>404.25</v>
      </c>
      <c r="W79" s="431">
        <f t="shared" ref="W79:W85" si="61">SUM(K79:V79)</f>
        <v>5868.9749999999995</v>
      </c>
      <c r="X79" s="445">
        <f>IFERROR(W79/W5,0)</f>
        <v>0.7</v>
      </c>
      <c r="Y79" s="558">
        <f>J79*12</f>
        <v>14700</v>
      </c>
      <c r="Z79" s="434">
        <f>W79-Y79</f>
        <v>-8831.0250000000015</v>
      </c>
      <c r="AD79" s="470">
        <v>43392</v>
      </c>
      <c r="AE79" s="45" t="s">
        <v>1935</v>
      </c>
      <c r="AF79" s="426" t="s">
        <v>1936</v>
      </c>
      <c r="AG79" s="48" t="s">
        <v>1937</v>
      </c>
      <c r="AH79" s="476">
        <v>200</v>
      </c>
      <c r="AI79" s="45" t="s">
        <v>1938</v>
      </c>
    </row>
    <row r="80" spans="9:35" x14ac:dyDescent="0.35">
      <c r="I80" s="581" t="s">
        <v>1274</v>
      </c>
      <c r="J80" s="432">
        <f t="shared" ref="J80:V80" si="62">J6*60%</f>
        <v>1320</v>
      </c>
      <c r="K80" s="432">
        <f t="shared" si="62"/>
        <v>2457.96</v>
      </c>
      <c r="L80" s="432">
        <f t="shared" si="62"/>
        <v>1179.5999999999999</v>
      </c>
      <c r="M80" s="432">
        <f t="shared" si="62"/>
        <v>330.59999999999997</v>
      </c>
      <c r="N80" s="432">
        <f t="shared" si="62"/>
        <v>0</v>
      </c>
      <c r="O80" s="432">
        <f t="shared" si="62"/>
        <v>0</v>
      </c>
      <c r="P80" s="432">
        <f t="shared" si="62"/>
        <v>1196.25</v>
      </c>
      <c r="Q80" s="432">
        <f t="shared" si="62"/>
        <v>712.19999999999993</v>
      </c>
      <c r="R80" s="432">
        <f t="shared" si="62"/>
        <v>1384.8</v>
      </c>
      <c r="S80" s="432">
        <f t="shared" si="62"/>
        <v>1342.8</v>
      </c>
      <c r="T80" s="432">
        <f t="shared" si="62"/>
        <v>1009.8</v>
      </c>
      <c r="U80" s="432">
        <f t="shared" si="62"/>
        <v>519.6</v>
      </c>
      <c r="V80" s="432">
        <f t="shared" si="62"/>
        <v>149.4</v>
      </c>
      <c r="W80" s="431">
        <f t="shared" si="61"/>
        <v>10283.009999999998</v>
      </c>
      <c r="X80" s="445">
        <f>IFERROR(W80/W6,0)</f>
        <v>0.6</v>
      </c>
      <c r="Y80" s="558">
        <f>J80*12</f>
        <v>15840</v>
      </c>
      <c r="Z80" s="434">
        <f>W80-Y80</f>
        <v>-5556.9900000000016</v>
      </c>
      <c r="AD80" s="470">
        <v>43424</v>
      </c>
      <c r="AE80" s="45" t="s">
        <v>1939</v>
      </c>
      <c r="AF80" s="426" t="s">
        <v>1940</v>
      </c>
      <c r="AG80" s="48" t="s">
        <v>1941</v>
      </c>
      <c r="AH80" s="476">
        <v>250</v>
      </c>
      <c r="AI80" s="45" t="s">
        <v>1942</v>
      </c>
    </row>
    <row r="81" spans="9:35" x14ac:dyDescent="0.35">
      <c r="I81" s="581" t="s">
        <v>1276</v>
      </c>
      <c r="J81" s="432">
        <f t="shared" ref="J81:V81" si="63">J7*60%</f>
        <v>450</v>
      </c>
      <c r="K81" s="432">
        <f t="shared" si="63"/>
        <v>464.90999999999997</v>
      </c>
      <c r="L81" s="432">
        <f t="shared" si="63"/>
        <v>380.25</v>
      </c>
      <c r="M81" s="432">
        <f t="shared" si="63"/>
        <v>1655.25</v>
      </c>
      <c r="N81" s="432">
        <f t="shared" si="63"/>
        <v>170.25</v>
      </c>
      <c r="O81" s="432">
        <f t="shared" si="63"/>
        <v>320.25</v>
      </c>
      <c r="P81" s="432">
        <f t="shared" si="63"/>
        <v>504</v>
      </c>
      <c r="Q81" s="432">
        <f t="shared" si="63"/>
        <v>0</v>
      </c>
      <c r="R81" s="432">
        <f t="shared" si="63"/>
        <v>412.5</v>
      </c>
      <c r="S81" s="432">
        <f t="shared" si="63"/>
        <v>0</v>
      </c>
      <c r="T81" s="432">
        <f t="shared" si="63"/>
        <v>0</v>
      </c>
      <c r="U81" s="432">
        <f t="shared" si="63"/>
        <v>279</v>
      </c>
      <c r="V81" s="432">
        <f t="shared" si="63"/>
        <v>112.5</v>
      </c>
      <c r="W81" s="431">
        <f t="shared" si="61"/>
        <v>4298.91</v>
      </c>
      <c r="X81" s="445">
        <f>IFERROR(W81/W8,0)</f>
        <v>-1.26518533778713</v>
      </c>
      <c r="Y81" s="558">
        <f>J81*12</f>
        <v>5400</v>
      </c>
      <c r="Z81" s="434">
        <f>W81-Y81</f>
        <v>-1101.0900000000001</v>
      </c>
      <c r="AD81" s="470">
        <v>43438</v>
      </c>
      <c r="AE81" s="426" t="s">
        <v>1943</v>
      </c>
      <c r="AF81" s="426" t="s">
        <v>1944</v>
      </c>
      <c r="AG81" s="48" t="s">
        <v>1945</v>
      </c>
      <c r="AH81" s="426">
        <v>200</v>
      </c>
      <c r="AI81" s="45" t="s">
        <v>1946</v>
      </c>
    </row>
    <row r="82" spans="9:35" x14ac:dyDescent="0.35">
      <c r="I82" s="581" t="s">
        <v>1277</v>
      </c>
      <c r="J82" s="432">
        <f t="shared" ref="J82:V82" si="64">J8*60%</f>
        <v>-450</v>
      </c>
      <c r="K82" s="432">
        <f t="shared" si="64"/>
        <v>-692.45999999999992</v>
      </c>
      <c r="L82" s="432">
        <f t="shared" si="64"/>
        <v>0</v>
      </c>
      <c r="M82" s="432">
        <f t="shared" si="64"/>
        <v>0</v>
      </c>
      <c r="N82" s="432">
        <f t="shared" si="64"/>
        <v>0</v>
      </c>
      <c r="O82" s="432">
        <f t="shared" si="64"/>
        <v>0</v>
      </c>
      <c r="P82" s="432">
        <f t="shared" si="64"/>
        <v>-866.25</v>
      </c>
      <c r="Q82" s="432">
        <f t="shared" si="64"/>
        <v>0</v>
      </c>
      <c r="R82" s="432">
        <f t="shared" si="64"/>
        <v>-480</v>
      </c>
      <c r="S82" s="432">
        <f t="shared" si="64"/>
        <v>0</v>
      </c>
      <c r="T82" s="432">
        <f t="shared" si="64"/>
        <v>0</v>
      </c>
      <c r="U82" s="432">
        <f t="shared" si="64"/>
        <v>0</v>
      </c>
      <c r="V82" s="432">
        <f t="shared" si="64"/>
        <v>0</v>
      </c>
      <c r="W82" s="431">
        <f t="shared" si="61"/>
        <v>-2038.71</v>
      </c>
      <c r="X82" s="445"/>
      <c r="Y82" s="558"/>
      <c r="Z82" s="434"/>
      <c r="AD82" s="470">
        <v>43507</v>
      </c>
      <c r="AE82" s="426" t="s">
        <v>1947</v>
      </c>
      <c r="AF82" s="45" t="s">
        <v>1948</v>
      </c>
      <c r="AG82" s="48" t="s">
        <v>1949</v>
      </c>
      <c r="AH82" s="476">
        <v>250</v>
      </c>
      <c r="AI82" s="45" t="s">
        <v>1489</v>
      </c>
    </row>
    <row r="83" spans="9:35" x14ac:dyDescent="0.35">
      <c r="I83" s="581" t="s">
        <v>1278</v>
      </c>
      <c r="J83" s="432">
        <f t="shared" ref="J83:V83" si="65">J9*75%</f>
        <v>75</v>
      </c>
      <c r="K83" s="432">
        <f t="shared" si="65"/>
        <v>45</v>
      </c>
      <c r="L83" s="432">
        <f t="shared" si="65"/>
        <v>30</v>
      </c>
      <c r="M83" s="432">
        <f t="shared" si="65"/>
        <v>60</v>
      </c>
      <c r="N83" s="432">
        <f t="shared" si="65"/>
        <v>75</v>
      </c>
      <c r="O83" s="432">
        <f t="shared" si="65"/>
        <v>60</v>
      </c>
      <c r="P83" s="432">
        <f t="shared" si="65"/>
        <v>45</v>
      </c>
      <c r="Q83" s="432">
        <f t="shared" si="65"/>
        <v>45</v>
      </c>
      <c r="R83" s="432">
        <f t="shared" si="65"/>
        <v>30</v>
      </c>
      <c r="S83" s="432">
        <f t="shared" si="65"/>
        <v>480</v>
      </c>
      <c r="T83" s="432">
        <f t="shared" si="65"/>
        <v>195</v>
      </c>
      <c r="U83" s="432">
        <f t="shared" si="65"/>
        <v>60</v>
      </c>
      <c r="V83" s="432">
        <f t="shared" si="65"/>
        <v>60</v>
      </c>
      <c r="W83" s="431">
        <f t="shared" si="61"/>
        <v>1185</v>
      </c>
      <c r="X83" s="445">
        <f>IFERROR(W83/W9,0)</f>
        <v>0.75</v>
      </c>
      <c r="Y83" s="558">
        <f>J83*12</f>
        <v>900</v>
      </c>
      <c r="Z83" s="434">
        <f>W83-Y83</f>
        <v>285</v>
      </c>
      <c r="AD83" s="470">
        <v>43560</v>
      </c>
      <c r="AE83" s="426" t="s">
        <v>1943</v>
      </c>
      <c r="AF83" s="45" t="s">
        <v>1950</v>
      </c>
      <c r="AG83" s="45" t="s">
        <v>1900</v>
      </c>
      <c r="AH83" s="257">
        <v>-159</v>
      </c>
    </row>
    <row r="84" spans="9:35" x14ac:dyDescent="0.35">
      <c r="I84" s="582" t="s">
        <v>1279</v>
      </c>
      <c r="J84" s="432">
        <f t="shared" ref="J84:V84" si="66">J10*60%</f>
        <v>600</v>
      </c>
      <c r="K84" s="432">
        <f t="shared" si="66"/>
        <v>746.69999999999993</v>
      </c>
      <c r="L84" s="432">
        <f t="shared" si="66"/>
        <v>471</v>
      </c>
      <c r="M84" s="432">
        <f t="shared" si="66"/>
        <v>30</v>
      </c>
      <c r="N84" s="432">
        <f t="shared" si="66"/>
        <v>495</v>
      </c>
      <c r="O84" s="432">
        <f t="shared" si="66"/>
        <v>360</v>
      </c>
      <c r="P84" s="432">
        <f t="shared" si="66"/>
        <v>2982</v>
      </c>
      <c r="Q84" s="432">
        <f t="shared" si="66"/>
        <v>432</v>
      </c>
      <c r="R84" s="432">
        <f t="shared" si="66"/>
        <v>5079</v>
      </c>
      <c r="S84" s="432">
        <f t="shared" si="66"/>
        <v>327</v>
      </c>
      <c r="T84" s="432">
        <f t="shared" si="66"/>
        <v>42</v>
      </c>
      <c r="U84" s="432">
        <f t="shared" si="66"/>
        <v>375</v>
      </c>
      <c r="V84" s="432">
        <f t="shared" si="66"/>
        <v>123</v>
      </c>
      <c r="W84" s="431">
        <f t="shared" si="61"/>
        <v>11462.7</v>
      </c>
      <c r="X84" s="445">
        <f>IFERROR(W84/W10,0)</f>
        <v>0.60000000000000009</v>
      </c>
      <c r="Y84" s="558">
        <f>J84*12</f>
        <v>7200</v>
      </c>
      <c r="Z84" s="434">
        <f>W84-Y84</f>
        <v>4262.7000000000007</v>
      </c>
      <c r="AD84" s="470">
        <v>43592</v>
      </c>
      <c r="AE84" s="45" t="s">
        <v>1681</v>
      </c>
      <c r="AF84" s="45" t="s">
        <v>1951</v>
      </c>
      <c r="AG84" s="48" t="s">
        <v>1952</v>
      </c>
      <c r="AH84" s="476">
        <v>75</v>
      </c>
      <c r="AI84" s="45" t="s">
        <v>224</v>
      </c>
    </row>
    <row r="85" spans="9:35" x14ac:dyDescent="0.35">
      <c r="I85" s="582" t="s">
        <v>1280</v>
      </c>
      <c r="J85" s="432">
        <f t="shared" ref="J85:V85" si="67">J11*60%</f>
        <v>120</v>
      </c>
      <c r="K85" s="432">
        <f t="shared" si="67"/>
        <v>180</v>
      </c>
      <c r="L85" s="432">
        <f t="shared" si="67"/>
        <v>285</v>
      </c>
      <c r="M85" s="432">
        <f t="shared" si="67"/>
        <v>393</v>
      </c>
      <c r="N85" s="432">
        <f t="shared" si="67"/>
        <v>75</v>
      </c>
      <c r="O85" s="432">
        <f t="shared" si="67"/>
        <v>75</v>
      </c>
      <c r="P85" s="432">
        <f t="shared" si="67"/>
        <v>0</v>
      </c>
      <c r="Q85" s="432">
        <f t="shared" si="67"/>
        <v>0</v>
      </c>
      <c r="R85" s="432">
        <f t="shared" si="67"/>
        <v>0</v>
      </c>
      <c r="S85" s="432">
        <f t="shared" si="67"/>
        <v>0</v>
      </c>
      <c r="T85" s="432">
        <f t="shared" si="67"/>
        <v>0</v>
      </c>
      <c r="U85" s="432">
        <f t="shared" si="67"/>
        <v>366</v>
      </c>
      <c r="V85" s="432">
        <f t="shared" si="67"/>
        <v>1065</v>
      </c>
      <c r="W85" s="431">
        <f t="shared" si="61"/>
        <v>2439</v>
      </c>
      <c r="X85" s="445">
        <f>IFERROR(W85/W15,0)</f>
        <v>37.350689127105667</v>
      </c>
      <c r="Y85" s="558">
        <f>J85*12</f>
        <v>1440</v>
      </c>
      <c r="Z85" s="434">
        <f>W85-Y85</f>
        <v>999</v>
      </c>
      <c r="AD85" s="470">
        <v>43754</v>
      </c>
      <c r="AE85" s="45" t="s">
        <v>676</v>
      </c>
      <c r="AF85" s="426" t="s">
        <v>1953</v>
      </c>
      <c r="AG85" s="48" t="s">
        <v>1954</v>
      </c>
      <c r="AH85" s="476">
        <v>100</v>
      </c>
      <c r="AI85" s="45" t="s">
        <v>1141</v>
      </c>
    </row>
    <row r="86" spans="9:35" x14ac:dyDescent="0.35">
      <c r="I86" s="582" t="s">
        <v>1281</v>
      </c>
      <c r="J86" s="432">
        <f t="shared" ref="J86:V86" si="68">J12*60%</f>
        <v>-99.999999999999986</v>
      </c>
      <c r="K86" s="432">
        <f t="shared" si="68"/>
        <v>-120</v>
      </c>
      <c r="L86" s="432">
        <f t="shared" si="68"/>
        <v>-285</v>
      </c>
      <c r="M86" s="432">
        <f t="shared" si="68"/>
        <v>-81</v>
      </c>
      <c r="N86" s="432">
        <f t="shared" si="68"/>
        <v>0</v>
      </c>
      <c r="O86" s="432">
        <f t="shared" si="68"/>
        <v>0</v>
      </c>
      <c r="P86" s="432">
        <f t="shared" si="68"/>
        <v>0</v>
      </c>
      <c r="Q86" s="432">
        <f t="shared" si="68"/>
        <v>-30</v>
      </c>
      <c r="R86" s="432">
        <f t="shared" si="68"/>
        <v>0</v>
      </c>
      <c r="S86" s="432">
        <f t="shared" si="68"/>
        <v>-39</v>
      </c>
      <c r="T86" s="432">
        <f t="shared" si="68"/>
        <v>-180</v>
      </c>
      <c r="U86" s="432">
        <f t="shared" si="68"/>
        <v>0</v>
      </c>
      <c r="V86" s="432">
        <f t="shared" si="68"/>
        <v>-90</v>
      </c>
      <c r="W86" s="431"/>
      <c r="X86" s="445"/>
      <c r="Y86" s="558"/>
      <c r="Z86" s="434"/>
      <c r="AD86" s="470"/>
      <c r="AE86" s="45"/>
      <c r="AG86" s="48"/>
      <c r="AH86" s="476"/>
      <c r="AI86" s="45"/>
    </row>
    <row r="87" spans="9:35" x14ac:dyDescent="0.35">
      <c r="I87" s="582" t="s">
        <v>1282</v>
      </c>
      <c r="J87" s="432">
        <f t="shared" ref="J87:V87" si="69">J13*50%</f>
        <v>125</v>
      </c>
      <c r="K87" s="432">
        <f t="shared" si="69"/>
        <v>0</v>
      </c>
      <c r="L87" s="432">
        <f t="shared" si="69"/>
        <v>125.94499999999999</v>
      </c>
      <c r="M87" s="432">
        <f t="shared" si="69"/>
        <v>87.648461538461532</v>
      </c>
      <c r="N87" s="432">
        <f t="shared" si="69"/>
        <v>0</v>
      </c>
      <c r="O87" s="432">
        <f t="shared" si="69"/>
        <v>146.55500000000001</v>
      </c>
      <c r="P87" s="432">
        <f t="shared" si="69"/>
        <v>164.36</v>
      </c>
      <c r="Q87" s="432">
        <f t="shared" si="69"/>
        <v>0</v>
      </c>
      <c r="R87" s="432">
        <f t="shared" si="69"/>
        <v>171.785</v>
      </c>
      <c r="S87" s="432">
        <f t="shared" si="69"/>
        <v>206.81</v>
      </c>
      <c r="T87" s="432">
        <f t="shared" si="69"/>
        <v>112.845</v>
      </c>
      <c r="U87" s="432">
        <f t="shared" si="69"/>
        <v>64.765000000000001</v>
      </c>
      <c r="V87" s="432">
        <f t="shared" si="69"/>
        <v>55.534999999999997</v>
      </c>
      <c r="W87" s="431">
        <f>SUM(K87:V87)</f>
        <v>1136.2484615384617</v>
      </c>
      <c r="X87" s="445"/>
      <c r="Y87" s="558"/>
      <c r="Z87" s="434"/>
      <c r="AD87" s="470"/>
      <c r="AE87" s="45"/>
      <c r="AG87" s="48"/>
      <c r="AH87" s="476"/>
      <c r="AI87" s="45"/>
    </row>
    <row r="88" spans="9:35" x14ac:dyDescent="0.35">
      <c r="I88" s="582" t="s">
        <v>1283</v>
      </c>
      <c r="J88" s="432">
        <f t="shared" ref="J88:V88" si="70">J14*60%</f>
        <v>60</v>
      </c>
      <c r="K88" s="432">
        <f t="shared" si="70"/>
        <v>0</v>
      </c>
      <c r="L88" s="432">
        <f t="shared" si="70"/>
        <v>0</v>
      </c>
      <c r="M88" s="432">
        <f t="shared" si="70"/>
        <v>0</v>
      </c>
      <c r="N88" s="432">
        <f t="shared" si="70"/>
        <v>0</v>
      </c>
      <c r="O88" s="432">
        <f t="shared" si="70"/>
        <v>0</v>
      </c>
      <c r="P88" s="432">
        <f t="shared" si="70"/>
        <v>0</v>
      </c>
      <c r="Q88" s="432">
        <f t="shared" si="70"/>
        <v>0</v>
      </c>
      <c r="R88" s="432">
        <f t="shared" si="70"/>
        <v>0</v>
      </c>
      <c r="S88" s="432">
        <f t="shared" si="70"/>
        <v>0</v>
      </c>
      <c r="T88" s="432">
        <f t="shared" si="70"/>
        <v>0</v>
      </c>
      <c r="U88" s="432">
        <f t="shared" si="70"/>
        <v>0</v>
      </c>
      <c r="V88" s="432">
        <f t="shared" si="70"/>
        <v>0.6</v>
      </c>
      <c r="W88" s="431">
        <f>SUM(K88:V88)</f>
        <v>0.6</v>
      </c>
      <c r="X88" s="445"/>
      <c r="Y88" s="558"/>
      <c r="Z88" s="434"/>
      <c r="AD88" s="470"/>
      <c r="AE88" s="45"/>
      <c r="AG88" s="48"/>
      <c r="AH88" s="476"/>
      <c r="AI88" s="45"/>
    </row>
    <row r="89" spans="9:35" x14ac:dyDescent="0.35">
      <c r="I89" s="582" t="s">
        <v>1284</v>
      </c>
      <c r="J89" s="432">
        <f t="shared" ref="J89:V89" si="71">J15*60%</f>
        <v>30</v>
      </c>
      <c r="K89" s="432">
        <f t="shared" si="71"/>
        <v>0</v>
      </c>
      <c r="L89" s="432">
        <f t="shared" si="71"/>
        <v>15</v>
      </c>
      <c r="M89" s="432">
        <f t="shared" si="71"/>
        <v>1.62</v>
      </c>
      <c r="N89" s="432">
        <f t="shared" si="71"/>
        <v>1.26</v>
      </c>
      <c r="O89" s="432">
        <f t="shared" si="71"/>
        <v>15</v>
      </c>
      <c r="P89" s="432">
        <f t="shared" si="71"/>
        <v>1.62</v>
      </c>
      <c r="Q89" s="432">
        <f t="shared" si="71"/>
        <v>0</v>
      </c>
      <c r="R89" s="432">
        <f t="shared" si="71"/>
        <v>0</v>
      </c>
      <c r="S89" s="432">
        <f t="shared" si="71"/>
        <v>0</v>
      </c>
      <c r="T89" s="432">
        <f t="shared" si="71"/>
        <v>0</v>
      </c>
      <c r="U89" s="432">
        <f t="shared" si="71"/>
        <v>4.6800000000000006</v>
      </c>
      <c r="V89" s="432">
        <f t="shared" si="71"/>
        <v>0</v>
      </c>
      <c r="W89" s="431">
        <f>SUM(K89:V89)</f>
        <v>39.18</v>
      </c>
      <c r="X89" s="445"/>
      <c r="Y89" s="558"/>
      <c r="Z89" s="434"/>
      <c r="AD89" s="470"/>
      <c r="AE89" s="45"/>
      <c r="AG89" s="48"/>
      <c r="AH89" s="476"/>
      <c r="AI89" s="45"/>
    </row>
    <row r="90" spans="9:35" ht="13.5" customHeight="1" thickBot="1" x14ac:dyDescent="0.45">
      <c r="I90" s="821" t="s">
        <v>63</v>
      </c>
      <c r="J90" s="822">
        <f>SUM(J79:J85)</f>
        <v>3340</v>
      </c>
      <c r="K90" s="823">
        <f t="shared" ref="K90:W90" si="72">SUM(K79:K89)</f>
        <v>4850.3099999999995</v>
      </c>
      <c r="L90" s="823">
        <f t="shared" si="72"/>
        <v>3146.7950000000001</v>
      </c>
      <c r="M90" s="823">
        <f t="shared" si="72"/>
        <v>2929.3184615384616</v>
      </c>
      <c r="N90" s="823">
        <f t="shared" si="72"/>
        <v>1000.26</v>
      </c>
      <c r="O90" s="823">
        <f t="shared" si="72"/>
        <v>1067.665</v>
      </c>
      <c r="P90" s="823">
        <f t="shared" si="72"/>
        <v>4099.2199999999993</v>
      </c>
      <c r="Q90" s="823">
        <f t="shared" si="72"/>
        <v>1684.1999999999998</v>
      </c>
      <c r="R90" s="823">
        <f t="shared" si="72"/>
        <v>7053.085</v>
      </c>
      <c r="S90" s="823">
        <f t="shared" si="72"/>
        <v>2566.11</v>
      </c>
      <c r="T90" s="823">
        <f t="shared" si="72"/>
        <v>1519.145</v>
      </c>
      <c r="U90" s="823">
        <f t="shared" si="72"/>
        <v>2053.52</v>
      </c>
      <c r="V90" s="823">
        <f t="shared" si="72"/>
        <v>1880.2850000000001</v>
      </c>
      <c r="W90" s="823">
        <f t="shared" si="72"/>
        <v>34674.913461538454</v>
      </c>
      <c r="X90" s="445">
        <f>IFERROR(W90/W16,0)</f>
        <v>0.63041976698122437</v>
      </c>
      <c r="Y90" s="558">
        <f>J90*12</f>
        <v>40080</v>
      </c>
      <c r="Z90" s="434">
        <f>W90-Y90</f>
        <v>-5405.0865384615463</v>
      </c>
      <c r="AD90" s="470">
        <v>43759</v>
      </c>
      <c r="AE90" s="45" t="s">
        <v>1955</v>
      </c>
      <c r="AF90" s="45" t="s">
        <v>1956</v>
      </c>
      <c r="AG90" s="48" t="s">
        <v>1957</v>
      </c>
      <c r="AH90" s="476">
        <v>75</v>
      </c>
      <c r="AI90" s="45" t="s">
        <v>1141</v>
      </c>
    </row>
    <row r="91" spans="9:35" x14ac:dyDescent="0.35">
      <c r="AD91" s="470">
        <v>43762</v>
      </c>
      <c r="AE91" s="426" t="s">
        <v>1958</v>
      </c>
      <c r="AF91" s="426" t="s">
        <v>1959</v>
      </c>
      <c r="AG91" s="48" t="s">
        <v>1960</v>
      </c>
      <c r="AH91" s="476">
        <v>250</v>
      </c>
      <c r="AI91" s="45" t="s">
        <v>1141</v>
      </c>
    </row>
    <row r="92" spans="9:35" ht="13.15" customHeight="1" x14ac:dyDescent="0.4">
      <c r="I92" s="566" t="s">
        <v>157</v>
      </c>
      <c r="K92" s="577" t="s">
        <v>142</v>
      </c>
      <c r="L92" s="577" t="s">
        <v>143</v>
      </c>
      <c r="M92" s="577" t="s">
        <v>144</v>
      </c>
      <c r="N92" s="577" t="s">
        <v>145</v>
      </c>
      <c r="O92" s="577" t="s">
        <v>146</v>
      </c>
      <c r="P92" s="577" t="s">
        <v>147</v>
      </c>
      <c r="Q92" s="577" t="s">
        <v>148</v>
      </c>
      <c r="R92" s="577" t="s">
        <v>149</v>
      </c>
      <c r="S92" s="577" t="s">
        <v>150</v>
      </c>
      <c r="T92" s="577" t="s">
        <v>151</v>
      </c>
      <c r="U92" s="577" t="s">
        <v>152</v>
      </c>
      <c r="V92" s="577" t="s">
        <v>153</v>
      </c>
      <c r="W92" s="577" t="s">
        <v>19</v>
      </c>
      <c r="X92" s="423" t="s">
        <v>158</v>
      </c>
      <c r="Y92" s="423" t="s">
        <v>22</v>
      </c>
      <c r="AD92" s="470">
        <v>43769</v>
      </c>
      <c r="AE92" s="45" t="s">
        <v>1961</v>
      </c>
      <c r="AF92" s="426" t="s">
        <v>1962</v>
      </c>
      <c r="AG92" s="48" t="s">
        <v>1963</v>
      </c>
      <c r="AH92" s="476">
        <v>200</v>
      </c>
      <c r="AI92" s="45" t="s">
        <v>142</v>
      </c>
    </row>
    <row r="93" spans="9:35" x14ac:dyDescent="0.35">
      <c r="I93" s="426" t="s">
        <v>159</v>
      </c>
      <c r="K93" s="432">
        <f t="shared" ref="K93:K101" si="73">SUMIFS($E$145:$E$587,$A$145:$A$587,"&gt;31/12/2019",$A$145:$A$587,"&lt;1/2/2020",$D$145:$D$587,$I93)</f>
        <v>4593</v>
      </c>
      <c r="L93" s="432">
        <f t="shared" ref="L93:L101" si="74">SUMIFS($E$145:$E$587,$A$145:$A$587,"&gt;31/1/2020",$A$145:$A$587,"&lt;1/3/2020",$D$145:$D$587,$I93)</f>
        <v>2563</v>
      </c>
      <c r="M93" s="432">
        <f t="shared" ref="M93:M101" si="75">SUMIFS($E$145:$E$587,$A$145:$A$587,"&gt;29/2/2020",$A$145:$A$587,"&lt;1/4/2020",$D$145:$D$587,$I93)</f>
        <v>1026.7</v>
      </c>
      <c r="N93" s="432">
        <f t="shared" ref="N93:N101" si="76">SUMIFS($E$145:$E$587,$A$145:$A$587,"&gt;31/3/2020",$A$145:$A$587,"&lt;1/5/2020",$D$145:$D$587,$I93)</f>
        <v>344.6</v>
      </c>
      <c r="O93" s="432">
        <f t="shared" ref="O93:O101" si="77">SUMIFS($E$145:$E$587,$A$145:$A$587,"&gt;30/4/2020",$A$145:$A$587,"&lt;1/6/2020",$D$145:$D$587,$I93)</f>
        <v>346.8</v>
      </c>
      <c r="P93" s="432">
        <f t="shared" ref="P93:P101" si="78">SUMIFS($E$145:$E$587,$A$145:$A$587,"&gt;31/5/2020",$A$145:$A$587,"&lt;1/7/2020",$D$145:$D$587,$I93)</f>
        <v>885.90000000000009</v>
      </c>
      <c r="Q93" s="432">
        <f t="shared" ref="Q93:Q101" si="79">SUMIFS($E$145:$E$587,$A$145:$A$587,"&gt;30/6/2020",$A$145:$A$587,"&lt;1/8/2020",$D$145:$D$587,$I93)</f>
        <v>530</v>
      </c>
      <c r="R93" s="432">
        <f t="shared" ref="R93:R101" si="80">SUMIFS($E$145:$E$587,$A$145:$A$587,"&gt;31/7/2020",$A$145:$A$587,"&lt;1/9/2020",$D$145:$D$587,$I93)</f>
        <v>1209.5700000000002</v>
      </c>
      <c r="S93" s="432">
        <f t="shared" ref="S93:S101" si="81">SUMIFS($E$145:$E$587,$A$145:$A$587,"&gt;31/8/2020",$A$145:$A$587,"&lt;1/10/2020",$D$145:$D$587,$I93)</f>
        <v>2808</v>
      </c>
      <c r="T93" s="432">
        <f t="shared" ref="T93:T101" si="82">SUMIFS($E$145:$E$587,$A$145:$A$587,"&gt;30/9/2020",$A$145:$A$587,"&lt;1/11/2020",$D$145:$D$587,$I93)</f>
        <v>1205</v>
      </c>
      <c r="U93" s="432">
        <f t="shared" ref="U93:U101" si="83">SUMIFS($E$145:$E$587,$A$145:$A$587,"&gt;31/10/2020",$A$145:$A$587,"&lt;1/12/2020",$D$145:$D$587,$I93)</f>
        <v>470.15</v>
      </c>
      <c r="V93" s="432">
        <f t="shared" ref="V93:V101" si="84">SUMIFS($E$145:$E$587,$A$145:$A$587,"&gt;30/11/2020",$A$145:$A$587,"&lt;1/1/2021",$D$145:$D$587,$I93)</f>
        <v>2449</v>
      </c>
      <c r="W93" s="432">
        <f t="shared" ref="W93:W101" si="85">SUM(K93:V93)</f>
        <v>18431.719999999998</v>
      </c>
      <c r="X93" s="460">
        <f t="shared" ref="X93:X98" si="86">L93/$L$102</f>
        <v>0.50735998606393173</v>
      </c>
      <c r="Y93" s="460">
        <f>W93/W102</f>
        <v>0.33511062401679964</v>
      </c>
      <c r="AD93" s="470">
        <v>43787</v>
      </c>
      <c r="AE93" s="45" t="s">
        <v>1964</v>
      </c>
      <c r="AF93" s="45" t="s">
        <v>1965</v>
      </c>
      <c r="AG93" s="48" t="s">
        <v>1966</v>
      </c>
      <c r="AH93" s="476">
        <v>150</v>
      </c>
    </row>
    <row r="94" spans="9:35" x14ac:dyDescent="0.35">
      <c r="I94" s="426" t="s">
        <v>160</v>
      </c>
      <c r="K94" s="432">
        <f t="shared" si="73"/>
        <v>1050</v>
      </c>
      <c r="L94" s="432">
        <f t="shared" si="74"/>
        <v>1464.89</v>
      </c>
      <c r="M94" s="432">
        <f t="shared" si="75"/>
        <v>632.27692307692314</v>
      </c>
      <c r="N94" s="432">
        <f t="shared" si="76"/>
        <v>290</v>
      </c>
      <c r="O94" s="432">
        <f t="shared" si="77"/>
        <v>606.11</v>
      </c>
      <c r="P94" s="432">
        <f t="shared" si="78"/>
        <v>783.72</v>
      </c>
      <c r="Q94" s="432">
        <f t="shared" si="79"/>
        <v>1390</v>
      </c>
      <c r="R94" s="432">
        <f t="shared" si="80"/>
        <v>1757</v>
      </c>
      <c r="S94" s="432">
        <f t="shared" si="81"/>
        <v>1278.6199999999999</v>
      </c>
      <c r="T94" s="432">
        <f t="shared" si="82"/>
        <v>1178.69</v>
      </c>
      <c r="U94" s="432">
        <f t="shared" si="83"/>
        <v>1997.43</v>
      </c>
      <c r="V94" s="432">
        <f t="shared" si="84"/>
        <v>318.57</v>
      </c>
      <c r="W94" s="432">
        <f t="shared" si="85"/>
        <v>12747.306923076923</v>
      </c>
      <c r="X94" s="460">
        <f t="shared" si="86"/>
        <v>0.28998305500787863</v>
      </c>
      <c r="Y94" s="460">
        <f>W94/W102</f>
        <v>0.23176122345206951</v>
      </c>
      <c r="AD94" s="470">
        <v>43865</v>
      </c>
      <c r="AE94" s="45" t="s">
        <v>1961</v>
      </c>
      <c r="AF94" s="426" t="s">
        <v>1967</v>
      </c>
      <c r="AG94" s="48" t="s">
        <v>1968</v>
      </c>
      <c r="AH94" s="476">
        <v>200</v>
      </c>
      <c r="AI94" s="45" t="s">
        <v>1969</v>
      </c>
    </row>
    <row r="95" spans="9:35" x14ac:dyDescent="0.35">
      <c r="I95" s="426" t="s">
        <v>161</v>
      </c>
      <c r="K95" s="432">
        <f t="shared" si="73"/>
        <v>611.25</v>
      </c>
      <c r="L95" s="432">
        <f t="shared" si="74"/>
        <v>673.75</v>
      </c>
      <c r="M95" s="432">
        <f t="shared" si="75"/>
        <v>611.25</v>
      </c>
      <c r="N95" s="432">
        <f t="shared" si="76"/>
        <v>363.75</v>
      </c>
      <c r="O95" s="432">
        <f t="shared" si="77"/>
        <v>613.75</v>
      </c>
      <c r="P95" s="432">
        <f t="shared" si="78"/>
        <v>293.75</v>
      </c>
      <c r="Q95" s="432">
        <f t="shared" si="79"/>
        <v>60</v>
      </c>
      <c r="R95" s="432">
        <f t="shared" si="80"/>
        <v>727.5</v>
      </c>
      <c r="S95" s="432">
        <f t="shared" si="81"/>
        <v>40</v>
      </c>
      <c r="T95" s="432">
        <f t="shared" si="82"/>
        <v>40</v>
      </c>
      <c r="U95" s="432">
        <f t="shared" si="83"/>
        <v>525</v>
      </c>
      <c r="V95" s="432">
        <f t="shared" si="84"/>
        <v>267.5</v>
      </c>
      <c r="W95" s="432">
        <f t="shared" si="85"/>
        <v>4827.5</v>
      </c>
      <c r="X95" s="460">
        <f t="shared" si="86"/>
        <v>0.13337252852538978</v>
      </c>
      <c r="Y95" s="460">
        <f>W95/W102</f>
        <v>8.7769700138733697E-2</v>
      </c>
      <c r="AG95" s="48"/>
    </row>
    <row r="96" spans="9:35" x14ac:dyDescent="0.35">
      <c r="I96" s="426" t="s">
        <v>162</v>
      </c>
      <c r="K96" s="432">
        <f t="shared" si="73"/>
        <v>1393.6</v>
      </c>
      <c r="L96" s="432">
        <f t="shared" si="74"/>
        <v>350</v>
      </c>
      <c r="M96" s="432">
        <f t="shared" si="75"/>
        <v>2513.52</v>
      </c>
      <c r="N96" s="432">
        <f t="shared" si="76"/>
        <v>600</v>
      </c>
      <c r="O96" s="432">
        <f t="shared" si="77"/>
        <v>220</v>
      </c>
      <c r="P96" s="432">
        <f t="shared" si="78"/>
        <v>4891.25</v>
      </c>
      <c r="Q96" s="432">
        <f t="shared" si="79"/>
        <v>687</v>
      </c>
      <c r="R96" s="432">
        <f t="shared" si="80"/>
        <v>8000</v>
      </c>
      <c r="S96" s="432">
        <f t="shared" si="81"/>
        <v>0</v>
      </c>
      <c r="T96" s="432">
        <f t="shared" si="82"/>
        <v>0</v>
      </c>
      <c r="U96" s="432">
        <f t="shared" si="83"/>
        <v>340</v>
      </c>
      <c r="V96" s="432">
        <f t="shared" si="84"/>
        <v>0</v>
      </c>
      <c r="W96" s="432">
        <f t="shared" si="85"/>
        <v>18995.37</v>
      </c>
      <c r="X96" s="460">
        <f t="shared" si="86"/>
        <v>6.9284430402799885E-2</v>
      </c>
      <c r="Y96" s="460">
        <f>W96/W102</f>
        <v>0.34535845239239726</v>
      </c>
      <c r="AG96" s="48"/>
    </row>
    <row r="97" spans="9:34" ht="13.15" customHeight="1" x14ac:dyDescent="0.4">
      <c r="I97" s="426" t="s">
        <v>163</v>
      </c>
      <c r="K97" s="432">
        <f t="shared" si="73"/>
        <v>0</v>
      </c>
      <c r="L97" s="432">
        <f t="shared" si="74"/>
        <v>0</v>
      </c>
      <c r="M97" s="432">
        <f t="shared" si="75"/>
        <v>0</v>
      </c>
      <c r="N97" s="432">
        <f t="shared" si="76"/>
        <v>0</v>
      </c>
      <c r="O97" s="432">
        <f t="shared" si="77"/>
        <v>0</v>
      </c>
      <c r="P97" s="432">
        <f t="shared" si="78"/>
        <v>0</v>
      </c>
      <c r="Q97" s="432">
        <f t="shared" si="79"/>
        <v>0</v>
      </c>
      <c r="R97" s="432">
        <f t="shared" si="80"/>
        <v>0</v>
      </c>
      <c r="S97" s="432">
        <f t="shared" si="81"/>
        <v>0</v>
      </c>
      <c r="T97" s="432">
        <f t="shared" si="82"/>
        <v>0</v>
      </c>
      <c r="U97" s="432">
        <f t="shared" si="83"/>
        <v>0</v>
      </c>
      <c r="V97" s="432">
        <f t="shared" si="84"/>
        <v>0</v>
      </c>
      <c r="W97" s="432">
        <f t="shared" si="85"/>
        <v>0</v>
      </c>
      <c r="X97" s="460">
        <f t="shared" si="86"/>
        <v>0</v>
      </c>
      <c r="Y97" s="460">
        <f>W97/W102</f>
        <v>0</v>
      </c>
      <c r="AH97" s="610">
        <f>SUM(AH17:AH96)</f>
        <v>9513</v>
      </c>
    </row>
    <row r="98" spans="9:34" x14ac:dyDescent="0.35">
      <c r="I98" s="426" t="s">
        <v>164</v>
      </c>
      <c r="K98" s="432">
        <f t="shared" si="73"/>
        <v>0</v>
      </c>
      <c r="L98" s="432">
        <f t="shared" si="74"/>
        <v>0</v>
      </c>
      <c r="M98" s="432">
        <f t="shared" si="75"/>
        <v>0</v>
      </c>
      <c r="N98" s="432">
        <f t="shared" si="76"/>
        <v>0</v>
      </c>
      <c r="O98" s="432">
        <f t="shared" si="77"/>
        <v>0</v>
      </c>
      <c r="P98" s="432">
        <f t="shared" si="78"/>
        <v>0</v>
      </c>
      <c r="Q98" s="432">
        <f t="shared" si="79"/>
        <v>0</v>
      </c>
      <c r="R98" s="432">
        <f t="shared" si="80"/>
        <v>0</v>
      </c>
      <c r="S98" s="432">
        <f t="shared" si="81"/>
        <v>0</v>
      </c>
      <c r="T98" s="432">
        <f t="shared" si="82"/>
        <v>0</v>
      </c>
      <c r="U98" s="432">
        <f t="shared" si="83"/>
        <v>0</v>
      </c>
      <c r="V98" s="432">
        <f t="shared" si="84"/>
        <v>0</v>
      </c>
      <c r="W98" s="432">
        <f t="shared" si="85"/>
        <v>0</v>
      </c>
      <c r="X98" s="460">
        <f t="shared" si="86"/>
        <v>0</v>
      </c>
      <c r="Y98" s="460">
        <f>W98/W102</f>
        <v>0</v>
      </c>
    </row>
    <row r="99" spans="9:34" x14ac:dyDescent="0.35">
      <c r="I99" s="45" t="s">
        <v>165</v>
      </c>
      <c r="K99" s="432">
        <f t="shared" si="73"/>
        <v>0</v>
      </c>
      <c r="L99" s="432">
        <f t="shared" si="74"/>
        <v>0</v>
      </c>
      <c r="M99" s="432">
        <f t="shared" si="75"/>
        <v>0</v>
      </c>
      <c r="N99" s="432">
        <f t="shared" si="76"/>
        <v>0</v>
      </c>
      <c r="O99" s="432">
        <f t="shared" si="77"/>
        <v>0</v>
      </c>
      <c r="P99" s="432">
        <f t="shared" si="78"/>
        <v>0</v>
      </c>
      <c r="Q99" s="432">
        <f t="shared" si="79"/>
        <v>0</v>
      </c>
      <c r="R99" s="432">
        <f t="shared" si="80"/>
        <v>0</v>
      </c>
      <c r="S99" s="432">
        <f t="shared" si="81"/>
        <v>0</v>
      </c>
      <c r="T99" s="432">
        <f t="shared" si="82"/>
        <v>0</v>
      </c>
      <c r="U99" s="432">
        <f t="shared" si="83"/>
        <v>0</v>
      </c>
      <c r="V99" s="432">
        <f t="shared" si="84"/>
        <v>0</v>
      </c>
      <c r="W99" s="432">
        <f t="shared" si="85"/>
        <v>0</v>
      </c>
      <c r="X99" s="460"/>
      <c r="Y99" s="460"/>
    </row>
    <row r="100" spans="9:34" x14ac:dyDescent="0.35">
      <c r="I100" s="45" t="s">
        <v>166</v>
      </c>
      <c r="K100" s="432">
        <f t="shared" si="73"/>
        <v>0</v>
      </c>
      <c r="L100" s="432">
        <f t="shared" si="74"/>
        <v>0</v>
      </c>
      <c r="M100" s="432">
        <f t="shared" si="75"/>
        <v>0</v>
      </c>
      <c r="N100" s="432">
        <f t="shared" si="76"/>
        <v>0</v>
      </c>
      <c r="O100" s="432">
        <f t="shared" si="77"/>
        <v>0</v>
      </c>
      <c r="P100" s="432">
        <f t="shared" si="78"/>
        <v>0</v>
      </c>
      <c r="Q100" s="432">
        <f t="shared" si="79"/>
        <v>0</v>
      </c>
      <c r="R100" s="432">
        <f t="shared" si="80"/>
        <v>0</v>
      </c>
      <c r="S100" s="432">
        <f t="shared" si="81"/>
        <v>0</v>
      </c>
      <c r="T100" s="432">
        <f t="shared" si="82"/>
        <v>0</v>
      </c>
      <c r="U100" s="432">
        <f t="shared" si="83"/>
        <v>0</v>
      </c>
      <c r="V100" s="432">
        <f t="shared" si="84"/>
        <v>0</v>
      </c>
      <c r="W100" s="432">
        <f t="shared" si="85"/>
        <v>0</v>
      </c>
      <c r="X100" s="460">
        <f>L100/$L$102</f>
        <v>0</v>
      </c>
      <c r="Y100" s="460">
        <f>W100/W102</f>
        <v>0</v>
      </c>
    </row>
    <row r="101" spans="9:34" x14ac:dyDescent="0.35">
      <c r="I101" s="426" t="s">
        <v>2297</v>
      </c>
      <c r="K101" s="432">
        <f t="shared" si="73"/>
        <v>0</v>
      </c>
      <c r="L101" s="432">
        <f t="shared" si="74"/>
        <v>0</v>
      </c>
      <c r="M101" s="432">
        <f t="shared" si="75"/>
        <v>0</v>
      </c>
      <c r="N101" s="432">
        <f t="shared" si="76"/>
        <v>0</v>
      </c>
      <c r="O101" s="432">
        <f t="shared" si="77"/>
        <v>0</v>
      </c>
      <c r="P101" s="432">
        <f t="shared" si="78"/>
        <v>0</v>
      </c>
      <c r="Q101" s="432">
        <f t="shared" si="79"/>
        <v>0</v>
      </c>
      <c r="R101" s="432">
        <f t="shared" si="80"/>
        <v>0</v>
      </c>
      <c r="S101" s="432">
        <f t="shared" si="81"/>
        <v>0</v>
      </c>
      <c r="T101" s="432">
        <f t="shared" si="82"/>
        <v>0</v>
      </c>
      <c r="U101" s="432">
        <f t="shared" si="83"/>
        <v>0</v>
      </c>
      <c r="V101" s="432">
        <f t="shared" si="84"/>
        <v>0</v>
      </c>
      <c r="W101" s="432">
        <f t="shared" si="85"/>
        <v>0</v>
      </c>
      <c r="X101" s="460">
        <f>L101/$L$102</f>
        <v>0</v>
      </c>
      <c r="Y101" s="460">
        <f>W101/W102</f>
        <v>0</v>
      </c>
    </row>
    <row r="102" spans="9:34" ht="13.5" customHeight="1" thickBot="1" x14ac:dyDescent="0.45">
      <c r="I102" s="454"/>
      <c r="K102" s="797">
        <f t="shared" ref="K102:W102" si="87">SUM(K93:K101)</f>
        <v>7647.85</v>
      </c>
      <c r="L102" s="797">
        <f t="shared" si="87"/>
        <v>5051.6400000000003</v>
      </c>
      <c r="M102" s="797">
        <f t="shared" si="87"/>
        <v>4783.7469230769238</v>
      </c>
      <c r="N102" s="797">
        <f t="shared" si="87"/>
        <v>1598.35</v>
      </c>
      <c r="O102" s="797">
        <f t="shared" si="87"/>
        <v>1786.66</v>
      </c>
      <c r="P102" s="797">
        <f t="shared" si="87"/>
        <v>6854.62</v>
      </c>
      <c r="Q102" s="797">
        <f t="shared" si="87"/>
        <v>2667</v>
      </c>
      <c r="R102" s="797">
        <f t="shared" si="87"/>
        <v>11694.07</v>
      </c>
      <c r="S102" s="797">
        <f t="shared" si="87"/>
        <v>4126.62</v>
      </c>
      <c r="T102" s="797">
        <f t="shared" si="87"/>
        <v>2423.69</v>
      </c>
      <c r="U102" s="797">
        <f t="shared" si="87"/>
        <v>3332.58</v>
      </c>
      <c r="V102" s="797">
        <f t="shared" si="87"/>
        <v>3035.07</v>
      </c>
      <c r="W102" s="797">
        <f t="shared" si="87"/>
        <v>55001.896923076914</v>
      </c>
      <c r="X102" s="454"/>
      <c r="Y102" s="466"/>
      <c r="AD102" s="470"/>
      <c r="AF102" s="45"/>
      <c r="AG102" s="48"/>
    </row>
    <row r="103" spans="9:34" ht="13.15" customHeight="1" thickTop="1" x14ac:dyDescent="0.35">
      <c r="I103" s="454"/>
      <c r="K103" s="434">
        <f t="shared" ref="K103:S103" si="88">K102-K16</f>
        <v>0</v>
      </c>
      <c r="L103" s="434">
        <f t="shared" si="88"/>
        <v>0</v>
      </c>
      <c r="M103" s="434">
        <f t="shared" si="88"/>
        <v>0</v>
      </c>
      <c r="N103" s="434">
        <f t="shared" si="88"/>
        <v>0</v>
      </c>
      <c r="O103" s="434">
        <f t="shared" si="88"/>
        <v>0</v>
      </c>
      <c r="P103" s="434">
        <f t="shared" si="88"/>
        <v>0</v>
      </c>
      <c r="Q103" s="434">
        <f t="shared" si="88"/>
        <v>0</v>
      </c>
      <c r="R103" s="434">
        <f t="shared" si="88"/>
        <v>0</v>
      </c>
      <c r="S103" s="434">
        <f t="shared" si="88"/>
        <v>0</v>
      </c>
      <c r="T103" s="434"/>
      <c r="U103" s="434"/>
      <c r="V103" s="434"/>
      <c r="W103" s="434"/>
      <c r="X103" s="454"/>
      <c r="AD103" s="470"/>
      <c r="AF103" s="45"/>
      <c r="AG103" s="48"/>
    </row>
    <row r="104" spans="9:34" ht="13.15" customHeight="1" x14ac:dyDescent="0.4">
      <c r="I104" s="556" t="s">
        <v>168</v>
      </c>
      <c r="K104" s="577" t="s">
        <v>142</v>
      </c>
      <c r="L104" s="577" t="s">
        <v>143</v>
      </c>
      <c r="M104" s="577" t="s">
        <v>144</v>
      </c>
      <c r="N104" s="577" t="s">
        <v>145</v>
      </c>
      <c r="O104" s="577" t="s">
        <v>146</v>
      </c>
      <c r="P104" s="577" t="s">
        <v>147</v>
      </c>
      <c r="Q104" s="577" t="s">
        <v>148</v>
      </c>
      <c r="R104" s="577" t="s">
        <v>149</v>
      </c>
      <c r="S104" s="577" t="s">
        <v>150</v>
      </c>
      <c r="T104" s="577" t="s">
        <v>151</v>
      </c>
      <c r="U104" s="577" t="s">
        <v>152</v>
      </c>
      <c r="V104" s="577" t="s">
        <v>153</v>
      </c>
      <c r="W104" s="577" t="s">
        <v>19</v>
      </c>
      <c r="X104" s="454"/>
      <c r="AD104" s="470"/>
      <c r="AF104" s="45"/>
      <c r="AG104" s="48"/>
    </row>
    <row r="105" spans="9:34" ht="13.15" customHeight="1" x14ac:dyDescent="0.4">
      <c r="I105" s="613" t="s">
        <v>1310</v>
      </c>
      <c r="K105" s="454">
        <f t="shared" ref="K105:V105" si="89">K93*1.8%</f>
        <v>82.674000000000007</v>
      </c>
      <c r="L105" s="454">
        <f t="shared" si="89"/>
        <v>46.134000000000007</v>
      </c>
      <c r="M105" s="454">
        <f t="shared" si="89"/>
        <v>18.480600000000003</v>
      </c>
      <c r="N105" s="454">
        <f t="shared" si="89"/>
        <v>6.2028000000000008</v>
      </c>
      <c r="O105" s="454">
        <f t="shared" si="89"/>
        <v>6.2424000000000008</v>
      </c>
      <c r="P105" s="454">
        <f t="shared" si="89"/>
        <v>15.946200000000003</v>
      </c>
      <c r="Q105" s="454">
        <f t="shared" si="89"/>
        <v>9.5400000000000009</v>
      </c>
      <c r="R105" s="454">
        <f t="shared" si="89"/>
        <v>21.772260000000006</v>
      </c>
      <c r="S105" s="454">
        <f t="shared" si="89"/>
        <v>50.544000000000004</v>
      </c>
      <c r="T105" s="454">
        <f t="shared" si="89"/>
        <v>21.69</v>
      </c>
      <c r="U105" s="454">
        <f t="shared" si="89"/>
        <v>8.4626999999999999</v>
      </c>
      <c r="V105" s="454">
        <f t="shared" si="89"/>
        <v>44.082000000000008</v>
      </c>
      <c r="W105" s="432">
        <f t="shared" ref="W105:W110" si="90">SUM(K105:V105)</f>
        <v>331.77096</v>
      </c>
      <c r="X105" s="454"/>
      <c r="Y105" s="466"/>
      <c r="AD105" s="470"/>
      <c r="AF105" s="45"/>
      <c r="AG105" s="48"/>
    </row>
    <row r="106" spans="9:34" ht="13.15" customHeight="1" x14ac:dyDescent="0.4">
      <c r="I106" s="613" t="s">
        <v>170</v>
      </c>
      <c r="K106" s="454">
        <f t="shared" ref="K106:V106" si="91">K94*3.5%</f>
        <v>36.75</v>
      </c>
      <c r="L106" s="454">
        <f t="shared" si="91"/>
        <v>51.271150000000006</v>
      </c>
      <c r="M106" s="454">
        <f t="shared" si="91"/>
        <v>22.129692307692313</v>
      </c>
      <c r="N106" s="454">
        <f t="shared" si="91"/>
        <v>10.15</v>
      </c>
      <c r="O106" s="454">
        <f t="shared" si="91"/>
        <v>21.213850000000001</v>
      </c>
      <c r="P106" s="454">
        <f t="shared" si="91"/>
        <v>27.430200000000003</v>
      </c>
      <c r="Q106" s="454">
        <f t="shared" si="91"/>
        <v>48.650000000000006</v>
      </c>
      <c r="R106" s="454">
        <f t="shared" si="91"/>
        <v>61.495000000000005</v>
      </c>
      <c r="S106" s="454">
        <f t="shared" si="91"/>
        <v>44.7517</v>
      </c>
      <c r="T106" s="454">
        <f t="shared" si="91"/>
        <v>41.254150000000003</v>
      </c>
      <c r="U106" s="454">
        <f t="shared" si="91"/>
        <v>69.910050000000012</v>
      </c>
      <c r="V106" s="454">
        <f t="shared" si="91"/>
        <v>11.14995</v>
      </c>
      <c r="W106" s="432">
        <f t="shared" si="90"/>
        <v>446.15574230769238</v>
      </c>
      <c r="X106" s="454"/>
      <c r="Y106" s="466"/>
      <c r="AD106" s="470"/>
      <c r="AF106" s="45"/>
      <c r="AG106" s="48"/>
    </row>
    <row r="107" spans="9:34" ht="13.15" customHeight="1" x14ac:dyDescent="0.4">
      <c r="I107" s="454" t="s">
        <v>2297</v>
      </c>
      <c r="K107" s="454">
        <f t="shared" ref="K107:V107" si="92">K101*3.5%</f>
        <v>0</v>
      </c>
      <c r="L107" s="454">
        <f t="shared" si="92"/>
        <v>0</v>
      </c>
      <c r="M107" s="454">
        <f t="shared" si="92"/>
        <v>0</v>
      </c>
      <c r="N107" s="454">
        <f t="shared" si="92"/>
        <v>0</v>
      </c>
      <c r="O107" s="454">
        <f t="shared" si="92"/>
        <v>0</v>
      </c>
      <c r="P107" s="454">
        <f t="shared" si="92"/>
        <v>0</v>
      </c>
      <c r="Q107" s="454">
        <f t="shared" si="92"/>
        <v>0</v>
      </c>
      <c r="R107" s="454">
        <f t="shared" si="92"/>
        <v>0</v>
      </c>
      <c r="S107" s="454">
        <f t="shared" si="92"/>
        <v>0</v>
      </c>
      <c r="T107" s="454">
        <f t="shared" si="92"/>
        <v>0</v>
      </c>
      <c r="U107" s="454">
        <f t="shared" si="92"/>
        <v>0</v>
      </c>
      <c r="V107" s="454">
        <f t="shared" si="92"/>
        <v>0</v>
      </c>
      <c r="W107" s="586">
        <f t="shared" si="90"/>
        <v>0</v>
      </c>
      <c r="X107" s="454"/>
      <c r="Y107" s="466"/>
      <c r="AD107" s="470"/>
      <c r="AF107" s="45"/>
      <c r="AG107" s="48"/>
    </row>
    <row r="108" spans="9:34" ht="13.5" customHeight="1" thickBot="1" x14ac:dyDescent="0.45">
      <c r="I108" s="818" t="s">
        <v>171</v>
      </c>
      <c r="J108" s="819"/>
      <c r="K108" s="818">
        <f t="shared" ref="K108:V108" si="93">SUM(K104:K107)</f>
        <v>119.42400000000001</v>
      </c>
      <c r="L108" s="818">
        <f t="shared" si="93"/>
        <v>97.40515000000002</v>
      </c>
      <c r="M108" s="818">
        <f t="shared" si="93"/>
        <v>40.610292307692319</v>
      </c>
      <c r="N108" s="818">
        <f t="shared" si="93"/>
        <v>16.352800000000002</v>
      </c>
      <c r="O108" s="818">
        <f t="shared" si="93"/>
        <v>27.456250000000001</v>
      </c>
      <c r="P108" s="818">
        <f t="shared" si="93"/>
        <v>43.376400000000004</v>
      </c>
      <c r="Q108" s="818">
        <f t="shared" si="93"/>
        <v>58.190000000000005</v>
      </c>
      <c r="R108" s="818">
        <f t="shared" si="93"/>
        <v>83.267260000000007</v>
      </c>
      <c r="S108" s="818">
        <f t="shared" si="93"/>
        <v>95.295700000000011</v>
      </c>
      <c r="T108" s="818">
        <f t="shared" si="93"/>
        <v>62.944150000000008</v>
      </c>
      <c r="U108" s="818">
        <f t="shared" si="93"/>
        <v>78.372750000000011</v>
      </c>
      <c r="V108" s="818">
        <f t="shared" si="93"/>
        <v>55.231950000000012</v>
      </c>
      <c r="W108" s="820">
        <f t="shared" si="90"/>
        <v>777.92670230769238</v>
      </c>
      <c r="X108" s="454"/>
      <c r="Y108" s="466"/>
      <c r="AD108" s="470"/>
      <c r="AF108" s="45"/>
      <c r="AG108" s="48"/>
    </row>
    <row r="109" spans="9:34" ht="13.15" customHeight="1" x14ac:dyDescent="0.4">
      <c r="I109" s="454"/>
      <c r="K109" s="454"/>
      <c r="L109" s="454"/>
      <c r="M109" s="454"/>
      <c r="N109" s="454"/>
      <c r="O109" s="454"/>
      <c r="P109" s="454"/>
      <c r="Q109" s="454"/>
      <c r="R109" s="454"/>
      <c r="S109" s="454"/>
      <c r="T109" s="454"/>
      <c r="U109" s="454"/>
      <c r="V109" s="454"/>
      <c r="W109" s="461">
        <f t="shared" si="90"/>
        <v>0</v>
      </c>
      <c r="X109" s="454"/>
      <c r="Y109" s="466"/>
      <c r="AD109" s="470"/>
      <c r="AF109" s="45"/>
      <c r="AG109" s="48"/>
    </row>
    <row r="110" spans="9:34" ht="13.5" customHeight="1" thickBot="1" x14ac:dyDescent="0.45">
      <c r="I110" s="561" t="s">
        <v>172</v>
      </c>
      <c r="K110" s="797">
        <f t="shared" ref="K110:V110" si="94">K102-K108</f>
        <v>7528.4260000000004</v>
      </c>
      <c r="L110" s="797">
        <f t="shared" si="94"/>
        <v>4954.2348500000007</v>
      </c>
      <c r="M110" s="797">
        <f t="shared" si="94"/>
        <v>4743.1366307692315</v>
      </c>
      <c r="N110" s="797">
        <f t="shared" si="94"/>
        <v>1581.9971999999998</v>
      </c>
      <c r="O110" s="797">
        <f t="shared" si="94"/>
        <v>1759.2037500000001</v>
      </c>
      <c r="P110" s="797">
        <f t="shared" si="94"/>
        <v>6811.2435999999998</v>
      </c>
      <c r="Q110" s="797">
        <f t="shared" si="94"/>
        <v>2608.81</v>
      </c>
      <c r="R110" s="797">
        <f t="shared" si="94"/>
        <v>11610.802739999999</v>
      </c>
      <c r="S110" s="797">
        <f t="shared" si="94"/>
        <v>4031.3242999999998</v>
      </c>
      <c r="T110" s="797">
        <f t="shared" si="94"/>
        <v>2360.7458500000002</v>
      </c>
      <c r="U110" s="797">
        <f t="shared" si="94"/>
        <v>3254.2072499999999</v>
      </c>
      <c r="V110" s="797">
        <f t="shared" si="94"/>
        <v>2979.8380500000003</v>
      </c>
      <c r="W110" s="798">
        <f t="shared" si="90"/>
        <v>54223.970220769232</v>
      </c>
      <c r="X110" s="454"/>
      <c r="Y110" s="466"/>
      <c r="AD110" s="470"/>
      <c r="AF110" s="45"/>
      <c r="AG110" s="48"/>
    </row>
    <row r="113" spans="9:24" ht="13.15" customHeight="1" x14ac:dyDescent="0.4">
      <c r="I113" s="556" t="s">
        <v>173</v>
      </c>
      <c r="K113" s="577" t="s">
        <v>142</v>
      </c>
      <c r="L113" s="577" t="s">
        <v>143</v>
      </c>
      <c r="M113" s="577" t="s">
        <v>144</v>
      </c>
      <c r="N113" s="577" t="s">
        <v>145</v>
      </c>
      <c r="O113" s="577" t="s">
        <v>146</v>
      </c>
      <c r="P113" s="577" t="s">
        <v>147</v>
      </c>
      <c r="Q113" s="577" t="s">
        <v>148</v>
      </c>
      <c r="R113" s="577" t="s">
        <v>149</v>
      </c>
      <c r="S113" s="577" t="s">
        <v>150</v>
      </c>
      <c r="T113" s="577" t="s">
        <v>151</v>
      </c>
      <c r="U113" s="577" t="s">
        <v>152</v>
      </c>
      <c r="V113" s="577" t="s">
        <v>153</v>
      </c>
      <c r="W113" s="577" t="s">
        <v>19</v>
      </c>
      <c r="X113" s="423" t="s">
        <v>158</v>
      </c>
    </row>
    <row r="114" spans="9:24" x14ac:dyDescent="0.35">
      <c r="I114" s="426" t="s">
        <v>174</v>
      </c>
      <c r="K114" s="432">
        <f t="shared" ref="K114:K120" si="95">SUMIFS($E$145:$E$587,$A$145:$A$587,"&gt;31/12/2019",$A$145:$A$587,"&lt;1/2/2020",$G$145:$G$587,$I114)</f>
        <v>2803</v>
      </c>
      <c r="L114" s="432">
        <f t="shared" ref="L114:L120" si="96">SUMIFS($E$145:$E$587,$A$145:$A$587,"&gt;31/1/2020",$A$145:$A$587,"&lt;1/3/2020",$G$145:$G$587,$I114)</f>
        <v>1844</v>
      </c>
      <c r="M114" s="432">
        <f t="shared" ref="M114:M120" si="97">SUMIFS($E$145:$E$587,$A$145:$A$587,"&gt;29/2/2020",$A$145:$A$587,"&lt;1/4/2020",$G$145:$G$587,$I114)</f>
        <v>745.7</v>
      </c>
      <c r="N114" s="432">
        <f t="shared" ref="N114:N120" si="98">SUMIFS($E$145:$E$587,$A$145:$A$587,"&gt;31/3/2020",$A$145:$A$587,"&lt;1/5/2020",$G$145:$G$587,$I114)</f>
        <v>752.1</v>
      </c>
      <c r="O114" s="432">
        <f t="shared" ref="O114:O120" si="99">SUMIFS($E$145:$E$587,$A$145:$A$587,"&gt;30/4/2020",$A$145:$A$587,"&lt;1/6/2020",$G$145:$G$587,$I114)</f>
        <v>235</v>
      </c>
      <c r="P114" s="432">
        <f t="shared" ref="P114:P120" si="100">SUMIFS($E$145:$E$587,$A$145:$A$587,"&gt;31/5/2020",$A$145:$A$587,"&lt;1/7/2020",$G$145:$G$587,$I114)</f>
        <v>5000</v>
      </c>
      <c r="Q114" s="432">
        <f t="shared" ref="Q114:Q120" si="101">SUMIFS($E$145:$E$587,$A$145:$A$587,"&gt;30/6/2020",$A$145:$A$587,"&lt;1/8/2020",$G$145:$G$587,$I114)</f>
        <v>2035</v>
      </c>
      <c r="R114" s="432">
        <f t="shared" ref="R114:R120" si="102">SUMIFS($E$145:$E$587,$A$145:$A$587,"&gt;31/7/2020",$A$145:$A$587,"&lt;1/9/2020",$G$145:$G$587,$I114)</f>
        <v>1520.57</v>
      </c>
      <c r="S114" s="432">
        <f t="shared" ref="S114:S120" si="103">SUMIFS($E$145:$E$587,$A$145:$A$587,"&gt;31/8/2020",$A$145:$A$587,"&lt;1/10/2020",$G$145:$G$587,$I114)</f>
        <v>2360</v>
      </c>
      <c r="T114" s="432">
        <f t="shared" ref="T114:T120" si="104">SUMIFS($E$145:$E$587,$A$145:$A$587,"&gt;30/9/2020",$A$145:$A$587,"&lt;1/11/2020",$G$145:$G$587,$I114)</f>
        <v>953</v>
      </c>
      <c r="U114" s="432">
        <f t="shared" ref="U114:U120" si="105">SUMIFS($E$145:$E$587,$A$145:$A$587,"&gt;31/10/2020",$A$145:$A$587,"&lt;1/12/2020",$G$145:$G$587,$I114)</f>
        <v>980.9</v>
      </c>
      <c r="V114" s="432">
        <f t="shared" ref="V114:V120" si="106">SUMIFS($E$145:$E$587,$A$145:$A$587,"&gt;30/11/2020",$A$145:$A$587,"&lt;1/1/2021",$G$145:$G$587,$I114)</f>
        <v>2289</v>
      </c>
      <c r="W114" s="432">
        <f t="shared" ref="W114:W120" si="107">SUM(K114:V114)</f>
        <v>21518.27</v>
      </c>
      <c r="X114" s="460">
        <f t="shared" ref="X114:X121" si="108">IFERROR(W114/$W$121,0)</f>
        <v>0.39122777947266879</v>
      </c>
    </row>
    <row r="115" spans="9:24" x14ac:dyDescent="0.35">
      <c r="I115" s="426" t="s">
        <v>175</v>
      </c>
      <c r="K115" s="432">
        <f t="shared" si="95"/>
        <v>4784.8500000000004</v>
      </c>
      <c r="L115" s="432">
        <f t="shared" si="96"/>
        <v>2829.6400000000003</v>
      </c>
      <c r="M115" s="432">
        <f t="shared" si="97"/>
        <v>3739.0469230769231</v>
      </c>
      <c r="N115" s="432">
        <f t="shared" si="98"/>
        <v>846.25</v>
      </c>
      <c r="O115" s="432">
        <f t="shared" si="99"/>
        <v>1551.66</v>
      </c>
      <c r="P115" s="432">
        <f t="shared" si="100"/>
        <v>1854.6200000000001</v>
      </c>
      <c r="Q115" s="432">
        <f t="shared" si="101"/>
        <v>632</v>
      </c>
      <c r="R115" s="432">
        <f t="shared" si="102"/>
        <v>10173.5</v>
      </c>
      <c r="S115" s="432">
        <f t="shared" si="103"/>
        <v>1228.6199999999999</v>
      </c>
      <c r="T115" s="432">
        <f t="shared" si="104"/>
        <v>1122.69</v>
      </c>
      <c r="U115" s="432">
        <f t="shared" si="105"/>
        <v>2351.6800000000003</v>
      </c>
      <c r="V115" s="432">
        <f t="shared" si="106"/>
        <v>746.06999999999994</v>
      </c>
      <c r="W115" s="432">
        <f t="shared" si="107"/>
        <v>31860.626923076925</v>
      </c>
      <c r="X115" s="460">
        <f t="shared" si="108"/>
        <v>0.57926414733724008</v>
      </c>
    </row>
    <row r="116" spans="9:24" x14ac:dyDescent="0.35">
      <c r="I116" s="426" t="s">
        <v>1311</v>
      </c>
      <c r="K116" s="432">
        <f t="shared" si="95"/>
        <v>0</v>
      </c>
      <c r="L116" s="432">
        <f t="shared" si="96"/>
        <v>150</v>
      </c>
      <c r="M116" s="432">
        <f t="shared" si="97"/>
        <v>200</v>
      </c>
      <c r="N116" s="432">
        <f t="shared" si="98"/>
        <v>0</v>
      </c>
      <c r="O116" s="432">
        <f t="shared" si="99"/>
        <v>0</v>
      </c>
      <c r="P116" s="432">
        <f t="shared" si="100"/>
        <v>0</v>
      </c>
      <c r="Q116" s="432">
        <f t="shared" si="101"/>
        <v>0</v>
      </c>
      <c r="R116" s="432">
        <f t="shared" si="102"/>
        <v>0</v>
      </c>
      <c r="S116" s="432">
        <f t="shared" si="103"/>
        <v>0</v>
      </c>
      <c r="T116" s="432">
        <f t="shared" si="104"/>
        <v>0</v>
      </c>
      <c r="U116" s="432">
        <f t="shared" si="105"/>
        <v>0</v>
      </c>
      <c r="V116" s="432">
        <f t="shared" si="106"/>
        <v>0</v>
      </c>
      <c r="W116" s="432">
        <f t="shared" si="107"/>
        <v>350</v>
      </c>
      <c r="X116" s="460">
        <f t="shared" si="108"/>
        <v>6.3634168925026996E-3</v>
      </c>
    </row>
    <row r="117" spans="9:24" x14ac:dyDescent="0.35">
      <c r="I117" s="426" t="s">
        <v>163</v>
      </c>
      <c r="K117" s="432">
        <f t="shared" si="95"/>
        <v>0</v>
      </c>
      <c r="L117" s="432">
        <f t="shared" si="96"/>
        <v>0</v>
      </c>
      <c r="M117" s="432">
        <f t="shared" si="97"/>
        <v>0</v>
      </c>
      <c r="N117" s="432">
        <f t="shared" si="98"/>
        <v>0</v>
      </c>
      <c r="O117" s="432">
        <f t="shared" si="99"/>
        <v>0</v>
      </c>
      <c r="P117" s="432">
        <f t="shared" si="100"/>
        <v>0</v>
      </c>
      <c r="Q117" s="432">
        <f t="shared" si="101"/>
        <v>0</v>
      </c>
      <c r="R117" s="432">
        <f t="shared" si="102"/>
        <v>0</v>
      </c>
      <c r="S117" s="432">
        <f t="shared" si="103"/>
        <v>0</v>
      </c>
      <c r="T117" s="432">
        <f t="shared" si="104"/>
        <v>0</v>
      </c>
      <c r="U117" s="432">
        <f t="shared" si="105"/>
        <v>0</v>
      </c>
      <c r="V117" s="432">
        <f t="shared" si="106"/>
        <v>0</v>
      </c>
      <c r="W117" s="432">
        <f t="shared" si="107"/>
        <v>0</v>
      </c>
      <c r="X117" s="460">
        <f t="shared" si="108"/>
        <v>0</v>
      </c>
    </row>
    <row r="118" spans="9:24" x14ac:dyDescent="0.35">
      <c r="I118" s="426" t="s">
        <v>177</v>
      </c>
      <c r="K118" s="432">
        <f t="shared" si="95"/>
        <v>0</v>
      </c>
      <c r="L118" s="432">
        <f t="shared" si="96"/>
        <v>0</v>
      </c>
      <c r="M118" s="432">
        <f t="shared" si="97"/>
        <v>0</v>
      </c>
      <c r="N118" s="432">
        <f t="shared" si="98"/>
        <v>0</v>
      </c>
      <c r="O118" s="432">
        <f t="shared" si="99"/>
        <v>0</v>
      </c>
      <c r="P118" s="432">
        <f t="shared" si="100"/>
        <v>0</v>
      </c>
      <c r="Q118" s="432">
        <f t="shared" si="101"/>
        <v>0</v>
      </c>
      <c r="R118" s="432">
        <f t="shared" si="102"/>
        <v>0</v>
      </c>
      <c r="S118" s="432">
        <f t="shared" si="103"/>
        <v>538</v>
      </c>
      <c r="T118" s="432">
        <f t="shared" si="104"/>
        <v>249</v>
      </c>
      <c r="U118" s="432">
        <f t="shared" si="105"/>
        <v>0</v>
      </c>
      <c r="V118" s="432">
        <f t="shared" si="106"/>
        <v>0</v>
      </c>
      <c r="W118" s="432">
        <f t="shared" si="107"/>
        <v>787</v>
      </c>
      <c r="X118" s="460">
        <f t="shared" si="108"/>
        <v>1.4308597412570357E-2</v>
      </c>
    </row>
    <row r="119" spans="9:24" x14ac:dyDescent="0.35">
      <c r="I119" s="45" t="s">
        <v>179</v>
      </c>
      <c r="K119" s="432">
        <f t="shared" si="95"/>
        <v>60</v>
      </c>
      <c r="L119" s="432">
        <f t="shared" si="96"/>
        <v>228</v>
      </c>
      <c r="M119" s="432">
        <f t="shared" si="97"/>
        <v>99</v>
      </c>
      <c r="N119" s="432">
        <f t="shared" si="98"/>
        <v>0</v>
      </c>
      <c r="O119" s="432">
        <f t="shared" si="99"/>
        <v>0</v>
      </c>
      <c r="P119" s="432">
        <f t="shared" si="100"/>
        <v>0</v>
      </c>
      <c r="Q119" s="432">
        <f t="shared" si="101"/>
        <v>0</v>
      </c>
      <c r="R119" s="432">
        <f t="shared" si="102"/>
        <v>0</v>
      </c>
      <c r="S119" s="432">
        <f t="shared" si="103"/>
        <v>0</v>
      </c>
      <c r="T119" s="432">
        <f t="shared" si="104"/>
        <v>99</v>
      </c>
      <c r="U119" s="432">
        <f t="shared" si="105"/>
        <v>0</v>
      </c>
      <c r="V119" s="432">
        <f t="shared" si="106"/>
        <v>0</v>
      </c>
      <c r="W119" s="432">
        <f t="shared" si="107"/>
        <v>486</v>
      </c>
      <c r="X119" s="460">
        <f t="shared" si="108"/>
        <v>8.8360588850180354E-3</v>
      </c>
    </row>
    <row r="120" spans="9:24" x14ac:dyDescent="0.35">
      <c r="I120" s="426" t="s">
        <v>181</v>
      </c>
      <c r="K120" s="432">
        <f t="shared" si="95"/>
        <v>0</v>
      </c>
      <c r="L120" s="432">
        <f t="shared" si="96"/>
        <v>0</v>
      </c>
      <c r="M120" s="432">
        <f t="shared" si="97"/>
        <v>0</v>
      </c>
      <c r="N120" s="432">
        <f t="shared" si="98"/>
        <v>0</v>
      </c>
      <c r="O120" s="432">
        <f t="shared" si="99"/>
        <v>0</v>
      </c>
      <c r="P120" s="432">
        <f t="shared" si="100"/>
        <v>0</v>
      </c>
      <c r="Q120" s="432">
        <f t="shared" si="101"/>
        <v>0</v>
      </c>
      <c r="R120" s="432">
        <f t="shared" si="102"/>
        <v>0</v>
      </c>
      <c r="S120" s="432">
        <f t="shared" si="103"/>
        <v>0</v>
      </c>
      <c r="T120" s="432">
        <f t="shared" si="104"/>
        <v>0</v>
      </c>
      <c r="U120" s="432">
        <f t="shared" si="105"/>
        <v>0</v>
      </c>
      <c r="V120" s="432">
        <f t="shared" si="106"/>
        <v>0</v>
      </c>
      <c r="W120" s="432">
        <f t="shared" si="107"/>
        <v>0</v>
      </c>
      <c r="X120" s="460">
        <f t="shared" si="108"/>
        <v>0</v>
      </c>
    </row>
    <row r="121" spans="9:24" ht="13.15" customHeight="1" x14ac:dyDescent="0.4">
      <c r="I121" s="454"/>
      <c r="K121" s="444">
        <f t="shared" ref="K121:W121" si="109">SUM(K114:K120)</f>
        <v>7647.85</v>
      </c>
      <c r="L121" s="444">
        <f t="shared" si="109"/>
        <v>5051.6400000000003</v>
      </c>
      <c r="M121" s="444">
        <f t="shared" si="109"/>
        <v>4783.7469230769229</v>
      </c>
      <c r="N121" s="444">
        <f t="shared" si="109"/>
        <v>1598.35</v>
      </c>
      <c r="O121" s="444">
        <f t="shared" si="109"/>
        <v>1786.66</v>
      </c>
      <c r="P121" s="444">
        <f t="shared" si="109"/>
        <v>6854.62</v>
      </c>
      <c r="Q121" s="444">
        <f t="shared" si="109"/>
        <v>2667</v>
      </c>
      <c r="R121" s="444">
        <f t="shared" si="109"/>
        <v>11694.07</v>
      </c>
      <c r="S121" s="444">
        <f t="shared" si="109"/>
        <v>4126.62</v>
      </c>
      <c r="T121" s="444">
        <f t="shared" si="109"/>
        <v>2423.69</v>
      </c>
      <c r="U121" s="444">
        <f t="shared" si="109"/>
        <v>3332.5800000000004</v>
      </c>
      <c r="V121" s="444">
        <f t="shared" si="109"/>
        <v>3035.0699999999997</v>
      </c>
      <c r="W121" s="444">
        <f t="shared" si="109"/>
        <v>55001.896923076929</v>
      </c>
      <c r="X121" s="460">
        <f t="shared" si="108"/>
        <v>1</v>
      </c>
    </row>
    <row r="122" spans="9:24" x14ac:dyDescent="0.35">
      <c r="J122" s="454"/>
      <c r="K122" s="454">
        <f t="shared" ref="K122:W122" si="110">K102-K121</f>
        <v>0</v>
      </c>
      <c r="L122" s="454">
        <f t="shared" si="110"/>
        <v>0</v>
      </c>
      <c r="M122" s="454">
        <f t="shared" si="110"/>
        <v>0</v>
      </c>
      <c r="N122" s="454">
        <f t="shared" si="110"/>
        <v>0</v>
      </c>
      <c r="O122" s="454">
        <f t="shared" si="110"/>
        <v>0</v>
      </c>
      <c r="P122" s="454">
        <f t="shared" si="110"/>
        <v>0</v>
      </c>
      <c r="Q122" s="454">
        <f t="shared" si="110"/>
        <v>0</v>
      </c>
      <c r="R122" s="454">
        <f t="shared" si="110"/>
        <v>0</v>
      </c>
      <c r="S122" s="454">
        <f t="shared" si="110"/>
        <v>0</v>
      </c>
      <c r="T122" s="454">
        <f t="shared" si="110"/>
        <v>0</v>
      </c>
      <c r="U122" s="454">
        <f t="shared" si="110"/>
        <v>0</v>
      </c>
      <c r="V122" s="454">
        <f t="shared" si="110"/>
        <v>0</v>
      </c>
      <c r="W122" s="454">
        <f t="shared" si="110"/>
        <v>0</v>
      </c>
      <c r="X122" s="454"/>
    </row>
    <row r="123" spans="9:24" ht="13.15" customHeight="1" x14ac:dyDescent="0.4">
      <c r="I123" s="556" t="s">
        <v>182</v>
      </c>
      <c r="K123" s="577" t="s">
        <v>142</v>
      </c>
      <c r="L123" s="577" t="s">
        <v>143</v>
      </c>
      <c r="M123" s="577" t="s">
        <v>144</v>
      </c>
      <c r="N123" s="577" t="s">
        <v>145</v>
      </c>
      <c r="O123" s="577" t="s">
        <v>146</v>
      </c>
      <c r="P123" s="577" t="s">
        <v>147</v>
      </c>
      <c r="Q123" s="577" t="s">
        <v>148</v>
      </c>
      <c r="R123" s="577" t="s">
        <v>149</v>
      </c>
      <c r="S123" s="577" t="s">
        <v>150</v>
      </c>
      <c r="T123" s="577" t="s">
        <v>151</v>
      </c>
      <c r="U123" s="577" t="s">
        <v>152</v>
      </c>
      <c r="V123" s="577" t="s">
        <v>153</v>
      </c>
      <c r="W123" s="577" t="s">
        <v>19</v>
      </c>
      <c r="X123" s="423" t="s">
        <v>158</v>
      </c>
    </row>
    <row r="124" spans="9:24" ht="13.15" customHeight="1" x14ac:dyDescent="0.4">
      <c r="I124" s="444" t="s">
        <v>183</v>
      </c>
      <c r="K124" s="454">
        <f t="shared" ref="K124:V124" si="111">SUM(K121-K115)</f>
        <v>2863</v>
      </c>
      <c r="L124" s="454">
        <f t="shared" si="111"/>
        <v>2222</v>
      </c>
      <c r="M124" s="454">
        <f t="shared" si="111"/>
        <v>1044.6999999999998</v>
      </c>
      <c r="N124" s="454">
        <f t="shared" si="111"/>
        <v>752.09999999999991</v>
      </c>
      <c r="O124" s="454">
        <f t="shared" si="111"/>
        <v>235</v>
      </c>
      <c r="P124" s="454">
        <f t="shared" si="111"/>
        <v>5000</v>
      </c>
      <c r="Q124" s="454">
        <f t="shared" si="111"/>
        <v>2035</v>
      </c>
      <c r="R124" s="454">
        <f t="shared" si="111"/>
        <v>1520.5699999999997</v>
      </c>
      <c r="S124" s="454">
        <f t="shared" si="111"/>
        <v>2898</v>
      </c>
      <c r="T124" s="454">
        <f t="shared" si="111"/>
        <v>1301</v>
      </c>
      <c r="U124" s="454">
        <f t="shared" si="111"/>
        <v>980.90000000000009</v>
      </c>
      <c r="V124" s="454">
        <f t="shared" si="111"/>
        <v>2289</v>
      </c>
      <c r="W124" s="554">
        <f>SUM(K124:V124)</f>
        <v>23141.27</v>
      </c>
      <c r="X124" s="475">
        <f>W124/W126</f>
        <v>0.42073585266275987</v>
      </c>
    </row>
    <row r="125" spans="9:24" ht="13.15" customHeight="1" x14ac:dyDescent="0.4">
      <c r="I125" s="444" t="s">
        <v>184</v>
      </c>
      <c r="K125" s="454">
        <f t="shared" ref="K125:V125" si="112">K115</f>
        <v>4784.8500000000004</v>
      </c>
      <c r="L125" s="454">
        <f t="shared" si="112"/>
        <v>2829.6400000000003</v>
      </c>
      <c r="M125" s="454">
        <f t="shared" si="112"/>
        <v>3739.0469230769231</v>
      </c>
      <c r="N125" s="454">
        <f t="shared" si="112"/>
        <v>846.25</v>
      </c>
      <c r="O125" s="454">
        <f t="shared" si="112"/>
        <v>1551.66</v>
      </c>
      <c r="P125" s="454">
        <f t="shared" si="112"/>
        <v>1854.6200000000001</v>
      </c>
      <c r="Q125" s="454">
        <f t="shared" si="112"/>
        <v>632</v>
      </c>
      <c r="R125" s="454">
        <f t="shared" si="112"/>
        <v>10173.5</v>
      </c>
      <c r="S125" s="454">
        <f t="shared" si="112"/>
        <v>1228.6199999999999</v>
      </c>
      <c r="T125" s="454">
        <f t="shared" si="112"/>
        <v>1122.69</v>
      </c>
      <c r="U125" s="454">
        <f t="shared" si="112"/>
        <v>2351.6800000000003</v>
      </c>
      <c r="V125" s="454">
        <f t="shared" si="112"/>
        <v>746.06999999999994</v>
      </c>
      <c r="W125" s="562">
        <f>SUM(K125:V125)</f>
        <v>31860.626923076925</v>
      </c>
      <c r="X125" s="475">
        <f>W125/W126</f>
        <v>0.57926414733724008</v>
      </c>
    </row>
    <row r="126" spans="9:24" ht="13.15" customHeight="1" x14ac:dyDescent="0.4">
      <c r="I126" s="444"/>
      <c r="K126" s="563">
        <f t="shared" ref="K126:W126" si="113">K124+K125</f>
        <v>7647.85</v>
      </c>
      <c r="L126" s="563">
        <f t="shared" si="113"/>
        <v>5051.6400000000003</v>
      </c>
      <c r="M126" s="563">
        <f t="shared" si="113"/>
        <v>4783.7469230769229</v>
      </c>
      <c r="N126" s="563">
        <f t="shared" si="113"/>
        <v>1598.35</v>
      </c>
      <c r="O126" s="563">
        <f t="shared" si="113"/>
        <v>1786.66</v>
      </c>
      <c r="P126" s="563">
        <f t="shared" si="113"/>
        <v>6854.62</v>
      </c>
      <c r="Q126" s="563">
        <f t="shared" si="113"/>
        <v>2667</v>
      </c>
      <c r="R126" s="563">
        <f t="shared" si="113"/>
        <v>11694.07</v>
      </c>
      <c r="S126" s="563">
        <f t="shared" si="113"/>
        <v>4126.62</v>
      </c>
      <c r="T126" s="563">
        <f t="shared" si="113"/>
        <v>2423.69</v>
      </c>
      <c r="U126" s="563">
        <f t="shared" si="113"/>
        <v>3332.5800000000004</v>
      </c>
      <c r="V126" s="563">
        <f t="shared" si="113"/>
        <v>3035.0699999999997</v>
      </c>
      <c r="W126" s="563">
        <f t="shared" si="113"/>
        <v>55001.896923076929</v>
      </c>
      <c r="X126" s="564"/>
    </row>
    <row r="127" spans="9:24" x14ac:dyDescent="0.35">
      <c r="J127" s="454"/>
      <c r="K127" s="454"/>
      <c r="L127" s="454"/>
      <c r="M127" s="454"/>
      <c r="N127" s="454"/>
      <c r="O127" s="454"/>
      <c r="P127" s="454"/>
      <c r="Q127" s="454"/>
      <c r="R127" s="454"/>
      <c r="S127" s="454"/>
      <c r="T127" s="454"/>
      <c r="U127" s="454"/>
      <c r="V127" s="454"/>
      <c r="W127" s="454"/>
      <c r="X127" s="454"/>
    </row>
    <row r="128" spans="9:24" ht="13.15" customHeight="1" x14ac:dyDescent="0.4">
      <c r="I128" s="556" t="s">
        <v>185</v>
      </c>
      <c r="K128" s="577" t="s">
        <v>142</v>
      </c>
      <c r="L128" s="577" t="s">
        <v>143</v>
      </c>
      <c r="M128" s="577" t="s">
        <v>144</v>
      </c>
      <c r="N128" s="577" t="s">
        <v>145</v>
      </c>
      <c r="O128" s="577" t="s">
        <v>146</v>
      </c>
      <c r="P128" s="577" t="s">
        <v>147</v>
      </c>
      <c r="Q128" s="577" t="s">
        <v>148</v>
      </c>
      <c r="R128" s="577" t="s">
        <v>149</v>
      </c>
      <c r="S128" s="577" t="s">
        <v>150</v>
      </c>
      <c r="T128" s="577" t="s">
        <v>151</v>
      </c>
      <c r="U128" s="577" t="s">
        <v>152</v>
      </c>
      <c r="V128" s="577" t="s">
        <v>153</v>
      </c>
      <c r="W128" s="577" t="s">
        <v>19</v>
      </c>
      <c r="X128" s="423" t="s">
        <v>158</v>
      </c>
    </row>
    <row r="129" spans="1:24" ht="13.15" customHeight="1" x14ac:dyDescent="0.4">
      <c r="I129" s="444" t="s">
        <v>183</v>
      </c>
      <c r="K129" s="454">
        <f t="shared" ref="K129:V129" si="114">K61-K130</f>
        <v>18</v>
      </c>
      <c r="L129" s="454">
        <f t="shared" si="114"/>
        <v>20</v>
      </c>
      <c r="M129" s="454">
        <f t="shared" si="114"/>
        <v>14</v>
      </c>
      <c r="N129" s="454">
        <f t="shared" si="114"/>
        <v>4</v>
      </c>
      <c r="O129" s="454">
        <f t="shared" si="114"/>
        <v>4</v>
      </c>
      <c r="P129" s="454">
        <f t="shared" si="114"/>
        <v>9</v>
      </c>
      <c r="Q129" s="454">
        <f t="shared" si="114"/>
        <v>7</v>
      </c>
      <c r="R129" s="454">
        <f t="shared" si="114"/>
        <v>7</v>
      </c>
      <c r="S129" s="454">
        <f t="shared" si="114"/>
        <v>12</v>
      </c>
      <c r="T129" s="454">
        <f t="shared" si="114"/>
        <v>11</v>
      </c>
      <c r="U129" s="454">
        <f t="shared" si="114"/>
        <v>14</v>
      </c>
      <c r="V129" s="454">
        <f t="shared" si="114"/>
        <v>19</v>
      </c>
      <c r="W129" s="554">
        <f>SUM(K129:V129)</f>
        <v>139</v>
      </c>
      <c r="X129" s="475">
        <f>W129/W131</f>
        <v>0.32938388625592419</v>
      </c>
    </row>
    <row r="130" spans="1:24" ht="13.15" customHeight="1" x14ac:dyDescent="0.4">
      <c r="I130" s="561" t="s">
        <v>175</v>
      </c>
      <c r="K130" s="454">
        <f>COUNTIFS($A$145:$A$587,"&gt;31/12/2019",$A$145:$A$587,"&lt;1/2/2020",$G$145:$G$587,"existing")</f>
        <v>38</v>
      </c>
      <c r="L130" s="432">
        <f>COUNTIFS($A$145:$A$587,"&gt;31/1/2020",$A$145:$A$587,"&lt;1/3/2020",$G$145:$G$587,$I130)</f>
        <v>18</v>
      </c>
      <c r="M130" s="432">
        <f>COUNTIFS($A$145:$A$587,"&gt;29/2/2020",$A$145:$A$587,"&lt;1/4/2020",$G$145:$G$587,$I130)</f>
        <v>30</v>
      </c>
      <c r="N130" s="432">
        <f>COUNTIFS($A$145:$A$587,"&gt;31/3/2020",$A$145:$A$587,"&lt;1/5/2020",$G$145:$G$587,$I130)</f>
        <v>49</v>
      </c>
      <c r="O130" s="432">
        <f>COUNTIFS($A$145:$A$587,"&gt;30/4/2020",$A$145:$A$587,"&lt;1/6/2020",$G$145:$G$587,$I130)</f>
        <v>32</v>
      </c>
      <c r="P130" s="432">
        <f>COUNTIFS($A$145:$A$587,"&gt;31/5/2020",$A$145:$A$587,"&lt;1/7/2020",$G$145:$G$587,$I130)</f>
        <v>32</v>
      </c>
      <c r="Q130" s="432">
        <f>COUNTIFS($A$145:$A$587,"&gt;30/6/2020",$A$145:$A$587,"&lt;1/8/2020",$G$145:$G$587,$I130)</f>
        <v>11</v>
      </c>
      <c r="R130" s="432">
        <f>COUNTIFS($A$145:$A$587,"&gt;31/7/2020",$A$145:$A$587,"&lt;1/9/2020",$G$145:$G$587,$I130)</f>
        <v>15</v>
      </c>
      <c r="S130" s="432">
        <f>COUNTIFS($A$145:$A$587,"&gt;31/8/2020",$A$145:$A$587,"&lt;1/10/2020",$G$145:$G$587,$I130)</f>
        <v>10</v>
      </c>
      <c r="T130" s="432">
        <f>COUNTIFS($A$145:$A$587,"&gt;30/9/2020",$A$145:$A$587,"&lt;1/11/2020",$G$145:$G$587,$I130)</f>
        <v>18</v>
      </c>
      <c r="U130" s="432">
        <f>COUNTIFS($A$145:$A$587,"&gt;31/10/2020",$A$145:$A$587,"&lt;1/12/2020",$G$145:$G$587,$I130)</f>
        <v>20</v>
      </c>
      <c r="V130" s="432">
        <f>COUNTIFS($A$145:$A$587,"&gt;30/11/2020",$A$145:$A$587,"&lt;1/1/2021",$G$145:$G$587,$I130)</f>
        <v>10</v>
      </c>
      <c r="W130" s="554">
        <f>SUM(K130:V130)</f>
        <v>283</v>
      </c>
      <c r="X130" s="475">
        <f>W130/$W$131</f>
        <v>0.67061611374407581</v>
      </c>
    </row>
    <row r="131" spans="1:24" ht="13.15" customHeight="1" x14ac:dyDescent="0.4">
      <c r="J131" s="454"/>
      <c r="K131" s="563">
        <f t="shared" ref="K131:W131" si="115">K129+K130</f>
        <v>56</v>
      </c>
      <c r="L131" s="563">
        <f t="shared" si="115"/>
        <v>38</v>
      </c>
      <c r="M131" s="563">
        <f t="shared" si="115"/>
        <v>44</v>
      </c>
      <c r="N131" s="563">
        <f t="shared" si="115"/>
        <v>53</v>
      </c>
      <c r="O131" s="563">
        <f t="shared" si="115"/>
        <v>36</v>
      </c>
      <c r="P131" s="563">
        <f t="shared" si="115"/>
        <v>41</v>
      </c>
      <c r="Q131" s="563">
        <f t="shared" si="115"/>
        <v>18</v>
      </c>
      <c r="R131" s="563">
        <f t="shared" si="115"/>
        <v>22</v>
      </c>
      <c r="S131" s="563">
        <f t="shared" si="115"/>
        <v>22</v>
      </c>
      <c r="T131" s="563">
        <f t="shared" si="115"/>
        <v>29</v>
      </c>
      <c r="U131" s="563">
        <f t="shared" si="115"/>
        <v>34</v>
      </c>
      <c r="V131" s="563">
        <f t="shared" si="115"/>
        <v>29</v>
      </c>
      <c r="W131" s="563">
        <f t="shared" si="115"/>
        <v>422</v>
      </c>
      <c r="X131" s="564"/>
    </row>
    <row r="132" spans="1:24" ht="13.15" customHeight="1" x14ac:dyDescent="0.4">
      <c r="J132" s="454"/>
      <c r="K132" s="613">
        <f t="shared" ref="K132:W132" si="116">K61-K131</f>
        <v>0</v>
      </c>
      <c r="L132" s="613">
        <f t="shared" si="116"/>
        <v>0</v>
      </c>
      <c r="M132" s="613">
        <f t="shared" si="116"/>
        <v>0</v>
      </c>
      <c r="N132" s="613">
        <f t="shared" si="116"/>
        <v>0</v>
      </c>
      <c r="O132" s="613">
        <f t="shared" si="116"/>
        <v>0</v>
      </c>
      <c r="P132" s="613">
        <f t="shared" si="116"/>
        <v>0</v>
      </c>
      <c r="Q132" s="613">
        <f t="shared" si="116"/>
        <v>0</v>
      </c>
      <c r="R132" s="613">
        <f t="shared" si="116"/>
        <v>0</v>
      </c>
      <c r="S132" s="613">
        <f t="shared" si="116"/>
        <v>0</v>
      </c>
      <c r="T132" s="613">
        <f t="shared" si="116"/>
        <v>0</v>
      </c>
      <c r="U132" s="613">
        <f t="shared" si="116"/>
        <v>0</v>
      </c>
      <c r="V132" s="613">
        <f t="shared" si="116"/>
        <v>0</v>
      </c>
      <c r="W132" s="613">
        <f t="shared" si="116"/>
        <v>0</v>
      </c>
      <c r="X132" s="475"/>
    </row>
    <row r="133" spans="1:24" ht="13.15" customHeight="1" x14ac:dyDescent="0.4">
      <c r="I133" s="556" t="s">
        <v>186</v>
      </c>
      <c r="K133" s="577" t="s">
        <v>142</v>
      </c>
      <c r="L133" s="577" t="s">
        <v>143</v>
      </c>
      <c r="M133" s="577" t="s">
        <v>144</v>
      </c>
      <c r="N133" s="577" t="s">
        <v>145</v>
      </c>
      <c r="O133" s="577" t="s">
        <v>146</v>
      </c>
      <c r="P133" s="577" t="s">
        <v>147</v>
      </c>
      <c r="Q133" s="577" t="s">
        <v>148</v>
      </c>
      <c r="R133" s="577" t="s">
        <v>149</v>
      </c>
      <c r="S133" s="577" t="s">
        <v>150</v>
      </c>
      <c r="T133" s="577" t="s">
        <v>151</v>
      </c>
      <c r="U133" s="577" t="s">
        <v>152</v>
      </c>
      <c r="V133" s="577" t="s">
        <v>153</v>
      </c>
      <c r="W133" s="577" t="s">
        <v>19</v>
      </c>
      <c r="X133" s="423" t="s">
        <v>158</v>
      </c>
    </row>
    <row r="134" spans="1:24" ht="13.15" customHeight="1" x14ac:dyDescent="0.4">
      <c r="I134" s="444" t="s">
        <v>183</v>
      </c>
      <c r="K134" s="454">
        <f t="shared" ref="K134:V134" si="117">IFERROR(K124/K129,0)</f>
        <v>159.05555555555554</v>
      </c>
      <c r="L134" s="454">
        <f t="shared" si="117"/>
        <v>111.1</v>
      </c>
      <c r="M134" s="454">
        <f t="shared" si="117"/>
        <v>74.621428571428552</v>
      </c>
      <c r="N134" s="454">
        <f t="shared" si="117"/>
        <v>188.02499999999998</v>
      </c>
      <c r="O134" s="454">
        <f t="shared" si="117"/>
        <v>58.75</v>
      </c>
      <c r="P134" s="454">
        <f t="shared" si="117"/>
        <v>555.55555555555554</v>
      </c>
      <c r="Q134" s="454">
        <f t="shared" si="117"/>
        <v>290.71428571428572</v>
      </c>
      <c r="R134" s="454">
        <f t="shared" si="117"/>
        <v>217.22428571428568</v>
      </c>
      <c r="S134" s="454">
        <f t="shared" si="117"/>
        <v>241.5</v>
      </c>
      <c r="T134" s="454">
        <f t="shared" si="117"/>
        <v>118.27272727272727</v>
      </c>
      <c r="U134" s="454">
        <f t="shared" si="117"/>
        <v>70.064285714285717</v>
      </c>
      <c r="V134" s="454">
        <f t="shared" si="117"/>
        <v>120.47368421052632</v>
      </c>
      <c r="W134" s="554">
        <f>AVERAGE(K134:V134)</f>
        <v>183.77973402572084</v>
      </c>
      <c r="X134" s="475">
        <f>W134/W136</f>
        <v>0.5728288421729778</v>
      </c>
    </row>
    <row r="135" spans="1:24" ht="13.15" customHeight="1" x14ac:dyDescent="0.4">
      <c r="I135" s="444" t="s">
        <v>184</v>
      </c>
      <c r="K135" s="454">
        <f t="shared" ref="K135:V135" si="118">IFERROR(K125/K130,0)</f>
        <v>125.91710526315791</v>
      </c>
      <c r="L135" s="454">
        <f t="shared" si="118"/>
        <v>157.20222222222225</v>
      </c>
      <c r="M135" s="454">
        <f t="shared" si="118"/>
        <v>124.63489743589744</v>
      </c>
      <c r="N135" s="454">
        <f t="shared" si="118"/>
        <v>17.270408163265305</v>
      </c>
      <c r="O135" s="454">
        <f t="shared" si="118"/>
        <v>48.489375000000003</v>
      </c>
      <c r="P135" s="454">
        <f t="shared" si="118"/>
        <v>57.956875000000004</v>
      </c>
      <c r="Q135" s="454">
        <f t="shared" si="118"/>
        <v>57.454545454545453</v>
      </c>
      <c r="R135" s="454">
        <f t="shared" si="118"/>
        <v>678.23333333333335</v>
      </c>
      <c r="S135" s="454">
        <f t="shared" si="118"/>
        <v>122.86199999999999</v>
      </c>
      <c r="T135" s="454">
        <f t="shared" si="118"/>
        <v>62.37166666666667</v>
      </c>
      <c r="U135" s="454">
        <f t="shared" si="118"/>
        <v>117.58400000000002</v>
      </c>
      <c r="V135" s="454">
        <f t="shared" si="118"/>
        <v>74.606999999999999</v>
      </c>
      <c r="W135" s="554">
        <f>AVERAGE(K135:V135)</f>
        <v>137.04861904492404</v>
      </c>
      <c r="X135" s="475">
        <f>W135/$W$136</f>
        <v>0.4271711578270222</v>
      </c>
    </row>
    <row r="136" spans="1:24" ht="13.15" customHeight="1" x14ac:dyDescent="0.4">
      <c r="J136" s="454"/>
      <c r="K136" s="563">
        <f t="shared" ref="K136:W136" si="119">K134+K135</f>
        <v>284.97266081871345</v>
      </c>
      <c r="L136" s="563">
        <f t="shared" si="119"/>
        <v>268.30222222222221</v>
      </c>
      <c r="M136" s="563">
        <f t="shared" si="119"/>
        <v>199.25632600732598</v>
      </c>
      <c r="N136" s="563">
        <f t="shared" si="119"/>
        <v>205.29540816326528</v>
      </c>
      <c r="O136" s="563">
        <f t="shared" si="119"/>
        <v>107.239375</v>
      </c>
      <c r="P136" s="563">
        <f t="shared" si="119"/>
        <v>613.51243055555551</v>
      </c>
      <c r="Q136" s="563">
        <f t="shared" si="119"/>
        <v>348.16883116883116</v>
      </c>
      <c r="R136" s="563">
        <f t="shared" si="119"/>
        <v>895.457619047619</v>
      </c>
      <c r="S136" s="563">
        <f t="shared" si="119"/>
        <v>364.36199999999997</v>
      </c>
      <c r="T136" s="563">
        <f t="shared" si="119"/>
        <v>180.64439393939392</v>
      </c>
      <c r="U136" s="563">
        <f t="shared" si="119"/>
        <v>187.64828571428575</v>
      </c>
      <c r="V136" s="563">
        <f t="shared" si="119"/>
        <v>195.08068421052633</v>
      </c>
      <c r="W136" s="563">
        <f t="shared" si="119"/>
        <v>320.82835307064488</v>
      </c>
      <c r="X136" s="564"/>
    </row>
    <row r="137" spans="1:24" x14ac:dyDescent="0.35">
      <c r="I137" s="454"/>
      <c r="J137" s="454"/>
      <c r="K137" s="454"/>
      <c r="L137" s="454"/>
      <c r="M137" s="454"/>
      <c r="N137" s="454"/>
      <c r="O137" s="454"/>
      <c r="P137" s="454"/>
      <c r="Q137" s="454"/>
      <c r="R137" s="454"/>
      <c r="S137" s="454"/>
      <c r="T137" s="454"/>
      <c r="U137" s="454"/>
      <c r="V137" s="454"/>
    </row>
    <row r="138" spans="1:24" x14ac:dyDescent="0.35">
      <c r="H138" s="454"/>
      <c r="I138" s="454"/>
      <c r="J138" s="454"/>
      <c r="K138" s="454"/>
      <c r="L138" s="454"/>
      <c r="M138" s="454"/>
      <c r="N138" s="454"/>
      <c r="O138" s="454"/>
      <c r="P138" s="454"/>
      <c r="Q138" s="454"/>
      <c r="R138" s="454"/>
      <c r="S138" s="454"/>
      <c r="T138" s="454"/>
      <c r="U138" s="454"/>
      <c r="V138" s="454"/>
    </row>
    <row r="139" spans="1:24" x14ac:dyDescent="0.35">
      <c r="H139" s="454"/>
      <c r="I139" s="454"/>
      <c r="J139" s="454"/>
      <c r="K139" s="454"/>
      <c r="L139" s="454"/>
      <c r="M139" s="454"/>
      <c r="N139" s="454"/>
      <c r="O139" s="454"/>
      <c r="P139" s="454"/>
      <c r="Q139" s="454"/>
      <c r="R139" s="454"/>
      <c r="S139" s="454"/>
      <c r="T139" s="454"/>
      <c r="U139" s="454"/>
      <c r="V139" s="454"/>
    </row>
    <row r="140" spans="1:24" x14ac:dyDescent="0.35">
      <c r="H140" s="454"/>
      <c r="I140" s="454"/>
      <c r="J140" s="454"/>
      <c r="K140" s="454"/>
      <c r="L140" s="454"/>
      <c r="M140" s="454"/>
      <c r="N140" s="454"/>
      <c r="O140" s="454"/>
      <c r="P140" s="454"/>
      <c r="Q140" s="454"/>
      <c r="R140" s="454"/>
      <c r="S140" s="454"/>
      <c r="T140" s="454"/>
      <c r="U140" s="454"/>
      <c r="V140" s="454"/>
    </row>
    <row r="141" spans="1:24" x14ac:dyDescent="0.35">
      <c r="H141" s="454"/>
      <c r="I141" s="454"/>
      <c r="J141" s="454"/>
      <c r="K141" s="454"/>
      <c r="L141" s="454"/>
      <c r="M141" s="454"/>
      <c r="N141" s="454"/>
      <c r="O141" s="454"/>
      <c r="P141" s="454"/>
      <c r="Q141" s="454"/>
      <c r="R141" s="454"/>
      <c r="S141" s="454"/>
      <c r="T141" s="454"/>
      <c r="U141" s="454"/>
      <c r="V141" s="454"/>
    </row>
    <row r="142" spans="1:24" x14ac:dyDescent="0.35">
      <c r="H142" s="454"/>
      <c r="I142" s="454"/>
      <c r="J142" s="454"/>
      <c r="K142" s="454"/>
      <c r="L142" s="454"/>
      <c r="M142" s="454"/>
      <c r="N142" s="454"/>
      <c r="O142" s="454"/>
      <c r="P142" s="454"/>
      <c r="Q142" s="454"/>
      <c r="R142" s="454"/>
      <c r="S142" s="454"/>
      <c r="T142" s="454"/>
      <c r="U142" s="454"/>
      <c r="V142" s="454"/>
    </row>
    <row r="143" spans="1:24" ht="13.15" customHeight="1" x14ac:dyDescent="0.4">
      <c r="E143" s="605">
        <f>SUM(E145:E609)</f>
        <v>55001.896923076922</v>
      </c>
      <c r="H143" s="454"/>
      <c r="I143" s="454"/>
      <c r="J143" s="454"/>
      <c r="K143" s="454"/>
      <c r="L143" s="454"/>
      <c r="M143" s="454"/>
      <c r="N143" s="454"/>
      <c r="O143" s="454"/>
      <c r="P143" s="454"/>
      <c r="Q143" s="454"/>
      <c r="R143" s="454"/>
      <c r="S143" s="454"/>
      <c r="T143" s="454"/>
      <c r="U143" s="454"/>
      <c r="V143" s="454"/>
    </row>
    <row r="144" spans="1:24" ht="13.9" customHeight="1" x14ac:dyDescent="0.4">
      <c r="A144" s="482" t="s">
        <v>187</v>
      </c>
      <c r="B144" s="459" t="s">
        <v>188</v>
      </c>
      <c r="C144" s="459" t="s">
        <v>189</v>
      </c>
      <c r="D144" s="459" t="s">
        <v>190</v>
      </c>
      <c r="E144" s="483" t="s">
        <v>74</v>
      </c>
      <c r="F144" s="459" t="s">
        <v>75</v>
      </c>
      <c r="G144" s="459" t="s">
        <v>191</v>
      </c>
      <c r="H144" s="454"/>
      <c r="I144" s="454"/>
      <c r="J144" s="454"/>
      <c r="K144" s="454"/>
      <c r="L144" s="454"/>
      <c r="M144" s="454"/>
      <c r="N144" s="454"/>
      <c r="O144" s="454"/>
      <c r="P144" s="454"/>
      <c r="Q144" s="454"/>
      <c r="R144" s="454"/>
      <c r="S144" s="454"/>
      <c r="T144" s="454"/>
      <c r="U144" s="454"/>
      <c r="V144" s="454"/>
    </row>
    <row r="148" spans="1:7" ht="13.5" customHeight="1" x14ac:dyDescent="0.35">
      <c r="A148" s="47"/>
      <c r="B148" s="45"/>
      <c r="D148" s="45"/>
      <c r="E148" s="53" t="s">
        <v>2298</v>
      </c>
      <c r="F148" s="45"/>
      <c r="G148" s="45"/>
    </row>
    <row r="149" spans="1:7" ht="13.5" customHeight="1" x14ac:dyDescent="0.35">
      <c r="A149" s="47"/>
      <c r="B149" s="45"/>
      <c r="D149" s="45"/>
      <c r="E149" s="53"/>
      <c r="F149" s="45"/>
      <c r="G149" s="45"/>
    </row>
    <row r="150" spans="1:7" ht="13.5" customHeight="1" x14ac:dyDescent="0.35">
      <c r="A150" s="47"/>
      <c r="B150" s="45"/>
      <c r="D150" s="45"/>
      <c r="E150" s="53"/>
      <c r="F150" s="45"/>
      <c r="G150" s="45"/>
    </row>
    <row r="151" spans="1:7" ht="13.5" customHeight="1" x14ac:dyDescent="0.35">
      <c r="A151" s="47"/>
      <c r="B151" s="45"/>
      <c r="D151" s="45"/>
      <c r="E151" s="53"/>
      <c r="F151" s="45"/>
      <c r="G151" s="45"/>
    </row>
    <row r="152" spans="1:7" ht="13.5" customHeight="1" x14ac:dyDescent="0.35">
      <c r="A152" s="47">
        <v>44196</v>
      </c>
      <c r="B152" s="45" t="s">
        <v>2299</v>
      </c>
      <c r="C152" s="426" t="s">
        <v>28</v>
      </c>
      <c r="D152" s="45" t="s">
        <v>159</v>
      </c>
      <c r="E152" s="53">
        <v>17.5</v>
      </c>
      <c r="F152" s="45" t="s">
        <v>2300</v>
      </c>
      <c r="G152" s="45" t="s">
        <v>175</v>
      </c>
    </row>
    <row r="153" spans="1:7" ht="13.5" customHeight="1" x14ac:dyDescent="0.35">
      <c r="A153" s="47">
        <v>44193</v>
      </c>
      <c r="B153" s="45" t="s">
        <v>2301</v>
      </c>
      <c r="C153" s="426" t="s">
        <v>1274</v>
      </c>
      <c r="D153" s="45" t="s">
        <v>159</v>
      </c>
      <c r="E153" s="53">
        <v>150</v>
      </c>
      <c r="F153" s="45" t="s">
        <v>235</v>
      </c>
      <c r="G153" s="45" t="s">
        <v>174</v>
      </c>
    </row>
    <row r="154" spans="1:7" ht="13.5" customHeight="1" x14ac:dyDescent="0.35">
      <c r="A154" s="47">
        <v>44193</v>
      </c>
      <c r="B154" s="45" t="s">
        <v>2172</v>
      </c>
      <c r="C154" s="426" t="s">
        <v>28</v>
      </c>
      <c r="D154" s="45" t="s">
        <v>165</v>
      </c>
      <c r="E154" s="53">
        <v>150</v>
      </c>
      <c r="F154" s="45" t="s">
        <v>2302</v>
      </c>
      <c r="G154" s="45" t="s">
        <v>174</v>
      </c>
    </row>
    <row r="155" spans="1:7" ht="13.5" customHeight="1" x14ac:dyDescent="0.35">
      <c r="A155" s="47">
        <v>44193</v>
      </c>
      <c r="B155" s="45" t="s">
        <v>2172</v>
      </c>
      <c r="C155" s="426" t="s">
        <v>1281</v>
      </c>
      <c r="D155" s="45" t="s">
        <v>165</v>
      </c>
      <c r="E155" s="53">
        <v>-150</v>
      </c>
      <c r="F155" s="45" t="s">
        <v>2302</v>
      </c>
      <c r="G155" s="45" t="s">
        <v>174</v>
      </c>
    </row>
    <row r="156" spans="1:7" ht="13.5" customHeight="1" x14ac:dyDescent="0.35">
      <c r="A156" s="47">
        <v>44193</v>
      </c>
      <c r="B156" s="45" t="s">
        <v>2172</v>
      </c>
      <c r="C156" s="426" t="s">
        <v>28</v>
      </c>
      <c r="D156" s="45" t="s">
        <v>159</v>
      </c>
      <c r="E156" s="53">
        <v>100</v>
      </c>
      <c r="F156" s="45" t="s">
        <v>2302</v>
      </c>
      <c r="G156" s="45" t="s">
        <v>174</v>
      </c>
    </row>
    <row r="157" spans="1:7" ht="13.5" customHeight="1" x14ac:dyDescent="0.35">
      <c r="A157" s="47">
        <v>44192</v>
      </c>
      <c r="B157" s="45" t="s">
        <v>89</v>
      </c>
      <c r="C157" s="426" t="s">
        <v>1282</v>
      </c>
      <c r="D157" s="45" t="s">
        <v>160</v>
      </c>
      <c r="E157" s="53">
        <v>63.2</v>
      </c>
      <c r="F157" s="45" t="s">
        <v>89</v>
      </c>
      <c r="G157" s="45" t="s">
        <v>175</v>
      </c>
    </row>
    <row r="158" spans="1:7" ht="13.5" customHeight="1" x14ac:dyDescent="0.35">
      <c r="A158" s="47">
        <v>44189</v>
      </c>
      <c r="B158" s="45" t="s">
        <v>2303</v>
      </c>
      <c r="C158" s="426" t="s">
        <v>1280</v>
      </c>
      <c r="D158" s="45" t="s">
        <v>159</v>
      </c>
      <c r="E158" s="53">
        <v>150</v>
      </c>
      <c r="F158" s="45" t="s">
        <v>1409</v>
      </c>
      <c r="G158" s="45" t="s">
        <v>174</v>
      </c>
    </row>
    <row r="159" spans="1:7" ht="13.5" customHeight="1" x14ac:dyDescent="0.35">
      <c r="A159" s="47">
        <v>44187</v>
      </c>
      <c r="B159" s="45" t="s">
        <v>2304</v>
      </c>
      <c r="C159" s="426" t="s">
        <v>28</v>
      </c>
      <c r="D159" s="45" t="s">
        <v>159</v>
      </c>
      <c r="E159" s="53">
        <v>30</v>
      </c>
      <c r="F159" s="45" t="s">
        <v>1236</v>
      </c>
      <c r="G159" s="45" t="s">
        <v>174</v>
      </c>
    </row>
    <row r="160" spans="1:7" ht="13.5" customHeight="1" x14ac:dyDescent="0.35">
      <c r="A160" s="47">
        <v>44186</v>
      </c>
      <c r="B160" s="45" t="s">
        <v>2243</v>
      </c>
      <c r="C160" s="426" t="s">
        <v>28</v>
      </c>
      <c r="D160" s="45" t="s">
        <v>160</v>
      </c>
      <c r="E160" s="53">
        <v>15</v>
      </c>
      <c r="F160" s="45" t="s">
        <v>2130</v>
      </c>
      <c r="G160" s="45" t="s">
        <v>174</v>
      </c>
    </row>
    <row r="161" spans="1:7" ht="13.5" customHeight="1" x14ac:dyDescent="0.35">
      <c r="A161" s="47">
        <v>44186</v>
      </c>
      <c r="B161" s="45" t="s">
        <v>2305</v>
      </c>
      <c r="C161" s="426" t="s">
        <v>1280</v>
      </c>
      <c r="D161" s="45" t="s">
        <v>159</v>
      </c>
      <c r="E161" s="53">
        <v>100</v>
      </c>
      <c r="F161" s="45" t="s">
        <v>1409</v>
      </c>
      <c r="G161" s="45" t="s">
        <v>174</v>
      </c>
    </row>
    <row r="162" spans="1:7" ht="13.5" customHeight="1" x14ac:dyDescent="0.35">
      <c r="A162" s="47">
        <v>44185</v>
      </c>
      <c r="B162" s="45" t="s">
        <v>2306</v>
      </c>
      <c r="C162" s="426" t="s">
        <v>1280</v>
      </c>
      <c r="D162" s="45" t="s">
        <v>159</v>
      </c>
      <c r="E162" s="53">
        <v>375</v>
      </c>
      <c r="F162" s="45" t="s">
        <v>1861</v>
      </c>
      <c r="G162" s="45" t="s">
        <v>174</v>
      </c>
    </row>
    <row r="163" spans="1:7" ht="13.5" customHeight="1" x14ac:dyDescent="0.35">
      <c r="A163" s="47">
        <v>44184</v>
      </c>
      <c r="B163" s="45" t="s">
        <v>2307</v>
      </c>
      <c r="C163" s="426" t="s">
        <v>1279</v>
      </c>
      <c r="D163" s="45" t="s">
        <v>159</v>
      </c>
      <c r="E163" s="53">
        <v>60</v>
      </c>
      <c r="F163" s="45" t="s">
        <v>2308</v>
      </c>
      <c r="G163" s="45" t="s">
        <v>174</v>
      </c>
    </row>
    <row r="164" spans="1:7" ht="13.5" customHeight="1" x14ac:dyDescent="0.35">
      <c r="A164" s="47">
        <v>44183</v>
      </c>
      <c r="B164" s="45" t="s">
        <v>78</v>
      </c>
      <c r="C164" s="426" t="s">
        <v>1282</v>
      </c>
      <c r="D164" s="45" t="s">
        <v>160</v>
      </c>
      <c r="E164" s="53">
        <v>47.87</v>
      </c>
      <c r="F164" s="45" t="s">
        <v>2309</v>
      </c>
      <c r="G164" s="45" t="s">
        <v>175</v>
      </c>
    </row>
    <row r="165" spans="1:7" ht="13.5" customHeight="1" x14ac:dyDescent="0.35">
      <c r="A165" s="47">
        <v>44182</v>
      </c>
      <c r="B165" s="45" t="s">
        <v>2310</v>
      </c>
      <c r="C165" s="426" t="s">
        <v>28</v>
      </c>
      <c r="D165" s="45" t="s">
        <v>159</v>
      </c>
      <c r="E165" s="53">
        <v>30</v>
      </c>
      <c r="F165" s="45" t="s">
        <v>1236</v>
      </c>
      <c r="G165" s="45" t="s">
        <v>174</v>
      </c>
    </row>
    <row r="166" spans="1:7" ht="13.5" customHeight="1" x14ac:dyDescent="0.35">
      <c r="A166" s="47">
        <v>44181</v>
      </c>
      <c r="B166" s="45" t="s">
        <v>2311</v>
      </c>
      <c r="C166" s="426" t="s">
        <v>1274</v>
      </c>
      <c r="D166" s="45" t="s">
        <v>159</v>
      </c>
      <c r="E166" s="53">
        <v>99</v>
      </c>
      <c r="F166" s="45" t="s">
        <v>2312</v>
      </c>
      <c r="G166" s="45" t="s">
        <v>174</v>
      </c>
    </row>
    <row r="167" spans="1:7" ht="13.5" customHeight="1" x14ac:dyDescent="0.35">
      <c r="A167" s="47">
        <v>44180</v>
      </c>
      <c r="B167" s="45" t="s">
        <v>2313</v>
      </c>
      <c r="C167" s="426" t="s">
        <v>28</v>
      </c>
      <c r="D167" s="45" t="s">
        <v>159</v>
      </c>
      <c r="E167" s="53">
        <v>187.5</v>
      </c>
      <c r="F167" s="45" t="s">
        <v>2314</v>
      </c>
      <c r="G167" s="45" t="s">
        <v>175</v>
      </c>
    </row>
    <row r="168" spans="1:7" ht="13.5" customHeight="1" x14ac:dyDescent="0.35">
      <c r="A168" s="47">
        <v>44180</v>
      </c>
      <c r="B168" s="45" t="s">
        <v>2315</v>
      </c>
      <c r="C168" s="426" t="s">
        <v>28</v>
      </c>
      <c r="D168" s="45" t="s">
        <v>160</v>
      </c>
      <c r="E168" s="53">
        <v>15</v>
      </c>
      <c r="F168" s="45" t="s">
        <v>2130</v>
      </c>
      <c r="G168" s="45" t="s">
        <v>174</v>
      </c>
    </row>
    <row r="169" spans="1:7" ht="13.5" customHeight="1" x14ac:dyDescent="0.35">
      <c r="A169" s="47">
        <v>44180</v>
      </c>
      <c r="B169" s="45" t="s">
        <v>2275</v>
      </c>
      <c r="C169" s="426" t="s">
        <v>1279</v>
      </c>
      <c r="D169" s="45" t="s">
        <v>160</v>
      </c>
      <c r="E169" s="53">
        <v>60</v>
      </c>
      <c r="F169" s="45" t="s">
        <v>2316</v>
      </c>
      <c r="G169" s="45" t="s">
        <v>175</v>
      </c>
    </row>
    <row r="170" spans="1:7" ht="13.5" customHeight="1" x14ac:dyDescent="0.35">
      <c r="A170" s="47">
        <v>44179</v>
      </c>
      <c r="B170" s="45" t="s">
        <v>2317</v>
      </c>
      <c r="C170" s="426" t="s">
        <v>28</v>
      </c>
      <c r="D170" s="45" t="s">
        <v>160</v>
      </c>
      <c r="E170" s="53">
        <v>15</v>
      </c>
      <c r="F170" s="45" t="s">
        <v>2130</v>
      </c>
      <c r="G170" s="45" t="s">
        <v>174</v>
      </c>
    </row>
    <row r="171" spans="1:7" ht="13.5" customHeight="1" x14ac:dyDescent="0.35">
      <c r="A171" s="47">
        <v>44176</v>
      </c>
      <c r="B171" s="45" t="s">
        <v>2318</v>
      </c>
      <c r="C171" s="426" t="s">
        <v>1280</v>
      </c>
      <c r="D171" s="45" t="s">
        <v>159</v>
      </c>
      <c r="E171" s="53">
        <v>500</v>
      </c>
      <c r="F171" s="45" t="s">
        <v>1409</v>
      </c>
      <c r="G171" s="45" t="s">
        <v>174</v>
      </c>
    </row>
    <row r="172" spans="1:7" ht="13.5" customHeight="1" x14ac:dyDescent="0.35">
      <c r="A172" s="47">
        <v>44175</v>
      </c>
      <c r="B172" s="45" t="s">
        <v>1854</v>
      </c>
      <c r="C172" s="426" t="s">
        <v>28</v>
      </c>
      <c r="D172" s="45" t="s">
        <v>160</v>
      </c>
      <c r="E172" s="53">
        <v>17.5</v>
      </c>
      <c r="F172" s="45" t="s">
        <v>2300</v>
      </c>
      <c r="G172" s="45" t="s">
        <v>175</v>
      </c>
    </row>
    <row r="173" spans="1:7" ht="13.5" customHeight="1" x14ac:dyDescent="0.35">
      <c r="A173" s="47">
        <v>44175</v>
      </c>
      <c r="B173" s="45" t="s">
        <v>2319</v>
      </c>
      <c r="C173" s="426" t="s">
        <v>1280</v>
      </c>
      <c r="D173" s="45" t="s">
        <v>159</v>
      </c>
      <c r="E173" s="53">
        <v>300</v>
      </c>
      <c r="F173" s="45" t="s">
        <v>1409</v>
      </c>
      <c r="G173" s="45" t="s">
        <v>174</v>
      </c>
    </row>
    <row r="174" spans="1:7" ht="13.5" customHeight="1" x14ac:dyDescent="0.35">
      <c r="A174" s="47">
        <v>44174</v>
      </c>
      <c r="B174" s="45" t="s">
        <v>2275</v>
      </c>
      <c r="C174" s="426" t="s">
        <v>1279</v>
      </c>
      <c r="D174" s="45" t="s">
        <v>160</v>
      </c>
      <c r="E174" s="53">
        <v>60</v>
      </c>
      <c r="F174" s="45" t="s">
        <v>2316</v>
      </c>
      <c r="G174" s="45" t="s">
        <v>175</v>
      </c>
    </row>
    <row r="175" spans="1:7" ht="13.5" customHeight="1" x14ac:dyDescent="0.35">
      <c r="A175" s="47">
        <v>44173</v>
      </c>
      <c r="B175" s="45" t="s">
        <v>2320</v>
      </c>
      <c r="C175" s="426" t="s">
        <v>1280</v>
      </c>
      <c r="D175" s="45" t="s">
        <v>159</v>
      </c>
      <c r="E175" s="53">
        <v>150</v>
      </c>
      <c r="F175" s="45" t="s">
        <v>1409</v>
      </c>
      <c r="G175" s="45" t="s">
        <v>174</v>
      </c>
    </row>
    <row r="176" spans="1:7" ht="13.5" customHeight="1" x14ac:dyDescent="0.35">
      <c r="A176" s="47">
        <v>44168</v>
      </c>
      <c r="B176" s="45" t="s">
        <v>2321</v>
      </c>
      <c r="C176" s="426" t="s">
        <v>1279</v>
      </c>
      <c r="D176" s="45" t="s">
        <v>160</v>
      </c>
      <c r="E176" s="53">
        <v>25</v>
      </c>
      <c r="F176" s="45" t="s">
        <v>382</v>
      </c>
      <c r="G176" s="45" t="s">
        <v>175</v>
      </c>
    </row>
    <row r="177" spans="1:7" ht="13.5" customHeight="1" x14ac:dyDescent="0.35">
      <c r="A177" s="47">
        <v>44167</v>
      </c>
      <c r="B177" s="45" t="s">
        <v>2322</v>
      </c>
      <c r="C177" s="426" t="s">
        <v>1280</v>
      </c>
      <c r="D177" s="45" t="s">
        <v>159</v>
      </c>
      <c r="E177" s="53">
        <v>50</v>
      </c>
      <c r="F177" s="45" t="s">
        <v>1409</v>
      </c>
      <c r="G177" s="45" t="s">
        <v>174</v>
      </c>
    </row>
    <row r="178" spans="1:7" ht="13.5" customHeight="1" x14ac:dyDescent="0.35">
      <c r="A178" s="47">
        <v>44167</v>
      </c>
      <c r="B178" s="45" t="s">
        <v>2108</v>
      </c>
      <c r="C178" s="426" t="s">
        <v>1280</v>
      </c>
      <c r="D178" s="45" t="s">
        <v>159</v>
      </c>
      <c r="E178" s="53">
        <v>150</v>
      </c>
      <c r="F178" s="45" t="s">
        <v>1409</v>
      </c>
      <c r="G178" s="45" t="s">
        <v>174</v>
      </c>
    </row>
    <row r="179" spans="1:7" ht="13.5" customHeight="1" x14ac:dyDescent="0.35">
      <c r="A179" s="47">
        <v>44166</v>
      </c>
      <c r="B179" s="45" t="s">
        <v>1077</v>
      </c>
      <c r="C179" s="426" t="s">
        <v>1276</v>
      </c>
      <c r="D179" s="45" t="s">
        <v>161</v>
      </c>
      <c r="E179" s="53">
        <v>187.5</v>
      </c>
      <c r="F179" s="45" t="s">
        <v>1078</v>
      </c>
      <c r="G179" s="45" t="s">
        <v>175</v>
      </c>
    </row>
    <row r="180" spans="1:7" ht="13.5" customHeight="1" x14ac:dyDescent="0.35">
      <c r="A180" s="47">
        <v>44166</v>
      </c>
      <c r="B180" s="45" t="s">
        <v>292</v>
      </c>
      <c r="C180" s="426" t="s">
        <v>1278</v>
      </c>
      <c r="D180" s="426" t="s">
        <v>161</v>
      </c>
      <c r="E180" s="567">
        <v>80</v>
      </c>
      <c r="F180" s="426" t="s">
        <v>292</v>
      </c>
      <c r="G180" s="426" t="s">
        <v>175</v>
      </c>
    </row>
    <row r="181" spans="1:7" ht="13.5" customHeight="1" x14ac:dyDescent="0.35">
      <c r="A181" s="47"/>
      <c r="B181" s="45"/>
      <c r="D181" s="45"/>
      <c r="E181" s="53"/>
      <c r="F181" s="45"/>
      <c r="G181" s="45"/>
    </row>
    <row r="182" spans="1:7" ht="13.5" customHeight="1" x14ac:dyDescent="0.35">
      <c r="A182" s="47">
        <v>44165</v>
      </c>
      <c r="B182" s="45" t="s">
        <v>848</v>
      </c>
      <c r="C182" s="426" t="s">
        <v>28</v>
      </c>
      <c r="D182" s="45" t="s">
        <v>160</v>
      </c>
      <c r="E182" s="53">
        <v>187.5</v>
      </c>
      <c r="F182" s="45" t="s">
        <v>291</v>
      </c>
      <c r="G182" s="45" t="s">
        <v>175</v>
      </c>
    </row>
    <row r="183" spans="1:7" ht="13.5" customHeight="1" x14ac:dyDescent="0.35">
      <c r="A183" s="47">
        <v>44165</v>
      </c>
      <c r="B183" s="45" t="s">
        <v>1493</v>
      </c>
      <c r="C183" s="426" t="s">
        <v>1274</v>
      </c>
      <c r="D183" s="45" t="s">
        <v>160</v>
      </c>
      <c r="E183" s="53">
        <v>600</v>
      </c>
      <c r="F183" s="45" t="s">
        <v>2323</v>
      </c>
      <c r="G183" s="45" t="s">
        <v>175</v>
      </c>
    </row>
    <row r="184" spans="1:7" ht="13.5" customHeight="1" x14ac:dyDescent="0.35">
      <c r="A184" s="47">
        <v>44165</v>
      </c>
      <c r="B184" s="45" t="s">
        <v>2324</v>
      </c>
      <c r="C184" s="426" t="s">
        <v>1279</v>
      </c>
      <c r="D184" s="45" t="s">
        <v>159</v>
      </c>
      <c r="E184" s="53">
        <v>35</v>
      </c>
      <c r="F184" s="45" t="s">
        <v>2316</v>
      </c>
      <c r="G184" s="45" t="s">
        <v>174</v>
      </c>
    </row>
    <row r="185" spans="1:7" ht="13.5" customHeight="1" x14ac:dyDescent="0.35">
      <c r="A185" s="47">
        <v>44165</v>
      </c>
      <c r="B185" s="45" t="s">
        <v>1500</v>
      </c>
      <c r="C185" s="426" t="s">
        <v>1279</v>
      </c>
      <c r="D185" s="45" t="s">
        <v>160</v>
      </c>
      <c r="E185" s="53">
        <v>90</v>
      </c>
      <c r="F185" s="45" t="s">
        <v>2325</v>
      </c>
      <c r="G185" s="45" t="s">
        <v>175</v>
      </c>
    </row>
    <row r="186" spans="1:7" ht="13.5" customHeight="1" x14ac:dyDescent="0.35">
      <c r="A186" s="47">
        <v>44165</v>
      </c>
      <c r="B186" s="45" t="s">
        <v>2321</v>
      </c>
      <c r="C186" s="426" t="s">
        <v>1279</v>
      </c>
      <c r="D186" s="45" t="s">
        <v>159</v>
      </c>
      <c r="E186" s="53">
        <v>35</v>
      </c>
      <c r="F186" s="45" t="s">
        <v>2316</v>
      </c>
      <c r="G186" s="45" t="s">
        <v>174</v>
      </c>
    </row>
    <row r="187" spans="1:7" ht="13.5" customHeight="1" x14ac:dyDescent="0.35">
      <c r="A187" s="47">
        <v>44165</v>
      </c>
      <c r="B187" s="45" t="s">
        <v>784</v>
      </c>
      <c r="C187" s="426" t="s">
        <v>1274</v>
      </c>
      <c r="D187" s="45" t="s">
        <v>162</v>
      </c>
      <c r="E187" s="53">
        <v>80</v>
      </c>
      <c r="F187" s="45" t="s">
        <v>324</v>
      </c>
      <c r="G187" s="45" t="s">
        <v>175</v>
      </c>
    </row>
    <row r="188" spans="1:7" ht="13.5" customHeight="1" x14ac:dyDescent="0.35">
      <c r="A188" s="47">
        <v>44160</v>
      </c>
      <c r="B188" s="45" t="s">
        <v>2326</v>
      </c>
      <c r="C188" s="426" t="s">
        <v>28</v>
      </c>
      <c r="D188" s="45" t="s">
        <v>159</v>
      </c>
      <c r="E188" s="53">
        <v>19.25</v>
      </c>
      <c r="F188" s="45" t="s">
        <v>2300</v>
      </c>
      <c r="G188" s="45" t="s">
        <v>175</v>
      </c>
    </row>
    <row r="189" spans="1:7" ht="13.5" customHeight="1" x14ac:dyDescent="0.35">
      <c r="A189" s="47">
        <v>44162</v>
      </c>
      <c r="B189" s="45" t="s">
        <v>2327</v>
      </c>
      <c r="C189" s="426" t="s">
        <v>1274</v>
      </c>
      <c r="D189" s="45" t="s">
        <v>160</v>
      </c>
      <c r="E189" s="53">
        <v>24</v>
      </c>
      <c r="F189" s="45" t="s">
        <v>324</v>
      </c>
      <c r="G189" s="45" t="s">
        <v>174</v>
      </c>
    </row>
    <row r="190" spans="1:7" ht="13.5" customHeight="1" x14ac:dyDescent="0.35">
      <c r="A190" s="47">
        <v>44158</v>
      </c>
      <c r="B190" s="45" t="s">
        <v>2233</v>
      </c>
      <c r="C190" s="426" t="s">
        <v>1274</v>
      </c>
      <c r="D190" s="45" t="s">
        <v>160</v>
      </c>
      <c r="E190" s="53">
        <v>12</v>
      </c>
      <c r="F190" s="45" t="s">
        <v>324</v>
      </c>
      <c r="G190" s="45" t="s">
        <v>175</v>
      </c>
    </row>
    <row r="191" spans="1:7" ht="13.5" customHeight="1" x14ac:dyDescent="0.35">
      <c r="A191" s="47">
        <v>44158</v>
      </c>
      <c r="B191" s="45" t="s">
        <v>2328</v>
      </c>
      <c r="C191" s="426" t="s">
        <v>1274</v>
      </c>
      <c r="D191" s="45" t="s">
        <v>159</v>
      </c>
      <c r="E191" s="53">
        <v>150</v>
      </c>
      <c r="F191" s="45" t="s">
        <v>230</v>
      </c>
      <c r="G191" s="45" t="s">
        <v>174</v>
      </c>
    </row>
    <row r="192" spans="1:7" ht="13.5" customHeight="1" x14ac:dyDescent="0.35">
      <c r="A192" s="47">
        <v>44158</v>
      </c>
      <c r="B192" s="45" t="s">
        <v>2329</v>
      </c>
      <c r="C192" s="426" t="s">
        <v>28</v>
      </c>
      <c r="D192" s="45" t="s">
        <v>159</v>
      </c>
      <c r="E192" s="53">
        <v>30</v>
      </c>
      <c r="F192" s="45" t="s">
        <v>1236</v>
      </c>
      <c r="G192" s="45" t="s">
        <v>174</v>
      </c>
    </row>
    <row r="193" spans="1:7" ht="13.5" customHeight="1" x14ac:dyDescent="0.35">
      <c r="A193" s="47">
        <v>44158</v>
      </c>
      <c r="B193" s="45" t="s">
        <v>2330</v>
      </c>
      <c r="C193" s="426" t="s">
        <v>1280</v>
      </c>
      <c r="D193" s="45" t="s">
        <v>160</v>
      </c>
      <c r="E193" s="53">
        <v>150</v>
      </c>
      <c r="F193" s="45" t="s">
        <v>1409</v>
      </c>
      <c r="G193" s="45" t="s">
        <v>174</v>
      </c>
    </row>
    <row r="194" spans="1:7" ht="13.5" customHeight="1" x14ac:dyDescent="0.35">
      <c r="A194" s="47">
        <v>44159</v>
      </c>
      <c r="B194" s="45" t="s">
        <v>89</v>
      </c>
      <c r="C194" s="426" t="s">
        <v>1282</v>
      </c>
      <c r="D194" s="45" t="s">
        <v>160</v>
      </c>
      <c r="E194" s="53">
        <v>129.53</v>
      </c>
      <c r="F194" s="45" t="s">
        <v>89</v>
      </c>
      <c r="G194" s="45" t="s">
        <v>175</v>
      </c>
    </row>
    <row r="195" spans="1:7" ht="13.5" customHeight="1" x14ac:dyDescent="0.35">
      <c r="A195" s="47">
        <v>44156</v>
      </c>
      <c r="B195" s="45" t="s">
        <v>2233</v>
      </c>
      <c r="C195" s="426" t="s">
        <v>1279</v>
      </c>
      <c r="D195" s="45" t="s">
        <v>160</v>
      </c>
      <c r="E195" s="53">
        <v>270</v>
      </c>
      <c r="F195" s="45" t="s">
        <v>1062</v>
      </c>
      <c r="G195" s="45" t="s">
        <v>175</v>
      </c>
    </row>
    <row r="196" spans="1:7" ht="13.5" customHeight="1" x14ac:dyDescent="0.35">
      <c r="A196" s="47">
        <v>44152</v>
      </c>
      <c r="B196" s="45" t="s">
        <v>2330</v>
      </c>
      <c r="C196" s="426" t="s">
        <v>1280</v>
      </c>
      <c r="D196" s="45" t="s">
        <v>160</v>
      </c>
      <c r="E196" s="53">
        <v>250</v>
      </c>
      <c r="F196" s="45" t="s">
        <v>1409</v>
      </c>
      <c r="G196" s="45" t="s">
        <v>174</v>
      </c>
    </row>
    <row r="197" spans="1:7" ht="13.5" customHeight="1" x14ac:dyDescent="0.35">
      <c r="A197" s="47">
        <v>44152</v>
      </c>
      <c r="B197" s="45" t="s">
        <v>2330</v>
      </c>
      <c r="C197" s="426" t="s">
        <v>1280</v>
      </c>
      <c r="D197" s="45" t="s">
        <v>160</v>
      </c>
      <c r="E197" s="53">
        <v>100</v>
      </c>
      <c r="F197" s="45" t="s">
        <v>1409</v>
      </c>
      <c r="G197" s="45" t="s">
        <v>174</v>
      </c>
    </row>
    <row r="198" spans="1:7" ht="13.5" customHeight="1" x14ac:dyDescent="0.35">
      <c r="A198" s="47">
        <v>44150</v>
      </c>
      <c r="B198" s="45" t="s">
        <v>384</v>
      </c>
      <c r="C198" s="426" t="s">
        <v>1284</v>
      </c>
      <c r="D198" s="45" t="s">
        <v>159</v>
      </c>
      <c r="E198" s="53">
        <v>0.9</v>
      </c>
      <c r="F198" s="45" t="s">
        <v>1254</v>
      </c>
      <c r="G198" s="45" t="s">
        <v>175</v>
      </c>
    </row>
    <row r="199" spans="1:7" ht="13.5" customHeight="1" x14ac:dyDescent="0.35">
      <c r="A199" s="47">
        <v>44149</v>
      </c>
      <c r="B199" s="45" t="s">
        <v>2235</v>
      </c>
      <c r="C199" s="426" t="s">
        <v>1279</v>
      </c>
      <c r="D199" s="45" t="s">
        <v>162</v>
      </c>
      <c r="E199" s="53">
        <v>35</v>
      </c>
      <c r="F199" s="45" t="s">
        <v>1377</v>
      </c>
      <c r="G199" s="45" t="s">
        <v>175</v>
      </c>
    </row>
    <row r="200" spans="1:7" ht="13.5" customHeight="1" x14ac:dyDescent="0.35">
      <c r="A200" s="47">
        <v>44149</v>
      </c>
      <c r="B200" s="45" t="s">
        <v>2228</v>
      </c>
      <c r="C200" s="426" t="s">
        <v>28</v>
      </c>
      <c r="D200" s="45" t="s">
        <v>159</v>
      </c>
      <c r="E200" s="53">
        <v>17.5</v>
      </c>
      <c r="F200" s="45" t="s">
        <v>2300</v>
      </c>
      <c r="G200" s="45" t="s">
        <v>175</v>
      </c>
    </row>
    <row r="201" spans="1:7" ht="13.5" customHeight="1" x14ac:dyDescent="0.35">
      <c r="A201" s="47">
        <v>44149</v>
      </c>
      <c r="B201" s="45" t="s">
        <v>2331</v>
      </c>
      <c r="C201" s="426" t="s">
        <v>1278</v>
      </c>
      <c r="D201" s="45" t="s">
        <v>159</v>
      </c>
      <c r="E201" s="53">
        <v>20</v>
      </c>
      <c r="F201" s="45" t="s">
        <v>293</v>
      </c>
      <c r="G201" s="45" t="s">
        <v>175</v>
      </c>
    </row>
    <row r="202" spans="1:7" ht="13.5" customHeight="1" x14ac:dyDescent="0.35">
      <c r="A202" s="47">
        <v>44146</v>
      </c>
      <c r="B202" s="45" t="s">
        <v>1690</v>
      </c>
      <c r="C202" s="426" t="s">
        <v>1279</v>
      </c>
      <c r="D202" s="45" t="s">
        <v>160</v>
      </c>
      <c r="E202" s="53">
        <v>70</v>
      </c>
      <c r="F202" s="45" t="s">
        <v>2332</v>
      </c>
      <c r="G202" s="45" t="s">
        <v>175</v>
      </c>
    </row>
    <row r="203" spans="1:7" ht="13.5" customHeight="1" x14ac:dyDescent="0.35">
      <c r="A203" s="47">
        <v>44145</v>
      </c>
      <c r="B203" s="45" t="s">
        <v>2333</v>
      </c>
      <c r="C203" s="426" t="s">
        <v>1280</v>
      </c>
      <c r="D203" s="45" t="s">
        <v>159</v>
      </c>
      <c r="E203" s="53">
        <v>75</v>
      </c>
      <c r="F203" s="45" t="s">
        <v>1409</v>
      </c>
      <c r="G203" s="45" t="s">
        <v>174</v>
      </c>
    </row>
    <row r="204" spans="1:7" ht="13.5" customHeight="1" x14ac:dyDescent="0.35">
      <c r="A204" s="47">
        <v>44145</v>
      </c>
      <c r="B204" s="45" t="s">
        <v>1681</v>
      </c>
      <c r="C204" s="426" t="s">
        <v>28</v>
      </c>
      <c r="D204" s="45" t="s">
        <v>159</v>
      </c>
      <c r="E204" s="53">
        <v>17.5</v>
      </c>
      <c r="F204" s="45" t="s">
        <v>2300</v>
      </c>
      <c r="G204" s="45" t="s">
        <v>175</v>
      </c>
    </row>
    <row r="205" spans="1:7" ht="13.5" customHeight="1" x14ac:dyDescent="0.35">
      <c r="A205" s="47">
        <v>44145</v>
      </c>
      <c r="B205" s="45" t="s">
        <v>1681</v>
      </c>
      <c r="C205" s="426" t="s">
        <v>28</v>
      </c>
      <c r="D205" s="45" t="s">
        <v>159</v>
      </c>
      <c r="E205" s="53">
        <v>17.5</v>
      </c>
      <c r="F205" s="45" t="s">
        <v>2300</v>
      </c>
      <c r="G205" s="45" t="s">
        <v>175</v>
      </c>
    </row>
    <row r="206" spans="1:7" ht="13.5" customHeight="1" x14ac:dyDescent="0.35">
      <c r="A206" s="47">
        <v>44144</v>
      </c>
      <c r="B206" s="45" t="s">
        <v>2334</v>
      </c>
      <c r="C206" s="426" t="s">
        <v>1279</v>
      </c>
      <c r="D206" s="45" t="s">
        <v>160</v>
      </c>
      <c r="E206" s="53">
        <v>30</v>
      </c>
      <c r="F206" s="45" t="s">
        <v>2335</v>
      </c>
      <c r="G206" s="45" t="s">
        <v>174</v>
      </c>
    </row>
    <row r="207" spans="1:7" ht="13.5" customHeight="1" x14ac:dyDescent="0.35">
      <c r="A207" s="47">
        <v>44143</v>
      </c>
      <c r="B207" s="45" t="s">
        <v>2275</v>
      </c>
      <c r="C207" s="426" t="s">
        <v>1279</v>
      </c>
      <c r="D207" s="45" t="s">
        <v>160</v>
      </c>
      <c r="E207" s="53">
        <v>60</v>
      </c>
      <c r="F207" s="45" t="s">
        <v>2336</v>
      </c>
      <c r="G207" s="45" t="s">
        <v>174</v>
      </c>
    </row>
    <row r="208" spans="1:7" ht="13.5" customHeight="1" x14ac:dyDescent="0.35">
      <c r="A208" s="47">
        <v>44141</v>
      </c>
      <c r="B208" s="45" t="s">
        <v>2337</v>
      </c>
      <c r="C208" s="426" t="s">
        <v>1280</v>
      </c>
      <c r="D208" s="45" t="s">
        <v>159</v>
      </c>
      <c r="E208" s="53">
        <v>5</v>
      </c>
      <c r="F208" s="45" t="s">
        <v>1409</v>
      </c>
      <c r="G208" s="45" t="s">
        <v>174</v>
      </c>
    </row>
    <row r="209" spans="1:7" ht="13.5" customHeight="1" x14ac:dyDescent="0.35">
      <c r="A209" s="47">
        <v>44141</v>
      </c>
      <c r="B209" s="45" t="s">
        <v>2337</v>
      </c>
      <c r="C209" s="426" t="s">
        <v>1280</v>
      </c>
      <c r="D209" s="45" t="s">
        <v>159</v>
      </c>
      <c r="E209" s="53">
        <v>30</v>
      </c>
      <c r="F209" s="45" t="s">
        <v>1409</v>
      </c>
      <c r="G209" s="45" t="s">
        <v>174</v>
      </c>
    </row>
    <row r="210" spans="1:7" ht="13.5" customHeight="1" x14ac:dyDescent="0.35">
      <c r="A210" s="47">
        <v>44136</v>
      </c>
      <c r="B210" s="45" t="s">
        <v>2338</v>
      </c>
      <c r="C210" s="426" t="s">
        <v>1284</v>
      </c>
      <c r="D210" s="45" t="s">
        <v>160</v>
      </c>
      <c r="E210" s="53">
        <v>6.9</v>
      </c>
      <c r="F210" s="45" t="s">
        <v>1254</v>
      </c>
      <c r="G210" s="45" t="s">
        <v>174</v>
      </c>
    </row>
    <row r="211" spans="1:7" ht="13.5" customHeight="1" x14ac:dyDescent="0.35">
      <c r="A211" s="47">
        <v>44140</v>
      </c>
      <c r="B211" s="45" t="s">
        <v>1429</v>
      </c>
      <c r="C211" s="426" t="s">
        <v>28</v>
      </c>
      <c r="D211" s="45" t="s">
        <v>159</v>
      </c>
      <c r="E211" s="53">
        <v>17.5</v>
      </c>
      <c r="F211" s="45" t="s">
        <v>2300</v>
      </c>
      <c r="G211" s="45" t="s">
        <v>175</v>
      </c>
    </row>
    <row r="212" spans="1:7" ht="13.5" customHeight="1" x14ac:dyDescent="0.35">
      <c r="A212" s="47">
        <v>44140</v>
      </c>
      <c r="B212" s="45" t="s">
        <v>2235</v>
      </c>
      <c r="C212" s="426" t="s">
        <v>28</v>
      </c>
      <c r="D212" s="45" t="s">
        <v>160</v>
      </c>
      <c r="E212" s="53">
        <v>17.5</v>
      </c>
      <c r="F212" s="45" t="s">
        <v>2300</v>
      </c>
      <c r="G212" s="45" t="s">
        <v>175</v>
      </c>
    </row>
    <row r="213" spans="1:7" ht="13.5" customHeight="1" x14ac:dyDescent="0.35">
      <c r="A213" s="47">
        <v>44138</v>
      </c>
      <c r="B213" s="45" t="s">
        <v>2278</v>
      </c>
      <c r="C213" s="426" t="s">
        <v>28</v>
      </c>
      <c r="D213" s="45" t="s">
        <v>162</v>
      </c>
      <c r="E213" s="53">
        <v>225</v>
      </c>
      <c r="F213" s="45" t="s">
        <v>1058</v>
      </c>
      <c r="G213" s="45" t="s">
        <v>175</v>
      </c>
    </row>
    <row r="214" spans="1:7" ht="13.5" customHeight="1" x14ac:dyDescent="0.35">
      <c r="A214" s="47">
        <v>44136</v>
      </c>
      <c r="B214" s="45" t="s">
        <v>1077</v>
      </c>
      <c r="C214" s="426" t="s">
        <v>1276</v>
      </c>
      <c r="D214" s="45" t="s">
        <v>161</v>
      </c>
      <c r="E214" s="53">
        <v>465</v>
      </c>
      <c r="F214" s="45" t="s">
        <v>1078</v>
      </c>
      <c r="G214" s="45" t="s">
        <v>175</v>
      </c>
    </row>
    <row r="215" spans="1:7" ht="13.5" customHeight="1" x14ac:dyDescent="0.35">
      <c r="A215" s="47">
        <v>44136</v>
      </c>
      <c r="B215" s="45" t="s">
        <v>292</v>
      </c>
      <c r="C215" s="426" t="s">
        <v>1278</v>
      </c>
      <c r="D215" s="426" t="s">
        <v>161</v>
      </c>
      <c r="E215" s="567">
        <v>60</v>
      </c>
      <c r="F215" s="426" t="s">
        <v>292</v>
      </c>
      <c r="G215" s="426" t="s">
        <v>175</v>
      </c>
    </row>
    <row r="216" spans="1:7" ht="13.5" customHeight="1" x14ac:dyDescent="0.35">
      <c r="A216" s="47"/>
      <c r="B216" s="45"/>
      <c r="D216" s="45"/>
      <c r="E216" s="53"/>
      <c r="F216" s="45"/>
      <c r="G216" s="45"/>
    </row>
    <row r="217" spans="1:7" ht="13.5" customHeight="1" x14ac:dyDescent="0.35">
      <c r="A217" s="47">
        <v>44135</v>
      </c>
      <c r="B217" s="45" t="s">
        <v>1102</v>
      </c>
      <c r="C217" s="426" t="s">
        <v>1274</v>
      </c>
      <c r="D217" s="45" t="s">
        <v>160</v>
      </c>
      <c r="E217" s="53">
        <v>20</v>
      </c>
      <c r="F217" s="45" t="s">
        <v>324</v>
      </c>
      <c r="G217" s="45" t="s">
        <v>175</v>
      </c>
    </row>
    <row r="218" spans="1:7" ht="13.5" customHeight="1" x14ac:dyDescent="0.35">
      <c r="A218" s="47">
        <v>44132</v>
      </c>
      <c r="B218" s="45" t="s">
        <v>2339</v>
      </c>
      <c r="C218" s="426" t="s">
        <v>1278</v>
      </c>
      <c r="D218" s="45" t="s">
        <v>159</v>
      </c>
      <c r="E218" s="53">
        <v>20</v>
      </c>
      <c r="F218" s="45" t="s">
        <v>293</v>
      </c>
      <c r="G218" s="45" t="s">
        <v>175</v>
      </c>
    </row>
    <row r="219" spans="1:7" ht="13.5" customHeight="1" x14ac:dyDescent="0.35">
      <c r="A219" s="47">
        <v>44128</v>
      </c>
      <c r="B219" s="45" t="s">
        <v>1643</v>
      </c>
      <c r="C219" s="426" t="s">
        <v>1278</v>
      </c>
      <c r="D219" s="45" t="s">
        <v>159</v>
      </c>
      <c r="E219" s="53">
        <v>200</v>
      </c>
      <c r="F219" s="45" t="s">
        <v>293</v>
      </c>
      <c r="G219" s="45" t="s">
        <v>175</v>
      </c>
    </row>
    <row r="220" spans="1:7" ht="13.5" customHeight="1" x14ac:dyDescent="0.35">
      <c r="A220" s="47">
        <v>44125</v>
      </c>
      <c r="B220" s="45" t="s">
        <v>2340</v>
      </c>
      <c r="C220" s="426" t="s">
        <v>1274</v>
      </c>
      <c r="D220" s="45" t="s">
        <v>165</v>
      </c>
      <c r="E220" s="53">
        <v>150</v>
      </c>
      <c r="F220" s="45" t="s">
        <v>177</v>
      </c>
      <c r="G220" s="45" t="s">
        <v>174</v>
      </c>
    </row>
    <row r="221" spans="1:7" ht="13.5" customHeight="1" x14ac:dyDescent="0.35">
      <c r="A221" s="47">
        <v>44125</v>
      </c>
      <c r="B221" s="45" t="s">
        <v>2340</v>
      </c>
      <c r="C221" s="426" t="s">
        <v>1281</v>
      </c>
      <c r="D221" s="45" t="s">
        <v>165</v>
      </c>
      <c r="E221" s="53">
        <v>-150</v>
      </c>
      <c r="F221" s="45" t="s">
        <v>177</v>
      </c>
      <c r="G221" s="45" t="s">
        <v>174</v>
      </c>
    </row>
    <row r="222" spans="1:7" ht="13.5" customHeight="1" x14ac:dyDescent="0.35">
      <c r="A222" s="47">
        <v>44125</v>
      </c>
      <c r="B222" s="45" t="s">
        <v>2341</v>
      </c>
      <c r="C222" s="426" t="s">
        <v>28</v>
      </c>
      <c r="D222" s="45" t="s">
        <v>159</v>
      </c>
      <c r="E222" s="53">
        <v>30</v>
      </c>
      <c r="F222" s="45" t="s">
        <v>1236</v>
      </c>
      <c r="G222" s="45" t="s">
        <v>174</v>
      </c>
    </row>
    <row r="223" spans="1:7" ht="13.5" customHeight="1" x14ac:dyDescent="0.35">
      <c r="A223" s="47">
        <v>44124</v>
      </c>
      <c r="B223" s="45" t="s">
        <v>64</v>
      </c>
      <c r="C223" s="426" t="s">
        <v>1279</v>
      </c>
      <c r="D223" s="45" t="s">
        <v>159</v>
      </c>
      <c r="E223" s="53">
        <v>35</v>
      </c>
      <c r="F223" s="45" t="s">
        <v>1377</v>
      </c>
      <c r="G223" s="45" t="s">
        <v>175</v>
      </c>
    </row>
    <row r="224" spans="1:7" ht="13.5" customHeight="1" x14ac:dyDescent="0.35">
      <c r="A224" s="47">
        <v>44124</v>
      </c>
      <c r="B224" s="45" t="s">
        <v>2342</v>
      </c>
      <c r="C224" s="426" t="s">
        <v>1274</v>
      </c>
      <c r="D224" s="45" t="s">
        <v>160</v>
      </c>
      <c r="E224" s="53">
        <v>25</v>
      </c>
      <c r="F224" s="45" t="s">
        <v>2343</v>
      </c>
      <c r="G224" s="45" t="s">
        <v>175</v>
      </c>
    </row>
    <row r="225" spans="1:7" ht="13.5" customHeight="1" x14ac:dyDescent="0.35">
      <c r="A225" s="47">
        <v>44121</v>
      </c>
      <c r="B225" s="45" t="s">
        <v>2344</v>
      </c>
      <c r="C225" s="426" t="s">
        <v>1274</v>
      </c>
      <c r="D225" s="45" t="s">
        <v>160</v>
      </c>
      <c r="E225" s="53">
        <v>150</v>
      </c>
      <c r="F225" s="45" t="s">
        <v>177</v>
      </c>
      <c r="G225" s="45" t="s">
        <v>174</v>
      </c>
    </row>
    <row r="226" spans="1:7" ht="13.5" customHeight="1" x14ac:dyDescent="0.35">
      <c r="A226" s="47">
        <v>44121</v>
      </c>
      <c r="B226" s="45" t="s">
        <v>986</v>
      </c>
      <c r="C226" s="426" t="s">
        <v>1274</v>
      </c>
      <c r="D226" s="45" t="s">
        <v>159</v>
      </c>
      <c r="E226" s="53">
        <v>99</v>
      </c>
      <c r="F226" s="45" t="s">
        <v>177</v>
      </c>
      <c r="G226" s="45" t="s">
        <v>175</v>
      </c>
    </row>
    <row r="227" spans="1:7" ht="13.5" customHeight="1" x14ac:dyDescent="0.35">
      <c r="A227" s="47">
        <v>44121</v>
      </c>
      <c r="B227" s="45" t="s">
        <v>986</v>
      </c>
      <c r="C227" s="426" t="s">
        <v>1274</v>
      </c>
      <c r="D227" s="45" t="s">
        <v>159</v>
      </c>
      <c r="E227" s="53">
        <v>75</v>
      </c>
      <c r="F227" s="45" t="s">
        <v>224</v>
      </c>
      <c r="G227" s="45" t="s">
        <v>175</v>
      </c>
    </row>
    <row r="228" spans="1:7" ht="13.5" customHeight="1" x14ac:dyDescent="0.35">
      <c r="A228" s="47">
        <v>44118</v>
      </c>
      <c r="B228" s="45" t="s">
        <v>2345</v>
      </c>
      <c r="C228" s="426" t="s">
        <v>1274</v>
      </c>
      <c r="D228" s="45" t="s">
        <v>159</v>
      </c>
      <c r="E228" s="53">
        <v>99</v>
      </c>
      <c r="F228" s="45" t="s">
        <v>177</v>
      </c>
      <c r="G228" s="45" t="s">
        <v>174</v>
      </c>
    </row>
    <row r="229" spans="1:7" ht="13.5" customHeight="1" x14ac:dyDescent="0.35">
      <c r="A229" s="47">
        <v>44116</v>
      </c>
      <c r="B229" s="45" t="s">
        <v>2346</v>
      </c>
      <c r="C229" s="426" t="s">
        <v>1274</v>
      </c>
      <c r="D229" s="45" t="s">
        <v>159</v>
      </c>
      <c r="E229" s="53">
        <v>150</v>
      </c>
      <c r="F229" s="45" t="s">
        <v>177</v>
      </c>
      <c r="G229" s="45" t="s">
        <v>174</v>
      </c>
    </row>
    <row r="230" spans="1:7" ht="13.5" customHeight="1" x14ac:dyDescent="0.35">
      <c r="A230" s="47">
        <v>44116</v>
      </c>
      <c r="B230" s="45" t="s">
        <v>2347</v>
      </c>
      <c r="C230" s="426" t="s">
        <v>1274</v>
      </c>
      <c r="D230" s="45" t="s">
        <v>159</v>
      </c>
      <c r="E230" s="53">
        <v>99</v>
      </c>
      <c r="F230" s="45" t="s">
        <v>177</v>
      </c>
      <c r="G230" s="45" t="s">
        <v>174</v>
      </c>
    </row>
    <row r="231" spans="1:7" ht="13.5" customHeight="1" x14ac:dyDescent="0.35">
      <c r="A231" s="47">
        <v>44116</v>
      </c>
      <c r="B231" s="45" t="s">
        <v>2091</v>
      </c>
      <c r="C231" s="426" t="s">
        <v>1274</v>
      </c>
      <c r="D231" s="45" t="s">
        <v>159</v>
      </c>
      <c r="E231" s="53">
        <v>150</v>
      </c>
      <c r="F231" s="45" t="s">
        <v>177</v>
      </c>
      <c r="G231" s="45" t="s">
        <v>177</v>
      </c>
    </row>
    <row r="232" spans="1:7" ht="13.5" customHeight="1" x14ac:dyDescent="0.35">
      <c r="A232" s="47">
        <v>44115</v>
      </c>
      <c r="B232" s="45" t="s">
        <v>89</v>
      </c>
      <c r="C232" s="426" t="s">
        <v>1282</v>
      </c>
      <c r="D232" s="45" t="s">
        <v>160</v>
      </c>
      <c r="E232" s="53">
        <v>225.69</v>
      </c>
      <c r="F232" s="45" t="s">
        <v>89</v>
      </c>
      <c r="G232" s="45" t="s">
        <v>175</v>
      </c>
    </row>
    <row r="233" spans="1:7" ht="13.5" customHeight="1" x14ac:dyDescent="0.35">
      <c r="A233" s="47">
        <v>44114</v>
      </c>
      <c r="B233" s="45" t="s">
        <v>2348</v>
      </c>
      <c r="C233" s="426" t="s">
        <v>1274</v>
      </c>
      <c r="D233" s="45" t="s">
        <v>159</v>
      </c>
      <c r="E233" s="53">
        <v>99</v>
      </c>
      <c r="F233" s="45" t="s">
        <v>177</v>
      </c>
      <c r="G233" s="45" t="s">
        <v>177</v>
      </c>
    </row>
    <row r="234" spans="1:7" ht="13.5" customHeight="1" x14ac:dyDescent="0.35">
      <c r="A234" s="47">
        <v>44111</v>
      </c>
      <c r="B234" s="45" t="s">
        <v>2349</v>
      </c>
      <c r="C234" s="426" t="s">
        <v>1274</v>
      </c>
      <c r="D234" s="45" t="s">
        <v>159</v>
      </c>
      <c r="E234" s="53">
        <v>20</v>
      </c>
      <c r="F234" s="45" t="s">
        <v>324</v>
      </c>
      <c r="G234" s="45" t="s">
        <v>175</v>
      </c>
    </row>
    <row r="235" spans="1:7" ht="13.5" customHeight="1" x14ac:dyDescent="0.35">
      <c r="A235" s="47">
        <v>44111</v>
      </c>
      <c r="B235" s="45" t="s">
        <v>2350</v>
      </c>
      <c r="C235" s="426" t="s">
        <v>1274</v>
      </c>
      <c r="D235" s="45" t="s">
        <v>160</v>
      </c>
      <c r="E235" s="53">
        <v>49</v>
      </c>
      <c r="F235" s="45" t="s">
        <v>177</v>
      </c>
      <c r="G235" s="45" t="s">
        <v>175</v>
      </c>
    </row>
    <row r="236" spans="1:7" ht="13.5" customHeight="1" x14ac:dyDescent="0.35">
      <c r="A236" s="47">
        <v>44109</v>
      </c>
      <c r="B236" s="45" t="s">
        <v>2351</v>
      </c>
      <c r="C236" s="426" t="s">
        <v>1279</v>
      </c>
      <c r="D236" s="45" t="s">
        <v>160</v>
      </c>
      <c r="E236" s="53">
        <v>35</v>
      </c>
      <c r="F236" s="45" t="s">
        <v>2352</v>
      </c>
      <c r="G236" s="45" t="s">
        <v>175</v>
      </c>
    </row>
    <row r="237" spans="1:7" ht="13.5" customHeight="1" x14ac:dyDescent="0.35">
      <c r="A237" s="47">
        <v>44108</v>
      </c>
      <c r="B237" s="45" t="s">
        <v>2353</v>
      </c>
      <c r="C237" s="426" t="s">
        <v>1274</v>
      </c>
      <c r="D237" s="45" t="s">
        <v>160</v>
      </c>
      <c r="E237" s="53">
        <v>99</v>
      </c>
      <c r="F237" s="45" t="s">
        <v>177</v>
      </c>
      <c r="G237" s="45" t="s">
        <v>179</v>
      </c>
    </row>
    <row r="238" spans="1:7" ht="13.5" customHeight="1" x14ac:dyDescent="0.35">
      <c r="A238" s="47">
        <v>44108</v>
      </c>
      <c r="B238" s="45" t="s">
        <v>967</v>
      </c>
      <c r="C238" s="426" t="s">
        <v>1274</v>
      </c>
      <c r="D238" s="45" t="s">
        <v>159</v>
      </c>
      <c r="E238" s="53">
        <v>99</v>
      </c>
      <c r="F238" s="45" t="s">
        <v>177</v>
      </c>
      <c r="G238" s="45" t="s">
        <v>175</v>
      </c>
    </row>
    <row r="239" spans="1:7" ht="13.5" customHeight="1" x14ac:dyDescent="0.35">
      <c r="A239" s="47">
        <v>44106</v>
      </c>
      <c r="B239" s="45" t="s">
        <v>1493</v>
      </c>
      <c r="C239" s="426" t="s">
        <v>28</v>
      </c>
      <c r="D239" s="45" t="s">
        <v>160</v>
      </c>
      <c r="E239" s="53">
        <v>425</v>
      </c>
      <c r="F239" s="45" t="s">
        <v>1025</v>
      </c>
      <c r="G239" s="45" t="s">
        <v>174</v>
      </c>
    </row>
    <row r="240" spans="1:7" ht="13.5" customHeight="1" x14ac:dyDescent="0.35">
      <c r="A240" s="47">
        <v>44106</v>
      </c>
      <c r="B240" s="45" t="s">
        <v>2354</v>
      </c>
      <c r="C240" s="426" t="s">
        <v>28</v>
      </c>
      <c r="D240" s="45" t="s">
        <v>159</v>
      </c>
      <c r="E240" s="53">
        <v>30</v>
      </c>
      <c r="F240" s="45" t="s">
        <v>1236</v>
      </c>
      <c r="G240" s="45" t="s">
        <v>175</v>
      </c>
    </row>
    <row r="241" spans="1:7" ht="13.5" customHeight="1" x14ac:dyDescent="0.35">
      <c r="A241" s="47">
        <v>44106</v>
      </c>
      <c r="B241" s="45" t="s">
        <v>1854</v>
      </c>
      <c r="C241" s="426" t="s">
        <v>1274</v>
      </c>
      <c r="D241" s="45" t="s">
        <v>160</v>
      </c>
      <c r="E241" s="53">
        <v>150</v>
      </c>
      <c r="F241" s="45" t="s">
        <v>177</v>
      </c>
      <c r="G241" s="45" t="s">
        <v>175</v>
      </c>
    </row>
    <row r="242" spans="1:7" ht="13.5" customHeight="1" x14ac:dyDescent="0.35">
      <c r="A242" s="47">
        <v>44106</v>
      </c>
      <c r="B242" s="45" t="s">
        <v>2209</v>
      </c>
      <c r="C242" s="426" t="s">
        <v>1274</v>
      </c>
      <c r="D242" s="45" t="s">
        <v>165</v>
      </c>
      <c r="E242" s="53">
        <v>150</v>
      </c>
      <c r="F242" s="48" t="s">
        <v>177</v>
      </c>
      <c r="G242" s="45" t="s">
        <v>175</v>
      </c>
    </row>
    <row r="243" spans="1:7" ht="13.5" customHeight="1" x14ac:dyDescent="0.35">
      <c r="A243" s="47">
        <v>44106</v>
      </c>
      <c r="B243" s="45" t="s">
        <v>2209</v>
      </c>
      <c r="C243" s="426" t="s">
        <v>1281</v>
      </c>
      <c r="D243" s="45" t="s">
        <v>165</v>
      </c>
      <c r="E243" s="53">
        <v>-150</v>
      </c>
      <c r="F243" s="48" t="s">
        <v>177</v>
      </c>
      <c r="G243" s="45" t="s">
        <v>175</v>
      </c>
    </row>
    <row r="244" spans="1:7" ht="13.5" customHeight="1" x14ac:dyDescent="0.35">
      <c r="A244" s="47">
        <v>44105</v>
      </c>
      <c r="B244" s="45" t="s">
        <v>1077</v>
      </c>
      <c r="C244" s="426" t="s">
        <v>1276</v>
      </c>
      <c r="D244" s="45" t="s">
        <v>161</v>
      </c>
      <c r="E244" s="53">
        <v>0</v>
      </c>
      <c r="F244" s="45" t="s">
        <v>1078</v>
      </c>
      <c r="G244" s="45" t="s">
        <v>175</v>
      </c>
    </row>
    <row r="245" spans="1:7" ht="13.5" customHeight="1" x14ac:dyDescent="0.35">
      <c r="A245" s="47">
        <v>44105</v>
      </c>
      <c r="B245" s="45" t="s">
        <v>292</v>
      </c>
      <c r="C245" s="426" t="s">
        <v>1278</v>
      </c>
      <c r="D245" s="426" t="s">
        <v>161</v>
      </c>
      <c r="E245" s="567">
        <v>40</v>
      </c>
      <c r="F245" s="426" t="s">
        <v>292</v>
      </c>
      <c r="G245" s="426" t="s">
        <v>175</v>
      </c>
    </row>
    <row r="246" spans="1:7" ht="13.5" customHeight="1" x14ac:dyDescent="0.35">
      <c r="A246" s="47"/>
      <c r="B246" s="45"/>
      <c r="D246" s="45"/>
      <c r="E246" s="53"/>
      <c r="F246" s="45"/>
      <c r="G246" s="45"/>
    </row>
    <row r="247" spans="1:7" ht="13.5" customHeight="1" x14ac:dyDescent="0.35">
      <c r="A247" s="47"/>
      <c r="B247" s="45"/>
      <c r="D247" s="45"/>
      <c r="E247" s="53"/>
      <c r="F247" s="45"/>
      <c r="G247" s="45"/>
    </row>
    <row r="248" spans="1:7" ht="13.5" customHeight="1" x14ac:dyDescent="0.35">
      <c r="A248" s="47">
        <v>44102</v>
      </c>
      <c r="B248" s="45" t="s">
        <v>2355</v>
      </c>
      <c r="C248" s="426" t="s">
        <v>28</v>
      </c>
      <c r="D248" s="45" t="s">
        <v>159</v>
      </c>
      <c r="E248" s="53">
        <v>250</v>
      </c>
      <c r="F248" s="45" t="s">
        <v>1775</v>
      </c>
      <c r="G248" s="45" t="s">
        <v>174</v>
      </c>
    </row>
    <row r="249" spans="1:7" ht="13.5" customHeight="1" x14ac:dyDescent="0.35">
      <c r="A249" s="47">
        <v>44098</v>
      </c>
      <c r="B249" s="45" t="s">
        <v>2356</v>
      </c>
      <c r="C249" s="426" t="s">
        <v>1274</v>
      </c>
      <c r="D249" s="45" t="s">
        <v>159</v>
      </c>
      <c r="E249" s="53">
        <v>99</v>
      </c>
      <c r="F249" s="45" t="s">
        <v>177</v>
      </c>
      <c r="G249" s="45" t="s">
        <v>177</v>
      </c>
    </row>
    <row r="250" spans="1:7" ht="13.5" customHeight="1" x14ac:dyDescent="0.35">
      <c r="A250" s="47">
        <v>44098</v>
      </c>
      <c r="B250" s="45" t="s">
        <v>2357</v>
      </c>
      <c r="C250" s="426" t="s">
        <v>1274</v>
      </c>
      <c r="D250" s="45" t="s">
        <v>159</v>
      </c>
      <c r="E250" s="53">
        <v>190</v>
      </c>
      <c r="F250" s="45" t="s">
        <v>2358</v>
      </c>
      <c r="G250" s="45" t="s">
        <v>177</v>
      </c>
    </row>
    <row r="251" spans="1:7" ht="13.5" customHeight="1" x14ac:dyDescent="0.35">
      <c r="A251" s="47">
        <v>44094</v>
      </c>
      <c r="B251" s="45" t="s">
        <v>2359</v>
      </c>
      <c r="C251" s="426" t="s">
        <v>28</v>
      </c>
      <c r="D251" s="45" t="s">
        <v>160</v>
      </c>
      <c r="E251" s="53">
        <v>75</v>
      </c>
      <c r="F251" s="45" t="s">
        <v>2360</v>
      </c>
      <c r="G251" s="45" t="s">
        <v>175</v>
      </c>
    </row>
    <row r="252" spans="1:7" ht="13.5" customHeight="1" x14ac:dyDescent="0.35">
      <c r="A252" s="47">
        <v>44093</v>
      </c>
      <c r="B252" s="45" t="s">
        <v>2361</v>
      </c>
      <c r="C252" s="426" t="s">
        <v>1274</v>
      </c>
      <c r="D252" s="45" t="s">
        <v>159</v>
      </c>
      <c r="E252" s="53">
        <v>50</v>
      </c>
      <c r="F252" s="45" t="s">
        <v>1788</v>
      </c>
      <c r="G252" s="45" t="s">
        <v>174</v>
      </c>
    </row>
    <row r="253" spans="1:7" ht="13.5" customHeight="1" x14ac:dyDescent="0.35">
      <c r="A253" s="47">
        <v>44092</v>
      </c>
      <c r="B253" s="45" t="s">
        <v>2362</v>
      </c>
      <c r="C253" s="426" t="s">
        <v>1274</v>
      </c>
      <c r="D253" s="45" t="s">
        <v>160</v>
      </c>
      <c r="E253" s="53">
        <v>150</v>
      </c>
      <c r="F253" s="45" t="s">
        <v>177</v>
      </c>
      <c r="G253" s="45" t="s">
        <v>177</v>
      </c>
    </row>
    <row r="254" spans="1:7" ht="13.5" customHeight="1" x14ac:dyDescent="0.35">
      <c r="A254" s="47">
        <v>44089</v>
      </c>
      <c r="B254" s="45" t="s">
        <v>2363</v>
      </c>
      <c r="C254" s="426" t="s">
        <v>1279</v>
      </c>
      <c r="D254" s="45" t="s">
        <v>159</v>
      </c>
      <c r="E254" s="53">
        <v>120</v>
      </c>
      <c r="F254" s="45" t="s">
        <v>1231</v>
      </c>
      <c r="G254" s="45" t="s">
        <v>174</v>
      </c>
    </row>
    <row r="255" spans="1:7" ht="13.5" customHeight="1" x14ac:dyDescent="0.35">
      <c r="A255" s="47">
        <v>44089</v>
      </c>
      <c r="B255" s="45" t="s">
        <v>2342</v>
      </c>
      <c r="C255" s="426" t="s">
        <v>1274</v>
      </c>
      <c r="D255" s="45" t="s">
        <v>159</v>
      </c>
      <c r="E255" s="53">
        <v>99</v>
      </c>
      <c r="F255" s="45" t="s">
        <v>177</v>
      </c>
      <c r="G255" s="45" t="s">
        <v>177</v>
      </c>
    </row>
    <row r="256" spans="1:7" ht="13.5" customHeight="1" x14ac:dyDescent="0.35">
      <c r="A256" s="47">
        <v>44088</v>
      </c>
      <c r="B256" s="45" t="s">
        <v>346</v>
      </c>
      <c r="C256" s="426" t="s">
        <v>1278</v>
      </c>
      <c r="D256" s="45" t="s">
        <v>159</v>
      </c>
      <c r="E256" s="53">
        <v>600</v>
      </c>
      <c r="F256" s="45" t="s">
        <v>2109</v>
      </c>
      <c r="G256" s="45" t="s">
        <v>175</v>
      </c>
    </row>
    <row r="257" spans="1:7" ht="13.5" customHeight="1" x14ac:dyDescent="0.35">
      <c r="A257" s="47">
        <v>44085</v>
      </c>
      <c r="B257" s="45" t="s">
        <v>78</v>
      </c>
      <c r="C257" s="426" t="s">
        <v>1282</v>
      </c>
      <c r="D257" s="45" t="s">
        <v>160</v>
      </c>
      <c r="E257" s="53">
        <v>280.04000000000002</v>
      </c>
      <c r="F257" s="45" t="s">
        <v>2309</v>
      </c>
      <c r="G257" s="45" t="s">
        <v>175</v>
      </c>
    </row>
    <row r="258" spans="1:7" ht="13.5" customHeight="1" x14ac:dyDescent="0.35">
      <c r="A258" s="47">
        <v>44082</v>
      </c>
      <c r="B258" s="45" t="s">
        <v>2364</v>
      </c>
      <c r="C258" s="426" t="s">
        <v>1279</v>
      </c>
      <c r="D258" s="45" t="s">
        <v>160</v>
      </c>
      <c r="E258" s="53">
        <v>360</v>
      </c>
      <c r="F258" s="45" t="s">
        <v>1161</v>
      </c>
      <c r="G258" s="45" t="s">
        <v>174</v>
      </c>
    </row>
    <row r="259" spans="1:7" ht="13.5" customHeight="1" x14ac:dyDescent="0.35">
      <c r="A259" s="47">
        <v>44081</v>
      </c>
      <c r="B259" s="45" t="s">
        <v>2103</v>
      </c>
      <c r="C259" s="426" t="s">
        <v>1279</v>
      </c>
      <c r="D259" s="45" t="s">
        <v>165</v>
      </c>
      <c r="E259" s="53">
        <v>65</v>
      </c>
      <c r="F259" s="48" t="s">
        <v>621</v>
      </c>
      <c r="G259" s="45" t="s">
        <v>175</v>
      </c>
    </row>
    <row r="260" spans="1:7" ht="13.5" customHeight="1" x14ac:dyDescent="0.35">
      <c r="A260" s="47">
        <v>44081</v>
      </c>
      <c r="B260" s="45" t="s">
        <v>2103</v>
      </c>
      <c r="C260" s="426" t="s">
        <v>1281</v>
      </c>
      <c r="D260" s="45" t="s">
        <v>165</v>
      </c>
      <c r="E260" s="53">
        <v>-65</v>
      </c>
      <c r="F260" s="48" t="s">
        <v>621</v>
      </c>
      <c r="G260" s="45" t="s">
        <v>175</v>
      </c>
    </row>
    <row r="261" spans="1:7" ht="13.5" customHeight="1" x14ac:dyDescent="0.35">
      <c r="A261" s="47">
        <v>44080</v>
      </c>
      <c r="B261" s="45" t="s">
        <v>2365</v>
      </c>
      <c r="C261" s="426" t="s">
        <v>1274</v>
      </c>
      <c r="D261" s="45" t="s">
        <v>160</v>
      </c>
      <c r="E261" s="53">
        <v>50</v>
      </c>
      <c r="F261" s="45" t="s">
        <v>243</v>
      </c>
      <c r="G261" s="45" t="s">
        <v>175</v>
      </c>
    </row>
    <row r="262" spans="1:7" ht="13.5" customHeight="1" x14ac:dyDescent="0.35">
      <c r="A262" s="47">
        <v>44078</v>
      </c>
      <c r="B262" s="45" t="s">
        <v>78</v>
      </c>
      <c r="C262" s="426" t="s">
        <v>1282</v>
      </c>
      <c r="D262" s="45" t="s">
        <v>160</v>
      </c>
      <c r="E262" s="53">
        <v>133.58000000000001</v>
      </c>
      <c r="F262" s="45" t="s">
        <v>2309</v>
      </c>
      <c r="G262" s="45" t="s">
        <v>175</v>
      </c>
    </row>
    <row r="263" spans="1:7" ht="13.5" customHeight="1" x14ac:dyDescent="0.35">
      <c r="A263" s="47">
        <v>44076</v>
      </c>
      <c r="B263" s="45" t="s">
        <v>2366</v>
      </c>
      <c r="C263" s="426" t="s">
        <v>1274</v>
      </c>
      <c r="D263" s="45" t="s">
        <v>159</v>
      </c>
      <c r="E263" s="53">
        <v>675</v>
      </c>
      <c r="F263" s="45" t="s">
        <v>504</v>
      </c>
      <c r="G263" s="45" t="s">
        <v>174</v>
      </c>
    </row>
    <row r="264" spans="1:7" ht="13.5" customHeight="1" x14ac:dyDescent="0.35">
      <c r="A264" s="47">
        <v>44075</v>
      </c>
      <c r="B264" s="45" t="s">
        <v>2367</v>
      </c>
      <c r="C264" s="426" t="s">
        <v>1274</v>
      </c>
      <c r="D264" s="45" t="s">
        <v>159</v>
      </c>
      <c r="E264" s="53">
        <v>50</v>
      </c>
      <c r="F264" s="45" t="s">
        <v>1428</v>
      </c>
      <c r="G264" s="45" t="s">
        <v>175</v>
      </c>
    </row>
    <row r="265" spans="1:7" ht="13.5" customHeight="1" x14ac:dyDescent="0.35">
      <c r="A265" s="47">
        <v>44075</v>
      </c>
      <c r="B265" s="45" t="s">
        <v>2368</v>
      </c>
      <c r="C265" s="426" t="s">
        <v>1274</v>
      </c>
      <c r="D265" s="45" t="s">
        <v>159</v>
      </c>
      <c r="E265" s="53">
        <v>675</v>
      </c>
      <c r="F265" s="45" t="s">
        <v>504</v>
      </c>
      <c r="G265" s="45" t="s">
        <v>174</v>
      </c>
    </row>
    <row r="266" spans="1:7" ht="13.5" customHeight="1" x14ac:dyDescent="0.35">
      <c r="A266" s="47">
        <v>44075</v>
      </c>
      <c r="B266" s="45" t="s">
        <v>2369</v>
      </c>
      <c r="C266" s="426" t="s">
        <v>28</v>
      </c>
      <c r="D266" s="45" t="s">
        <v>160</v>
      </c>
      <c r="E266" s="53">
        <v>30</v>
      </c>
      <c r="F266" s="45" t="s">
        <v>1236</v>
      </c>
      <c r="G266" s="45" t="s">
        <v>174</v>
      </c>
    </row>
    <row r="267" spans="1:7" ht="13.5" customHeight="1" x14ac:dyDescent="0.35">
      <c r="A267" s="47">
        <v>44075</v>
      </c>
      <c r="B267" s="45" t="s">
        <v>2224</v>
      </c>
      <c r="C267" s="426" t="s">
        <v>1274</v>
      </c>
      <c r="D267" s="45" t="s">
        <v>160</v>
      </c>
      <c r="E267" s="53">
        <v>200</v>
      </c>
      <c r="F267" s="45" t="s">
        <v>2370</v>
      </c>
      <c r="G267" s="45" t="s">
        <v>174</v>
      </c>
    </row>
    <row r="268" spans="1:7" ht="13.5" customHeight="1" x14ac:dyDescent="0.35">
      <c r="A268" s="47">
        <v>44075</v>
      </c>
      <c r="B268" s="45" t="s">
        <v>1077</v>
      </c>
      <c r="C268" s="426" t="s">
        <v>1276</v>
      </c>
      <c r="D268" s="45" t="s">
        <v>161</v>
      </c>
      <c r="E268" s="53">
        <v>0</v>
      </c>
      <c r="F268" s="45" t="s">
        <v>1078</v>
      </c>
      <c r="G268" s="45" t="s">
        <v>175</v>
      </c>
    </row>
    <row r="269" spans="1:7" ht="13.5" customHeight="1" x14ac:dyDescent="0.35">
      <c r="A269" s="47">
        <v>44075</v>
      </c>
      <c r="B269" s="45" t="s">
        <v>292</v>
      </c>
      <c r="C269" s="426" t="s">
        <v>1278</v>
      </c>
      <c r="D269" s="426" t="s">
        <v>161</v>
      </c>
      <c r="E269" s="567">
        <v>40</v>
      </c>
      <c r="F269" s="426" t="s">
        <v>292</v>
      </c>
      <c r="G269" s="426" t="s">
        <v>175</v>
      </c>
    </row>
    <row r="270" spans="1:7" ht="13.5" customHeight="1" x14ac:dyDescent="0.35">
      <c r="A270" s="47"/>
      <c r="B270" s="45"/>
      <c r="D270" s="45"/>
      <c r="E270" s="53"/>
      <c r="F270" s="45"/>
      <c r="G270" s="45"/>
    </row>
    <row r="271" spans="1:7" ht="13.5" customHeight="1" x14ac:dyDescent="0.35">
      <c r="A271" s="47">
        <v>44072</v>
      </c>
      <c r="B271" s="45" t="s">
        <v>1777</v>
      </c>
      <c r="C271" s="426" t="s">
        <v>1279</v>
      </c>
      <c r="D271" s="45" t="s">
        <v>159</v>
      </c>
      <c r="E271" s="53">
        <v>360</v>
      </c>
      <c r="F271" s="45" t="s">
        <v>2371</v>
      </c>
      <c r="G271" s="45" t="s">
        <v>174</v>
      </c>
    </row>
    <row r="272" spans="1:7" ht="13.5" customHeight="1" x14ac:dyDescent="0.35">
      <c r="A272" s="47">
        <v>44069</v>
      </c>
      <c r="B272" s="45" t="s">
        <v>2202</v>
      </c>
      <c r="C272" s="426" t="s">
        <v>1274</v>
      </c>
      <c r="D272" s="45" t="s">
        <v>160</v>
      </c>
      <c r="E272" s="53">
        <v>50</v>
      </c>
      <c r="F272" s="45" t="s">
        <v>472</v>
      </c>
      <c r="G272" s="45" t="s">
        <v>175</v>
      </c>
    </row>
    <row r="273" spans="1:7" ht="13.5" customHeight="1" x14ac:dyDescent="0.35">
      <c r="A273" s="47">
        <v>44070</v>
      </c>
      <c r="B273" s="45" t="s">
        <v>2228</v>
      </c>
      <c r="C273" s="426" t="s">
        <v>1279</v>
      </c>
      <c r="D273" s="45" t="s">
        <v>160</v>
      </c>
      <c r="E273" s="53">
        <v>35</v>
      </c>
      <c r="F273" s="45" t="s">
        <v>1377</v>
      </c>
      <c r="G273" s="45" t="s">
        <v>175</v>
      </c>
    </row>
    <row r="274" spans="1:7" ht="13.5" customHeight="1" x14ac:dyDescent="0.35">
      <c r="A274" s="47">
        <v>44070</v>
      </c>
      <c r="B274" s="45" t="s">
        <v>2372</v>
      </c>
      <c r="C274" s="426" t="s">
        <v>1274</v>
      </c>
      <c r="D274" s="45" t="s">
        <v>160</v>
      </c>
      <c r="E274" s="53">
        <v>99</v>
      </c>
      <c r="F274" s="45" t="s">
        <v>177</v>
      </c>
      <c r="G274" s="45" t="s">
        <v>175</v>
      </c>
    </row>
    <row r="275" spans="1:7" ht="13.5" customHeight="1" x14ac:dyDescent="0.35">
      <c r="A275" s="47">
        <v>44068</v>
      </c>
      <c r="B275" s="45" t="s">
        <v>1046</v>
      </c>
      <c r="C275" s="426" t="s">
        <v>1274</v>
      </c>
      <c r="D275" s="45" t="s">
        <v>159</v>
      </c>
      <c r="E275" s="53">
        <v>50</v>
      </c>
      <c r="F275" s="45" t="s">
        <v>472</v>
      </c>
      <c r="G275" s="45" t="s">
        <v>174</v>
      </c>
    </row>
    <row r="276" spans="1:7" ht="13.5" customHeight="1" x14ac:dyDescent="0.35">
      <c r="A276" s="47">
        <v>44068</v>
      </c>
      <c r="B276" s="45" t="s">
        <v>2373</v>
      </c>
      <c r="C276" s="426" t="s">
        <v>1274</v>
      </c>
      <c r="D276" s="45" t="s">
        <v>159</v>
      </c>
      <c r="E276" s="53">
        <v>99</v>
      </c>
      <c r="F276" s="45" t="s">
        <v>177</v>
      </c>
      <c r="G276" s="45" t="s">
        <v>175</v>
      </c>
    </row>
    <row r="277" spans="1:7" ht="13.5" customHeight="1" x14ac:dyDescent="0.35">
      <c r="A277" s="47">
        <v>44068</v>
      </c>
      <c r="B277" s="45" t="s">
        <v>2205</v>
      </c>
      <c r="C277" s="426" t="s">
        <v>1279</v>
      </c>
      <c r="D277" s="45" t="s">
        <v>160</v>
      </c>
      <c r="E277" s="53">
        <v>35</v>
      </c>
      <c r="F277" s="45" t="s">
        <v>1377</v>
      </c>
      <c r="G277" s="45" t="s">
        <v>175</v>
      </c>
    </row>
    <row r="278" spans="1:7" ht="13.5" customHeight="1" x14ac:dyDescent="0.35">
      <c r="A278" s="47">
        <v>44065</v>
      </c>
      <c r="B278" s="45" t="s">
        <v>2374</v>
      </c>
      <c r="C278" s="426" t="s">
        <v>1282</v>
      </c>
      <c r="D278" s="45" t="s">
        <v>159</v>
      </c>
      <c r="E278" s="53">
        <v>50.57</v>
      </c>
      <c r="F278" s="45" t="s">
        <v>2375</v>
      </c>
      <c r="G278" s="45" t="s">
        <v>174</v>
      </c>
    </row>
    <row r="279" spans="1:7" ht="13.5" customHeight="1" x14ac:dyDescent="0.35">
      <c r="A279" s="47">
        <v>44055</v>
      </c>
      <c r="B279" s="45" t="s">
        <v>2376</v>
      </c>
      <c r="C279" s="426" t="s">
        <v>1274</v>
      </c>
      <c r="D279" s="45" t="s">
        <v>160</v>
      </c>
      <c r="E279" s="53">
        <v>10</v>
      </c>
      <c r="F279" s="45" t="s">
        <v>2377</v>
      </c>
      <c r="G279" s="45" t="s">
        <v>174</v>
      </c>
    </row>
    <row r="280" spans="1:7" ht="13.5" customHeight="1" x14ac:dyDescent="0.35">
      <c r="A280" s="47">
        <v>44062</v>
      </c>
      <c r="B280" s="45" t="s">
        <v>89</v>
      </c>
      <c r="C280" s="426" t="s">
        <v>1282</v>
      </c>
      <c r="D280" s="45" t="s">
        <v>160</v>
      </c>
      <c r="E280" s="53">
        <v>293</v>
      </c>
      <c r="F280" s="45" t="s">
        <v>1026</v>
      </c>
      <c r="G280" s="45" t="s">
        <v>175</v>
      </c>
    </row>
    <row r="281" spans="1:7" ht="13.5" customHeight="1" x14ac:dyDescent="0.35">
      <c r="A281" s="47">
        <v>44055</v>
      </c>
      <c r="B281" s="45" t="s">
        <v>2349</v>
      </c>
      <c r="C281" s="426" t="s">
        <v>28</v>
      </c>
      <c r="D281" s="45" t="s">
        <v>160</v>
      </c>
      <c r="E281" s="53">
        <v>200</v>
      </c>
      <c r="F281" s="45" t="s">
        <v>2195</v>
      </c>
      <c r="G281" s="45" t="s">
        <v>175</v>
      </c>
    </row>
    <row r="282" spans="1:7" ht="13.5" customHeight="1" x14ac:dyDescent="0.35">
      <c r="A282" s="47">
        <v>44055</v>
      </c>
      <c r="B282" s="45" t="s">
        <v>2378</v>
      </c>
      <c r="C282" s="426" t="s">
        <v>28</v>
      </c>
      <c r="D282" s="45" t="s">
        <v>160</v>
      </c>
      <c r="E282" s="53">
        <v>200</v>
      </c>
      <c r="F282" s="45" t="s">
        <v>2195</v>
      </c>
      <c r="G282" s="45" t="s">
        <v>175</v>
      </c>
    </row>
    <row r="283" spans="1:7" ht="13.5" customHeight="1" x14ac:dyDescent="0.35">
      <c r="A283" s="47">
        <v>44054</v>
      </c>
      <c r="B283" s="45" t="s">
        <v>2379</v>
      </c>
      <c r="C283" s="426" t="s">
        <v>1279</v>
      </c>
      <c r="D283" s="45" t="s">
        <v>160</v>
      </c>
      <c r="E283" s="53">
        <v>35</v>
      </c>
      <c r="F283" s="45" t="s">
        <v>1377</v>
      </c>
      <c r="G283" s="45" t="s">
        <v>175</v>
      </c>
    </row>
    <row r="284" spans="1:7" ht="13.5" customHeight="1" x14ac:dyDescent="0.35">
      <c r="A284" s="47">
        <v>44051</v>
      </c>
      <c r="B284" s="45" t="s">
        <v>2380</v>
      </c>
      <c r="C284" s="426" t="s">
        <v>28</v>
      </c>
      <c r="D284" s="45" t="s">
        <v>159</v>
      </c>
      <c r="E284" s="53">
        <v>250</v>
      </c>
      <c r="F284" s="45" t="s">
        <v>2381</v>
      </c>
      <c r="G284" s="45" t="s">
        <v>174</v>
      </c>
    </row>
    <row r="285" spans="1:7" ht="13.5" customHeight="1" x14ac:dyDescent="0.35">
      <c r="A285" s="47">
        <v>44051</v>
      </c>
      <c r="B285" s="45" t="s">
        <v>1854</v>
      </c>
      <c r="C285" s="426" t="s">
        <v>1274</v>
      </c>
      <c r="D285" s="45" t="s">
        <v>160</v>
      </c>
      <c r="E285" s="53">
        <v>400</v>
      </c>
      <c r="F285" s="45" t="s">
        <v>467</v>
      </c>
      <c r="G285" s="45" t="s">
        <v>175</v>
      </c>
    </row>
    <row r="286" spans="1:7" ht="13.5" customHeight="1" x14ac:dyDescent="0.35">
      <c r="A286" s="47">
        <v>44046</v>
      </c>
      <c r="B286" s="45" t="s">
        <v>1690</v>
      </c>
      <c r="C286" s="426" t="s">
        <v>1279</v>
      </c>
      <c r="D286" s="45" t="s">
        <v>162</v>
      </c>
      <c r="E286" s="53">
        <v>8000</v>
      </c>
      <c r="F286" s="48" t="s">
        <v>941</v>
      </c>
      <c r="G286" s="45" t="s">
        <v>175</v>
      </c>
    </row>
    <row r="287" spans="1:7" ht="13.5" customHeight="1" x14ac:dyDescent="0.35">
      <c r="A287" s="47">
        <v>44046</v>
      </c>
      <c r="B287" s="45" t="s">
        <v>2236</v>
      </c>
      <c r="C287" s="426" t="s">
        <v>1274</v>
      </c>
      <c r="D287" s="45" t="s">
        <v>159</v>
      </c>
      <c r="E287" s="53">
        <v>400</v>
      </c>
      <c r="F287" s="45" t="s">
        <v>467</v>
      </c>
      <c r="G287" s="45" t="s">
        <v>174</v>
      </c>
    </row>
    <row r="288" spans="1:7" ht="13.5" customHeight="1" x14ac:dyDescent="0.35">
      <c r="A288" s="47">
        <v>44046</v>
      </c>
      <c r="B288" s="45" t="s">
        <v>2382</v>
      </c>
      <c r="C288" s="426" t="s">
        <v>1274</v>
      </c>
      <c r="D288" s="45" t="s">
        <v>160</v>
      </c>
      <c r="E288" s="53">
        <v>400</v>
      </c>
      <c r="F288" s="45" t="s">
        <v>467</v>
      </c>
      <c r="G288" s="45" t="s">
        <v>174</v>
      </c>
    </row>
    <row r="289" spans="1:7" ht="13.5" customHeight="1" x14ac:dyDescent="0.35">
      <c r="A289" s="47">
        <v>44044</v>
      </c>
      <c r="B289" s="45" t="s">
        <v>2383</v>
      </c>
      <c r="C289" s="426" t="s">
        <v>1277</v>
      </c>
      <c r="D289" s="45" t="s">
        <v>166</v>
      </c>
      <c r="E289" s="53">
        <v>-800</v>
      </c>
      <c r="F289" s="45" t="s">
        <v>2384</v>
      </c>
      <c r="G289" s="45" t="s">
        <v>175</v>
      </c>
    </row>
    <row r="290" spans="1:7" ht="13.5" customHeight="1" x14ac:dyDescent="0.35">
      <c r="A290" s="47">
        <v>44044</v>
      </c>
      <c r="B290" s="45" t="s">
        <v>2383</v>
      </c>
      <c r="C290" s="426" t="s">
        <v>1274</v>
      </c>
      <c r="D290" s="45" t="s">
        <v>166</v>
      </c>
      <c r="E290" s="53">
        <v>800</v>
      </c>
      <c r="F290" s="45" t="s">
        <v>2384</v>
      </c>
      <c r="G290" s="45" t="s">
        <v>175</v>
      </c>
    </row>
    <row r="291" spans="1:7" ht="13.5" customHeight="1" x14ac:dyDescent="0.35">
      <c r="A291" s="47">
        <v>44044</v>
      </c>
      <c r="B291" s="45" t="s">
        <v>1077</v>
      </c>
      <c r="C291" s="426" t="s">
        <v>1276</v>
      </c>
      <c r="D291" s="45" t="s">
        <v>161</v>
      </c>
      <c r="E291" s="53">
        <v>687.5</v>
      </c>
      <c r="F291" s="45" t="s">
        <v>1078</v>
      </c>
      <c r="G291" s="45" t="s">
        <v>175</v>
      </c>
    </row>
    <row r="292" spans="1:7" ht="13.5" customHeight="1" x14ac:dyDescent="0.35">
      <c r="A292" s="47">
        <v>44044</v>
      </c>
      <c r="B292" s="45" t="s">
        <v>292</v>
      </c>
      <c r="C292" s="426" t="s">
        <v>1278</v>
      </c>
      <c r="D292" s="426" t="s">
        <v>161</v>
      </c>
      <c r="E292" s="567">
        <v>40</v>
      </c>
      <c r="F292" s="426" t="s">
        <v>292</v>
      </c>
      <c r="G292" s="426" t="s">
        <v>175</v>
      </c>
    </row>
    <row r="293" spans="1:7" ht="13.5" customHeight="1" x14ac:dyDescent="0.35">
      <c r="A293" s="47"/>
      <c r="B293" s="45"/>
      <c r="D293" s="45"/>
      <c r="E293" s="53"/>
      <c r="F293" s="45"/>
      <c r="G293" s="45"/>
    </row>
    <row r="294" spans="1:7" ht="13.5" customHeight="1" x14ac:dyDescent="0.35">
      <c r="A294" s="47"/>
      <c r="B294" s="45"/>
      <c r="D294" s="45"/>
      <c r="E294" s="53"/>
      <c r="F294" s="45"/>
      <c r="G294" s="45"/>
    </row>
    <row r="295" spans="1:7" ht="13.5" customHeight="1" x14ac:dyDescent="0.35">
      <c r="A295" s="47">
        <v>44040</v>
      </c>
      <c r="B295" s="45" t="s">
        <v>2385</v>
      </c>
      <c r="C295" s="426" t="s">
        <v>1274</v>
      </c>
      <c r="D295" s="45" t="s">
        <v>160</v>
      </c>
      <c r="E295" s="53">
        <v>10</v>
      </c>
      <c r="F295" s="45" t="s">
        <v>324</v>
      </c>
      <c r="G295" s="45" t="s">
        <v>175</v>
      </c>
    </row>
    <row r="296" spans="1:7" ht="13.5" customHeight="1" x14ac:dyDescent="0.35">
      <c r="A296" s="47">
        <v>44040</v>
      </c>
      <c r="B296" s="45" t="s">
        <v>2386</v>
      </c>
      <c r="C296" s="426" t="s">
        <v>1274</v>
      </c>
      <c r="D296" s="45" t="s">
        <v>162</v>
      </c>
      <c r="E296" s="53">
        <v>66</v>
      </c>
      <c r="F296" s="45" t="s">
        <v>2140</v>
      </c>
      <c r="G296" s="45" t="s">
        <v>175</v>
      </c>
    </row>
    <row r="297" spans="1:7" ht="13.5" customHeight="1" x14ac:dyDescent="0.35">
      <c r="A297" s="47">
        <v>44041</v>
      </c>
      <c r="B297" s="45" t="s">
        <v>1102</v>
      </c>
      <c r="C297" s="426" t="s">
        <v>1279</v>
      </c>
      <c r="D297" s="45" t="s">
        <v>160</v>
      </c>
      <c r="E297" s="53">
        <v>360</v>
      </c>
      <c r="F297" s="45" t="s">
        <v>1099</v>
      </c>
      <c r="G297" s="45" t="s">
        <v>174</v>
      </c>
    </row>
    <row r="298" spans="1:7" ht="13.5" customHeight="1" x14ac:dyDescent="0.35">
      <c r="A298" s="47">
        <v>44038</v>
      </c>
      <c r="B298" s="45" t="s">
        <v>2387</v>
      </c>
      <c r="C298" s="426" t="s">
        <v>1274</v>
      </c>
      <c r="D298" s="45" t="s">
        <v>160</v>
      </c>
      <c r="E298" s="53">
        <v>400</v>
      </c>
      <c r="F298" s="45" t="s">
        <v>2388</v>
      </c>
      <c r="G298" s="45" t="s">
        <v>175</v>
      </c>
    </row>
    <row r="299" spans="1:7" ht="13.5" customHeight="1" x14ac:dyDescent="0.35">
      <c r="A299" s="47">
        <v>44035</v>
      </c>
      <c r="B299" s="45" t="s">
        <v>2389</v>
      </c>
      <c r="C299" s="426" t="s">
        <v>28</v>
      </c>
      <c r="D299" s="45" t="s">
        <v>160</v>
      </c>
      <c r="E299" s="53">
        <v>250</v>
      </c>
      <c r="F299" s="45" t="s">
        <v>1025</v>
      </c>
      <c r="G299" s="45" t="s">
        <v>174</v>
      </c>
    </row>
    <row r="300" spans="1:7" ht="13.5" customHeight="1" x14ac:dyDescent="0.35">
      <c r="A300" s="47">
        <v>44034</v>
      </c>
      <c r="B300" s="45" t="s">
        <v>1681</v>
      </c>
      <c r="C300" s="426" t="s">
        <v>1274</v>
      </c>
      <c r="D300" s="45" t="s">
        <v>162</v>
      </c>
      <c r="E300" s="53">
        <v>66</v>
      </c>
      <c r="F300" s="45" t="s">
        <v>2140</v>
      </c>
      <c r="G300" s="45" t="s">
        <v>175</v>
      </c>
    </row>
    <row r="301" spans="1:7" ht="13.5" customHeight="1" x14ac:dyDescent="0.35">
      <c r="A301" s="47">
        <v>44034</v>
      </c>
      <c r="B301" s="45" t="s">
        <v>2390</v>
      </c>
      <c r="C301" s="426" t="s">
        <v>1274</v>
      </c>
      <c r="D301" s="45" t="s">
        <v>162</v>
      </c>
      <c r="E301" s="53">
        <v>555</v>
      </c>
      <c r="F301" s="45" t="s">
        <v>2140</v>
      </c>
      <c r="G301" s="45" t="s">
        <v>174</v>
      </c>
    </row>
    <row r="302" spans="1:7" ht="13.5" customHeight="1" x14ac:dyDescent="0.35">
      <c r="A302" s="47">
        <v>44032</v>
      </c>
      <c r="B302" s="45" t="s">
        <v>64</v>
      </c>
      <c r="C302" s="426" t="s">
        <v>1274</v>
      </c>
      <c r="D302" s="45" t="s">
        <v>159</v>
      </c>
      <c r="E302" s="53">
        <v>10</v>
      </c>
      <c r="F302" s="45" t="s">
        <v>324</v>
      </c>
      <c r="G302" s="45" t="s">
        <v>175</v>
      </c>
    </row>
    <row r="303" spans="1:7" ht="13.5" customHeight="1" x14ac:dyDescent="0.35">
      <c r="A303" s="47">
        <v>44030</v>
      </c>
      <c r="B303" s="45" t="s">
        <v>1192</v>
      </c>
      <c r="C303" s="426" t="s">
        <v>1274</v>
      </c>
      <c r="D303" s="45" t="s">
        <v>159</v>
      </c>
      <c r="E303" s="53">
        <v>10</v>
      </c>
      <c r="F303" s="45" t="s">
        <v>324</v>
      </c>
      <c r="G303" s="45" t="s">
        <v>174</v>
      </c>
    </row>
    <row r="304" spans="1:7" ht="13.5" customHeight="1" x14ac:dyDescent="0.35">
      <c r="A304" s="47">
        <v>44028</v>
      </c>
      <c r="B304" s="45" t="s">
        <v>2391</v>
      </c>
      <c r="C304" s="426" t="s">
        <v>28</v>
      </c>
      <c r="D304" s="45" t="s">
        <v>159</v>
      </c>
      <c r="E304" s="53">
        <v>250</v>
      </c>
      <c r="F304" s="45" t="s">
        <v>1025</v>
      </c>
      <c r="G304" s="45" t="s">
        <v>174</v>
      </c>
    </row>
    <row r="305" spans="1:7" ht="13.5" customHeight="1" x14ac:dyDescent="0.35">
      <c r="A305" s="47">
        <v>44020</v>
      </c>
      <c r="B305" s="45" t="s">
        <v>2392</v>
      </c>
      <c r="C305" s="426" t="s">
        <v>1274</v>
      </c>
      <c r="D305" s="45" t="s">
        <v>165</v>
      </c>
      <c r="E305" s="53">
        <v>50</v>
      </c>
      <c r="F305" s="45" t="s">
        <v>1672</v>
      </c>
      <c r="G305" s="45" t="s">
        <v>175</v>
      </c>
    </row>
    <row r="306" spans="1:7" ht="13.5" customHeight="1" x14ac:dyDescent="0.35">
      <c r="A306" s="47">
        <v>44020</v>
      </c>
      <c r="B306" s="45" t="s">
        <v>2392</v>
      </c>
      <c r="C306" s="426" t="s">
        <v>1281</v>
      </c>
      <c r="D306" s="45" t="s">
        <v>165</v>
      </c>
      <c r="E306" s="53">
        <v>-50</v>
      </c>
      <c r="F306" s="45" t="s">
        <v>1672</v>
      </c>
      <c r="G306" s="45" t="s">
        <v>175</v>
      </c>
    </row>
    <row r="307" spans="1:7" ht="13.5" customHeight="1" x14ac:dyDescent="0.35">
      <c r="A307" s="47">
        <v>44018</v>
      </c>
      <c r="B307" s="45" t="s">
        <v>2393</v>
      </c>
      <c r="C307" s="426" t="s">
        <v>28</v>
      </c>
      <c r="D307" s="45" t="s">
        <v>159</v>
      </c>
      <c r="E307" s="53">
        <v>250</v>
      </c>
      <c r="F307" s="45" t="s">
        <v>1025</v>
      </c>
      <c r="G307" s="45" t="s">
        <v>174</v>
      </c>
    </row>
    <row r="308" spans="1:7" ht="13.5" customHeight="1" x14ac:dyDescent="0.35">
      <c r="A308" s="47">
        <v>44016</v>
      </c>
      <c r="B308" s="45" t="s">
        <v>2231</v>
      </c>
      <c r="C308" s="426" t="s">
        <v>1274</v>
      </c>
      <c r="D308" s="45" t="s">
        <v>159</v>
      </c>
      <c r="E308" s="53">
        <v>10</v>
      </c>
      <c r="F308" s="45" t="s">
        <v>324</v>
      </c>
      <c r="G308" s="45" t="s">
        <v>175</v>
      </c>
    </row>
    <row r="309" spans="1:7" ht="13.5" customHeight="1" x14ac:dyDescent="0.35">
      <c r="A309" s="47">
        <v>44014</v>
      </c>
      <c r="B309" s="45" t="s">
        <v>2394</v>
      </c>
      <c r="C309" s="426" t="s">
        <v>1274</v>
      </c>
      <c r="D309" s="45" t="s">
        <v>160</v>
      </c>
      <c r="E309" s="53">
        <v>10</v>
      </c>
      <c r="F309" s="45" t="s">
        <v>324</v>
      </c>
      <c r="G309" s="45" t="s">
        <v>175</v>
      </c>
    </row>
    <row r="310" spans="1:7" ht="13.5" customHeight="1" x14ac:dyDescent="0.35">
      <c r="A310" s="47">
        <v>44014</v>
      </c>
      <c r="B310" s="45" t="s">
        <v>2395</v>
      </c>
      <c r="C310" s="426" t="s">
        <v>1279</v>
      </c>
      <c r="D310" s="45" t="s">
        <v>160</v>
      </c>
      <c r="E310" s="53">
        <v>360</v>
      </c>
      <c r="F310" s="45" t="s">
        <v>1099</v>
      </c>
      <c r="G310" s="45" t="s">
        <v>174</v>
      </c>
    </row>
    <row r="311" spans="1:7" ht="13.5" customHeight="1" x14ac:dyDescent="0.35">
      <c r="A311" s="47">
        <v>44013</v>
      </c>
      <c r="B311" s="45" t="s">
        <v>1077</v>
      </c>
      <c r="C311" s="426" t="s">
        <v>1276</v>
      </c>
      <c r="D311" s="45" t="s">
        <v>161</v>
      </c>
      <c r="E311" s="53">
        <v>0</v>
      </c>
      <c r="F311" s="45" t="s">
        <v>1078</v>
      </c>
      <c r="G311" s="45" t="s">
        <v>175</v>
      </c>
    </row>
    <row r="312" spans="1:7" ht="13.5" customHeight="1" x14ac:dyDescent="0.35">
      <c r="A312" s="47">
        <v>44013</v>
      </c>
      <c r="B312" s="45" t="s">
        <v>292</v>
      </c>
      <c r="C312" s="426" t="s">
        <v>1278</v>
      </c>
      <c r="D312" s="426" t="s">
        <v>161</v>
      </c>
      <c r="E312" s="567">
        <v>60</v>
      </c>
      <c r="F312" s="426" t="s">
        <v>292</v>
      </c>
      <c r="G312" s="426" t="s">
        <v>175</v>
      </c>
    </row>
    <row r="313" spans="1:7" ht="13.5" customHeight="1" x14ac:dyDescent="0.35">
      <c r="A313" s="47"/>
      <c r="B313" s="45"/>
      <c r="D313" s="45"/>
      <c r="E313" s="53"/>
      <c r="F313" s="45"/>
      <c r="G313" s="45"/>
    </row>
    <row r="314" spans="1:7" ht="13.5" customHeight="1" x14ac:dyDescent="0.35">
      <c r="A314" s="47">
        <v>44011</v>
      </c>
      <c r="B314" s="45" t="s">
        <v>1009</v>
      </c>
      <c r="C314" s="426" t="s">
        <v>1276</v>
      </c>
      <c r="D314" s="45" t="s">
        <v>162</v>
      </c>
      <c r="E314" s="53">
        <v>187.5</v>
      </c>
      <c r="F314" s="45" t="s">
        <v>1078</v>
      </c>
      <c r="G314" s="45" t="s">
        <v>175</v>
      </c>
    </row>
    <row r="315" spans="1:7" ht="13.5" customHeight="1" x14ac:dyDescent="0.35">
      <c r="A315" s="47">
        <v>44008</v>
      </c>
      <c r="B315" s="45" t="s">
        <v>2396</v>
      </c>
      <c r="C315" s="426" t="s">
        <v>1279</v>
      </c>
      <c r="D315" s="45" t="s">
        <v>159</v>
      </c>
      <c r="E315" s="53">
        <v>65</v>
      </c>
      <c r="F315" s="45" t="s">
        <v>2397</v>
      </c>
      <c r="G315" s="45" t="s">
        <v>174</v>
      </c>
    </row>
    <row r="316" spans="1:7" ht="13.5" customHeight="1" x14ac:dyDescent="0.35">
      <c r="A316" s="47">
        <v>44008</v>
      </c>
      <c r="B316" s="45" t="s">
        <v>2398</v>
      </c>
      <c r="C316" s="426" t="s">
        <v>1276</v>
      </c>
      <c r="D316" s="45" t="s">
        <v>162</v>
      </c>
      <c r="E316" s="53">
        <v>218.75</v>
      </c>
      <c r="F316" s="45" t="s">
        <v>1078</v>
      </c>
      <c r="G316" s="45" t="s">
        <v>175</v>
      </c>
    </row>
    <row r="317" spans="1:7" ht="13.5" customHeight="1" x14ac:dyDescent="0.35">
      <c r="A317" s="47">
        <v>44008</v>
      </c>
      <c r="B317" s="45" t="s">
        <v>2399</v>
      </c>
      <c r="C317" s="426" t="s">
        <v>1274</v>
      </c>
      <c r="D317" s="45" t="s">
        <v>159</v>
      </c>
      <c r="E317" s="53">
        <v>50</v>
      </c>
      <c r="F317" s="45" t="s">
        <v>2400</v>
      </c>
      <c r="G317" s="45" t="s">
        <v>175</v>
      </c>
    </row>
    <row r="318" spans="1:7" ht="13.5" customHeight="1" x14ac:dyDescent="0.35">
      <c r="A318" s="47">
        <v>44008</v>
      </c>
      <c r="B318" s="45" t="s">
        <v>2235</v>
      </c>
      <c r="C318" s="426" t="s">
        <v>1274</v>
      </c>
      <c r="D318" s="45" t="s">
        <v>166</v>
      </c>
      <c r="E318" s="53">
        <v>700</v>
      </c>
      <c r="F318" s="45" t="s">
        <v>2384</v>
      </c>
      <c r="G318" s="45" t="s">
        <v>175</v>
      </c>
    </row>
    <row r="319" spans="1:7" ht="13.5" customHeight="1" x14ac:dyDescent="0.35">
      <c r="A319" s="47">
        <v>44008</v>
      </c>
      <c r="B319" s="45" t="s">
        <v>2401</v>
      </c>
      <c r="C319" s="426" t="s">
        <v>1274</v>
      </c>
      <c r="D319" s="45" t="s">
        <v>166</v>
      </c>
      <c r="E319" s="53">
        <v>743.75</v>
      </c>
      <c r="F319" s="45" t="s">
        <v>2384</v>
      </c>
      <c r="G319" s="45" t="s">
        <v>175</v>
      </c>
    </row>
    <row r="320" spans="1:7" ht="13.5" customHeight="1" x14ac:dyDescent="0.35">
      <c r="A320" s="47">
        <v>44008</v>
      </c>
      <c r="B320" s="45" t="s">
        <v>2235</v>
      </c>
      <c r="C320" s="426" t="s">
        <v>1277</v>
      </c>
      <c r="D320" s="45" t="s">
        <v>166</v>
      </c>
      <c r="E320" s="53">
        <v>-700</v>
      </c>
      <c r="F320" s="45" t="s">
        <v>2384</v>
      </c>
      <c r="G320" s="45" t="s">
        <v>175</v>
      </c>
    </row>
    <row r="321" spans="1:7" ht="13.5" customHeight="1" x14ac:dyDescent="0.35">
      <c r="A321" s="47">
        <v>44008</v>
      </c>
      <c r="B321" s="45" t="s">
        <v>2401</v>
      </c>
      <c r="C321" s="426" t="s">
        <v>1277</v>
      </c>
      <c r="D321" s="45" t="s">
        <v>166</v>
      </c>
      <c r="E321" s="53">
        <v>-743.75</v>
      </c>
      <c r="F321" s="45" t="s">
        <v>2384</v>
      </c>
      <c r="G321" s="45" t="s">
        <v>175</v>
      </c>
    </row>
    <row r="322" spans="1:7" ht="13.5" customHeight="1" x14ac:dyDescent="0.35">
      <c r="A322" s="47">
        <v>44008</v>
      </c>
      <c r="B322" s="45" t="s">
        <v>2235</v>
      </c>
      <c r="C322" s="426" t="s">
        <v>1276</v>
      </c>
      <c r="D322" s="45" t="s">
        <v>162</v>
      </c>
      <c r="E322" s="53">
        <v>200</v>
      </c>
      <c r="F322" s="45" t="s">
        <v>1078</v>
      </c>
      <c r="G322" s="45" t="s">
        <v>175</v>
      </c>
    </row>
    <row r="323" spans="1:7" ht="13.5" customHeight="1" x14ac:dyDescent="0.35">
      <c r="A323" s="47">
        <v>44006</v>
      </c>
      <c r="B323" s="45" t="s">
        <v>2402</v>
      </c>
      <c r="C323" s="426" t="s">
        <v>1274</v>
      </c>
      <c r="D323" s="45" t="s">
        <v>162</v>
      </c>
      <c r="E323" s="53">
        <v>75</v>
      </c>
      <c r="F323" s="45" t="s">
        <v>495</v>
      </c>
      <c r="G323" s="45" t="s">
        <v>175</v>
      </c>
    </row>
    <row r="324" spans="1:7" ht="13.5" customHeight="1" x14ac:dyDescent="0.35">
      <c r="A324" s="47">
        <v>44004</v>
      </c>
      <c r="B324" s="45" t="s">
        <v>2403</v>
      </c>
      <c r="C324" s="426" t="s">
        <v>1279</v>
      </c>
      <c r="D324" s="45" t="s">
        <v>159</v>
      </c>
      <c r="E324" s="53">
        <v>360</v>
      </c>
      <c r="F324" s="45" t="s">
        <v>2404</v>
      </c>
      <c r="G324" s="45" t="s">
        <v>174</v>
      </c>
    </row>
    <row r="325" spans="1:7" ht="13.5" customHeight="1" x14ac:dyDescent="0.35">
      <c r="A325" s="47">
        <v>44004</v>
      </c>
      <c r="B325" s="45" t="s">
        <v>2095</v>
      </c>
      <c r="C325" s="426" t="s">
        <v>1274</v>
      </c>
      <c r="D325" s="45" t="s">
        <v>162</v>
      </c>
      <c r="E325" s="53">
        <v>150</v>
      </c>
      <c r="F325" s="45" t="s">
        <v>2400</v>
      </c>
      <c r="G325" s="45" t="s">
        <v>175</v>
      </c>
    </row>
    <row r="326" spans="1:7" ht="13.5" customHeight="1" x14ac:dyDescent="0.35">
      <c r="A326" s="47">
        <v>44004</v>
      </c>
      <c r="B326" s="45" t="s">
        <v>2367</v>
      </c>
      <c r="C326" s="426" t="s">
        <v>1279</v>
      </c>
      <c r="D326" s="45" t="s">
        <v>159</v>
      </c>
      <c r="E326" s="53">
        <v>150</v>
      </c>
      <c r="F326" s="45" t="s">
        <v>2397</v>
      </c>
      <c r="G326" s="45" t="s">
        <v>175</v>
      </c>
    </row>
    <row r="327" spans="1:7" ht="13.5" customHeight="1" x14ac:dyDescent="0.35">
      <c r="A327" s="47">
        <v>44004</v>
      </c>
      <c r="B327" s="45" t="s">
        <v>2405</v>
      </c>
      <c r="C327" s="426" t="s">
        <v>1279</v>
      </c>
      <c r="D327" s="45" t="s">
        <v>162</v>
      </c>
      <c r="E327" s="53">
        <v>60</v>
      </c>
      <c r="F327" s="45" t="s">
        <v>2406</v>
      </c>
      <c r="G327" s="45" t="s">
        <v>174</v>
      </c>
    </row>
    <row r="328" spans="1:7" ht="13.5" customHeight="1" x14ac:dyDescent="0.35">
      <c r="A328" s="47">
        <v>44001</v>
      </c>
      <c r="B328" s="45" t="s">
        <v>2407</v>
      </c>
      <c r="C328" s="426" t="s">
        <v>1274</v>
      </c>
      <c r="D328" s="45" t="s">
        <v>160</v>
      </c>
      <c r="E328" s="53">
        <v>125</v>
      </c>
      <c r="F328" s="45" t="s">
        <v>235</v>
      </c>
      <c r="G328" s="45" t="s">
        <v>174</v>
      </c>
    </row>
    <row r="329" spans="1:7" ht="13.5" customHeight="1" x14ac:dyDescent="0.35">
      <c r="A329" s="47">
        <v>44000</v>
      </c>
      <c r="B329" s="45" t="s">
        <v>2408</v>
      </c>
      <c r="C329" s="426" t="s">
        <v>1284</v>
      </c>
      <c r="D329" s="45" t="s">
        <v>159</v>
      </c>
      <c r="E329" s="53">
        <v>2.7</v>
      </c>
      <c r="F329" s="45" t="s">
        <v>1254</v>
      </c>
      <c r="G329" s="45" t="s">
        <v>175</v>
      </c>
    </row>
    <row r="330" spans="1:7" ht="13.5" customHeight="1" x14ac:dyDescent="0.35">
      <c r="A330" s="47">
        <v>43998</v>
      </c>
      <c r="B330" s="45" t="s">
        <v>2405</v>
      </c>
      <c r="C330" s="426" t="s">
        <v>1279</v>
      </c>
      <c r="D330" s="45" t="s">
        <v>159</v>
      </c>
      <c r="E330" s="53">
        <v>120</v>
      </c>
      <c r="F330" s="45" t="s">
        <v>2409</v>
      </c>
      <c r="G330" s="45" t="s">
        <v>174</v>
      </c>
    </row>
    <row r="331" spans="1:7" ht="13.5" customHeight="1" x14ac:dyDescent="0.35">
      <c r="A331" s="47">
        <v>43997</v>
      </c>
      <c r="B331" s="45" t="s">
        <v>87</v>
      </c>
      <c r="C331" s="426" t="s">
        <v>1282</v>
      </c>
      <c r="D331" s="45" t="s">
        <v>160</v>
      </c>
      <c r="E331" s="53">
        <v>328.72</v>
      </c>
      <c r="F331" s="45" t="s">
        <v>414</v>
      </c>
      <c r="G331" s="45" t="s">
        <v>175</v>
      </c>
    </row>
    <row r="332" spans="1:7" ht="13.5" customHeight="1" x14ac:dyDescent="0.35">
      <c r="A332" s="47">
        <v>43996</v>
      </c>
      <c r="B332" s="45" t="s">
        <v>2410</v>
      </c>
      <c r="C332" s="426" t="s">
        <v>1279</v>
      </c>
      <c r="D332" s="45" t="s">
        <v>160</v>
      </c>
      <c r="E332" s="53">
        <v>120</v>
      </c>
      <c r="F332" s="45" t="s">
        <v>2397</v>
      </c>
      <c r="G332" s="45" t="s">
        <v>174</v>
      </c>
    </row>
    <row r="333" spans="1:7" ht="13.5" customHeight="1" x14ac:dyDescent="0.35">
      <c r="A333" s="47">
        <v>43991</v>
      </c>
      <c r="B333" s="45" t="s">
        <v>967</v>
      </c>
      <c r="C333" s="426" t="s">
        <v>28</v>
      </c>
      <c r="D333" s="45" t="s">
        <v>160</v>
      </c>
      <c r="E333" s="53">
        <v>6.5</v>
      </c>
      <c r="F333" s="45" t="s">
        <v>2411</v>
      </c>
      <c r="G333" s="45" t="s">
        <v>175</v>
      </c>
    </row>
    <row r="334" spans="1:7" ht="13.5" customHeight="1" x14ac:dyDescent="0.35">
      <c r="A334" s="47">
        <v>43991</v>
      </c>
      <c r="B334" s="45" t="s">
        <v>64</v>
      </c>
      <c r="C334" s="426" t="s">
        <v>28</v>
      </c>
      <c r="D334" s="45" t="s">
        <v>160</v>
      </c>
      <c r="E334" s="53">
        <v>6.5</v>
      </c>
      <c r="F334" s="45" t="s">
        <v>2411</v>
      </c>
      <c r="G334" s="45" t="s">
        <v>175</v>
      </c>
    </row>
    <row r="335" spans="1:7" ht="13.5" customHeight="1" x14ac:dyDescent="0.35">
      <c r="A335" s="47">
        <v>43990</v>
      </c>
      <c r="B335" s="45" t="s">
        <v>2412</v>
      </c>
      <c r="C335" s="426" t="s">
        <v>28</v>
      </c>
      <c r="D335" s="45" t="s">
        <v>160</v>
      </c>
      <c r="E335" s="53">
        <v>6.5</v>
      </c>
      <c r="F335" s="45" t="s">
        <v>2411</v>
      </c>
      <c r="G335" s="45" t="s">
        <v>175</v>
      </c>
    </row>
    <row r="336" spans="1:7" ht="13.5" customHeight="1" x14ac:dyDescent="0.35">
      <c r="A336" s="47">
        <v>43988</v>
      </c>
      <c r="B336" s="45" t="s">
        <v>2413</v>
      </c>
      <c r="C336" s="426" t="s">
        <v>28</v>
      </c>
      <c r="D336" s="45" t="s">
        <v>160</v>
      </c>
      <c r="E336" s="53">
        <v>6.5</v>
      </c>
      <c r="F336" s="45" t="s">
        <v>2411</v>
      </c>
      <c r="G336" s="45" t="s">
        <v>175</v>
      </c>
    </row>
    <row r="337" spans="1:7" ht="13.5" customHeight="1" x14ac:dyDescent="0.35">
      <c r="A337" s="47">
        <v>43987</v>
      </c>
      <c r="B337" s="45" t="s">
        <v>2414</v>
      </c>
      <c r="C337" s="426" t="s">
        <v>28</v>
      </c>
      <c r="D337" s="45" t="s">
        <v>159</v>
      </c>
      <c r="E337" s="53">
        <v>6.5</v>
      </c>
      <c r="F337" s="45" t="s">
        <v>2411</v>
      </c>
      <c r="G337" s="45" t="s">
        <v>175</v>
      </c>
    </row>
    <row r="338" spans="1:7" ht="13.5" customHeight="1" x14ac:dyDescent="0.35">
      <c r="A338" s="47">
        <v>43986</v>
      </c>
      <c r="B338" s="45" t="s">
        <v>967</v>
      </c>
      <c r="C338" s="426" t="s">
        <v>28</v>
      </c>
      <c r="D338" s="45" t="s">
        <v>159</v>
      </c>
      <c r="E338" s="53">
        <v>8.6999999999999993</v>
      </c>
      <c r="F338" s="45" t="s">
        <v>2411</v>
      </c>
      <c r="G338" s="45" t="s">
        <v>175</v>
      </c>
    </row>
    <row r="339" spans="1:7" ht="13.5" customHeight="1" x14ac:dyDescent="0.35">
      <c r="A339" s="47">
        <v>43986</v>
      </c>
      <c r="B339" s="45" t="s">
        <v>1126</v>
      </c>
      <c r="C339" s="426" t="s">
        <v>28</v>
      </c>
      <c r="D339" s="45" t="s">
        <v>159</v>
      </c>
      <c r="E339" s="53">
        <v>10</v>
      </c>
      <c r="F339" s="45" t="s">
        <v>2411</v>
      </c>
      <c r="G339" s="45" t="s">
        <v>175</v>
      </c>
    </row>
    <row r="340" spans="1:7" ht="13.5" customHeight="1" x14ac:dyDescent="0.35">
      <c r="A340" s="47">
        <v>43986</v>
      </c>
      <c r="B340" s="45" t="s">
        <v>2399</v>
      </c>
      <c r="C340" s="426" t="s">
        <v>28</v>
      </c>
      <c r="D340" s="45" t="s">
        <v>160</v>
      </c>
      <c r="E340" s="53">
        <v>6.5</v>
      </c>
      <c r="F340" s="45" t="s">
        <v>2411</v>
      </c>
      <c r="G340" s="45" t="s">
        <v>175</v>
      </c>
    </row>
    <row r="341" spans="1:7" ht="13.5" customHeight="1" x14ac:dyDescent="0.35">
      <c r="A341" s="47">
        <v>43986</v>
      </c>
      <c r="B341" s="45" t="s">
        <v>2415</v>
      </c>
      <c r="C341" s="426" t="s">
        <v>1274</v>
      </c>
      <c r="D341" s="45" t="s">
        <v>160</v>
      </c>
      <c r="E341" s="53">
        <v>50</v>
      </c>
      <c r="F341" s="45" t="s">
        <v>2400</v>
      </c>
      <c r="G341" s="45" t="s">
        <v>174</v>
      </c>
    </row>
    <row r="342" spans="1:7" ht="13.5" customHeight="1" x14ac:dyDescent="0.35">
      <c r="A342" s="47">
        <v>43985</v>
      </c>
      <c r="B342" s="45" t="s">
        <v>2066</v>
      </c>
      <c r="C342" s="426" t="s">
        <v>1279</v>
      </c>
      <c r="D342" s="45" t="s">
        <v>160</v>
      </c>
      <c r="E342" s="53">
        <v>60</v>
      </c>
      <c r="F342" s="45" t="s">
        <v>2416</v>
      </c>
      <c r="G342" s="45" t="s">
        <v>175</v>
      </c>
    </row>
    <row r="343" spans="1:7" ht="13.5" customHeight="1" x14ac:dyDescent="0.35">
      <c r="A343" s="47">
        <v>43985</v>
      </c>
      <c r="B343" s="45" t="s">
        <v>1766</v>
      </c>
      <c r="C343" s="426" t="s">
        <v>28</v>
      </c>
      <c r="D343" s="45" t="s">
        <v>160</v>
      </c>
      <c r="E343" s="53">
        <v>6.5</v>
      </c>
      <c r="F343" s="45" t="s">
        <v>2411</v>
      </c>
      <c r="G343" s="45" t="s">
        <v>175</v>
      </c>
    </row>
    <row r="344" spans="1:7" ht="13.5" customHeight="1" x14ac:dyDescent="0.35">
      <c r="A344" s="47">
        <v>43985</v>
      </c>
      <c r="B344" s="45" t="s">
        <v>2417</v>
      </c>
      <c r="C344" s="426" t="s">
        <v>28</v>
      </c>
      <c r="D344" s="45" t="s">
        <v>159</v>
      </c>
      <c r="E344" s="53">
        <v>6.5</v>
      </c>
      <c r="F344" s="45" t="s">
        <v>2411</v>
      </c>
      <c r="G344" s="45" t="s">
        <v>175</v>
      </c>
    </row>
    <row r="345" spans="1:7" ht="13.5" customHeight="1" x14ac:dyDescent="0.35">
      <c r="A345" s="47">
        <v>43985</v>
      </c>
      <c r="B345" s="45" t="s">
        <v>2235</v>
      </c>
      <c r="C345" s="426" t="s">
        <v>28</v>
      </c>
      <c r="D345" s="45" t="s">
        <v>160</v>
      </c>
      <c r="E345" s="53">
        <v>6.5</v>
      </c>
      <c r="F345" s="45" t="s">
        <v>2411</v>
      </c>
      <c r="G345" s="45" t="s">
        <v>175</v>
      </c>
    </row>
    <row r="346" spans="1:7" ht="13.5" customHeight="1" x14ac:dyDescent="0.35">
      <c r="A346" s="47">
        <v>43985</v>
      </c>
      <c r="B346" s="45" t="s">
        <v>1009</v>
      </c>
      <c r="C346" s="426" t="s">
        <v>28</v>
      </c>
      <c r="D346" s="45" t="s">
        <v>160</v>
      </c>
      <c r="E346" s="53">
        <v>6.5</v>
      </c>
      <c r="F346" s="45" t="s">
        <v>2411</v>
      </c>
      <c r="G346" s="45" t="s">
        <v>175</v>
      </c>
    </row>
    <row r="347" spans="1:7" ht="13.5" customHeight="1" x14ac:dyDescent="0.35">
      <c r="A347" s="47">
        <v>43985</v>
      </c>
      <c r="B347" s="45" t="s">
        <v>2228</v>
      </c>
      <c r="C347" s="426" t="s">
        <v>1279</v>
      </c>
      <c r="D347" s="45" t="s">
        <v>160</v>
      </c>
      <c r="E347" s="53">
        <v>35</v>
      </c>
      <c r="F347" s="45" t="s">
        <v>2416</v>
      </c>
      <c r="G347" s="45" t="s">
        <v>175</v>
      </c>
    </row>
    <row r="348" spans="1:7" ht="13.5" customHeight="1" x14ac:dyDescent="0.35">
      <c r="A348" s="47">
        <v>43985</v>
      </c>
      <c r="B348" s="45" t="s">
        <v>2228</v>
      </c>
      <c r="C348" s="426" t="s">
        <v>28</v>
      </c>
      <c r="D348" s="45" t="s">
        <v>160</v>
      </c>
      <c r="E348" s="53">
        <v>6.5</v>
      </c>
      <c r="F348" s="45" t="s">
        <v>2411</v>
      </c>
      <c r="G348" s="45" t="s">
        <v>175</v>
      </c>
    </row>
    <row r="349" spans="1:7" ht="13.5" customHeight="1" x14ac:dyDescent="0.35">
      <c r="A349" s="47">
        <v>43984</v>
      </c>
      <c r="B349" s="45" t="s">
        <v>2408</v>
      </c>
      <c r="C349" s="426" t="s">
        <v>1274</v>
      </c>
      <c r="D349" s="45" t="s">
        <v>159</v>
      </c>
      <c r="E349" s="53">
        <v>100</v>
      </c>
      <c r="F349" s="45" t="s">
        <v>2400</v>
      </c>
      <c r="G349" s="45" t="s">
        <v>174</v>
      </c>
    </row>
    <row r="350" spans="1:7" ht="13.5" customHeight="1" x14ac:dyDescent="0.35">
      <c r="A350" s="47">
        <v>43983</v>
      </c>
      <c r="B350" s="45" t="s">
        <v>1766</v>
      </c>
      <c r="C350" s="426" t="s">
        <v>28</v>
      </c>
      <c r="D350" s="45" t="s">
        <v>160</v>
      </c>
      <c r="E350" s="53">
        <v>6.5</v>
      </c>
      <c r="F350" s="45" t="s">
        <v>2411</v>
      </c>
      <c r="G350" s="45" t="s">
        <v>175</v>
      </c>
    </row>
    <row r="351" spans="1:7" ht="13.5" customHeight="1" x14ac:dyDescent="0.35">
      <c r="A351" s="47">
        <v>43983</v>
      </c>
      <c r="B351" s="45" t="s">
        <v>1690</v>
      </c>
      <c r="C351" s="426" t="s">
        <v>1279</v>
      </c>
      <c r="D351" s="45" t="s">
        <v>162</v>
      </c>
      <c r="E351" s="53">
        <v>4000</v>
      </c>
      <c r="F351" s="48" t="s">
        <v>2418</v>
      </c>
      <c r="G351" s="45" t="s">
        <v>174</v>
      </c>
    </row>
    <row r="352" spans="1:7" ht="13.5" customHeight="1" x14ac:dyDescent="0.35">
      <c r="A352" s="47">
        <v>43983</v>
      </c>
      <c r="B352" s="45" t="s">
        <v>2228</v>
      </c>
      <c r="C352" s="426" t="s">
        <v>28</v>
      </c>
      <c r="D352" s="45" t="s">
        <v>159</v>
      </c>
      <c r="E352" s="53">
        <v>6.5</v>
      </c>
      <c r="F352" s="45" t="s">
        <v>2411</v>
      </c>
      <c r="G352" s="45" t="s">
        <v>175</v>
      </c>
    </row>
    <row r="353" spans="1:7" ht="13.5" customHeight="1" x14ac:dyDescent="0.35">
      <c r="A353" s="47">
        <v>43983</v>
      </c>
      <c r="B353" s="45" t="s">
        <v>2419</v>
      </c>
      <c r="C353" s="426" t="s">
        <v>1276</v>
      </c>
      <c r="D353" s="45" t="s">
        <v>161</v>
      </c>
      <c r="E353" s="53">
        <v>233.75</v>
      </c>
      <c r="F353" s="45" t="s">
        <v>1078</v>
      </c>
      <c r="G353" s="45" t="s">
        <v>175</v>
      </c>
    </row>
    <row r="354" spans="1:7" ht="13.5" customHeight="1" x14ac:dyDescent="0.35">
      <c r="A354" s="47">
        <v>43983</v>
      </c>
      <c r="B354" s="45" t="s">
        <v>2420</v>
      </c>
      <c r="C354" s="426" t="s">
        <v>1278</v>
      </c>
      <c r="D354" s="426" t="s">
        <v>161</v>
      </c>
      <c r="E354" s="567">
        <v>60</v>
      </c>
      <c r="F354" s="426" t="s">
        <v>292</v>
      </c>
      <c r="G354" s="426" t="s">
        <v>175</v>
      </c>
    </row>
    <row r="355" spans="1:7" ht="13.5" customHeight="1" x14ac:dyDescent="0.35">
      <c r="A355" s="47"/>
      <c r="B355" s="45"/>
      <c r="E355" s="567"/>
    </row>
    <row r="356" spans="1:7" ht="13.5" customHeight="1" x14ac:dyDescent="0.35">
      <c r="A356" s="47">
        <v>43981</v>
      </c>
      <c r="B356" s="45" t="s">
        <v>2066</v>
      </c>
      <c r="C356" s="426" t="s">
        <v>1279</v>
      </c>
      <c r="D356" s="45" t="s">
        <v>160</v>
      </c>
      <c r="E356" s="53">
        <v>60</v>
      </c>
      <c r="F356" s="45" t="s">
        <v>2416</v>
      </c>
      <c r="G356" s="45" t="s">
        <v>175</v>
      </c>
    </row>
    <row r="357" spans="1:7" ht="13.5" customHeight="1" x14ac:dyDescent="0.35">
      <c r="A357" s="47">
        <v>43980</v>
      </c>
      <c r="B357" s="45" t="s">
        <v>2421</v>
      </c>
      <c r="C357" s="426" t="s">
        <v>1279</v>
      </c>
      <c r="D357" s="45" t="s">
        <v>160</v>
      </c>
      <c r="E357" s="53">
        <v>90</v>
      </c>
      <c r="F357" s="45" t="s">
        <v>2416</v>
      </c>
      <c r="G357" s="45" t="s">
        <v>175</v>
      </c>
    </row>
    <row r="358" spans="1:7" ht="13.5" customHeight="1" x14ac:dyDescent="0.35">
      <c r="A358" s="47">
        <v>43979</v>
      </c>
      <c r="B358" s="45" t="s">
        <v>2231</v>
      </c>
      <c r="C358" s="426" t="s">
        <v>28</v>
      </c>
      <c r="D358" s="45" t="s">
        <v>159</v>
      </c>
      <c r="E358" s="53">
        <v>7.8</v>
      </c>
      <c r="F358" s="45" t="s">
        <v>2411</v>
      </c>
      <c r="G358" s="45" t="s">
        <v>175</v>
      </c>
    </row>
    <row r="359" spans="1:7" ht="13.5" customHeight="1" x14ac:dyDescent="0.35">
      <c r="A359" s="47">
        <v>43975</v>
      </c>
      <c r="B359" s="45" t="s">
        <v>989</v>
      </c>
      <c r="C359" s="426" t="s">
        <v>1284</v>
      </c>
      <c r="D359" s="45" t="s">
        <v>159</v>
      </c>
      <c r="E359" s="53">
        <v>25</v>
      </c>
      <c r="F359" s="45" t="s">
        <v>753</v>
      </c>
      <c r="G359" s="45" t="s">
        <v>174</v>
      </c>
    </row>
    <row r="360" spans="1:7" ht="13.5" customHeight="1" x14ac:dyDescent="0.35">
      <c r="A360" s="47">
        <v>43976</v>
      </c>
      <c r="B360" s="45" t="s">
        <v>2421</v>
      </c>
      <c r="C360" s="426" t="s">
        <v>1279</v>
      </c>
      <c r="D360" s="45" t="s">
        <v>160</v>
      </c>
      <c r="E360" s="53">
        <v>50</v>
      </c>
      <c r="F360" s="45" t="s">
        <v>2416</v>
      </c>
      <c r="G360" s="45" t="s">
        <v>174</v>
      </c>
    </row>
    <row r="361" spans="1:7" ht="13.5" customHeight="1" x14ac:dyDescent="0.35">
      <c r="A361" s="47">
        <v>43975</v>
      </c>
      <c r="B361" s="45" t="s">
        <v>2421</v>
      </c>
      <c r="C361" s="426" t="s">
        <v>1279</v>
      </c>
      <c r="D361" s="45" t="s">
        <v>159</v>
      </c>
      <c r="E361" s="53">
        <v>35</v>
      </c>
      <c r="F361" s="45" t="s">
        <v>2416</v>
      </c>
      <c r="G361" s="45" t="s">
        <v>174</v>
      </c>
    </row>
    <row r="362" spans="1:7" ht="13.5" customHeight="1" x14ac:dyDescent="0.35">
      <c r="A362" s="47">
        <v>43975</v>
      </c>
      <c r="B362" s="45" t="s">
        <v>2422</v>
      </c>
      <c r="C362" s="426" t="s">
        <v>28</v>
      </c>
      <c r="D362" s="45" t="s">
        <v>159</v>
      </c>
      <c r="E362" s="53">
        <v>6.5</v>
      </c>
      <c r="F362" s="45" t="s">
        <v>2411</v>
      </c>
      <c r="G362" s="45" t="s">
        <v>175</v>
      </c>
    </row>
    <row r="363" spans="1:7" ht="13.5" customHeight="1" x14ac:dyDescent="0.35">
      <c r="A363" s="47">
        <v>43975</v>
      </c>
      <c r="B363" s="45" t="s">
        <v>1766</v>
      </c>
      <c r="C363" s="426" t="s">
        <v>1279</v>
      </c>
      <c r="D363" s="45" t="s">
        <v>162</v>
      </c>
      <c r="E363" s="53">
        <v>120</v>
      </c>
      <c r="F363" s="45" t="s">
        <v>2423</v>
      </c>
      <c r="G363" s="45" t="s">
        <v>175</v>
      </c>
    </row>
    <row r="364" spans="1:7" ht="13.5" customHeight="1" x14ac:dyDescent="0.35">
      <c r="A364" s="47">
        <v>43968</v>
      </c>
      <c r="B364" s="45" t="s">
        <v>2424</v>
      </c>
      <c r="C364" s="426" t="s">
        <v>28</v>
      </c>
      <c r="D364" s="45" t="s">
        <v>159</v>
      </c>
      <c r="E364" s="53">
        <v>7.5</v>
      </c>
      <c r="F364" s="45" t="s">
        <v>2411</v>
      </c>
      <c r="G364" s="45" t="s">
        <v>175</v>
      </c>
    </row>
    <row r="365" spans="1:7" ht="13.5" customHeight="1" x14ac:dyDescent="0.35">
      <c r="A365" s="47">
        <v>43969</v>
      </c>
      <c r="B365" s="45" t="s">
        <v>1667</v>
      </c>
      <c r="C365" s="426" t="s">
        <v>1279</v>
      </c>
      <c r="D365" s="45" t="s">
        <v>160</v>
      </c>
      <c r="E365" s="53">
        <v>35</v>
      </c>
      <c r="F365" s="45" t="s">
        <v>2416</v>
      </c>
      <c r="G365" s="45" t="s">
        <v>175</v>
      </c>
    </row>
    <row r="366" spans="1:7" ht="13.5" customHeight="1" x14ac:dyDescent="0.35">
      <c r="A366" s="47">
        <v>43965</v>
      </c>
      <c r="B366" s="45" t="s">
        <v>732</v>
      </c>
      <c r="C366" s="426" t="s">
        <v>1279</v>
      </c>
      <c r="D366" s="45" t="s">
        <v>162</v>
      </c>
      <c r="E366" s="53">
        <v>100</v>
      </c>
      <c r="F366" s="45" t="s">
        <v>2416</v>
      </c>
      <c r="G366" s="45" t="s">
        <v>175</v>
      </c>
    </row>
    <row r="367" spans="1:7" ht="13.5" customHeight="1" x14ac:dyDescent="0.35">
      <c r="A367" s="47">
        <v>43961</v>
      </c>
      <c r="B367" s="45" t="s">
        <v>1766</v>
      </c>
      <c r="C367" s="426" t="s">
        <v>28</v>
      </c>
      <c r="D367" s="45" t="s">
        <v>160</v>
      </c>
      <c r="E367" s="53">
        <v>7.5</v>
      </c>
      <c r="F367" s="45" t="s">
        <v>2411</v>
      </c>
      <c r="G367" s="45" t="s">
        <v>175</v>
      </c>
    </row>
    <row r="368" spans="1:7" ht="13.5" customHeight="1" x14ac:dyDescent="0.35">
      <c r="A368" s="47">
        <v>43965</v>
      </c>
      <c r="B368" s="45" t="s">
        <v>2367</v>
      </c>
      <c r="C368" s="426" t="s">
        <v>1279</v>
      </c>
      <c r="D368" s="45" t="s">
        <v>159</v>
      </c>
      <c r="E368" s="53">
        <v>35</v>
      </c>
      <c r="F368" s="45" t="s">
        <v>2416</v>
      </c>
      <c r="G368" s="45" t="s">
        <v>175</v>
      </c>
    </row>
    <row r="369" spans="1:7" ht="13.5" customHeight="1" x14ac:dyDescent="0.35">
      <c r="A369" s="47">
        <v>43960</v>
      </c>
      <c r="B369" s="45" t="s">
        <v>89</v>
      </c>
      <c r="C369" s="426" t="s">
        <v>1282</v>
      </c>
      <c r="D369" s="45" t="s">
        <v>160</v>
      </c>
      <c r="E369" s="53">
        <v>109.81</v>
      </c>
      <c r="F369" s="45" t="s">
        <v>1026</v>
      </c>
      <c r="G369" s="45" t="s">
        <v>175</v>
      </c>
    </row>
    <row r="370" spans="1:7" ht="13.5" customHeight="1" x14ac:dyDescent="0.35">
      <c r="A370" s="47">
        <v>43959</v>
      </c>
      <c r="B370" s="45" t="s">
        <v>78</v>
      </c>
      <c r="C370" s="426" t="s">
        <v>1282</v>
      </c>
      <c r="D370" s="45" t="s">
        <v>160</v>
      </c>
      <c r="E370" s="53">
        <v>183.3</v>
      </c>
      <c r="F370" s="45" t="s">
        <v>2309</v>
      </c>
      <c r="G370" s="45" t="s">
        <v>175</v>
      </c>
    </row>
    <row r="371" spans="1:7" ht="13.5" customHeight="1" x14ac:dyDescent="0.35">
      <c r="A371" s="47">
        <v>43958</v>
      </c>
      <c r="B371" s="45" t="s">
        <v>2367</v>
      </c>
      <c r="C371" s="426" t="s">
        <v>1279</v>
      </c>
      <c r="D371" s="45" t="s">
        <v>159</v>
      </c>
      <c r="E371" s="53">
        <v>25</v>
      </c>
      <c r="F371" s="45" t="s">
        <v>2416</v>
      </c>
      <c r="G371" s="45" t="s">
        <v>175</v>
      </c>
    </row>
    <row r="372" spans="1:7" ht="13.5" customHeight="1" x14ac:dyDescent="0.35">
      <c r="A372" s="47">
        <v>43958</v>
      </c>
      <c r="B372" s="45" t="s">
        <v>2231</v>
      </c>
      <c r="C372" s="426" t="s">
        <v>28</v>
      </c>
      <c r="D372" s="45" t="s">
        <v>159</v>
      </c>
      <c r="E372" s="53">
        <v>9</v>
      </c>
      <c r="F372" s="45" t="s">
        <v>2411</v>
      </c>
      <c r="G372" s="45" t="s">
        <v>175</v>
      </c>
    </row>
    <row r="373" spans="1:7" ht="13.5" customHeight="1" x14ac:dyDescent="0.35">
      <c r="A373" s="47">
        <v>43957</v>
      </c>
      <c r="B373" s="45" t="s">
        <v>2137</v>
      </c>
      <c r="C373" s="426" t="s">
        <v>28</v>
      </c>
      <c r="D373" s="45" t="s">
        <v>160</v>
      </c>
      <c r="E373" s="53">
        <v>7.5</v>
      </c>
      <c r="F373" s="45" t="s">
        <v>2411</v>
      </c>
      <c r="G373" s="45" t="s">
        <v>175</v>
      </c>
    </row>
    <row r="374" spans="1:7" ht="13.5" customHeight="1" x14ac:dyDescent="0.35">
      <c r="A374" s="47">
        <v>43956</v>
      </c>
      <c r="B374" s="45" t="s">
        <v>2425</v>
      </c>
      <c r="C374" s="426" t="s">
        <v>28</v>
      </c>
      <c r="D374" s="45" t="s">
        <v>160</v>
      </c>
      <c r="E374" s="53">
        <v>7.5</v>
      </c>
      <c r="F374" s="45" t="s">
        <v>2411</v>
      </c>
      <c r="G374" s="45" t="s">
        <v>175</v>
      </c>
    </row>
    <row r="375" spans="1:7" ht="13.5" customHeight="1" x14ac:dyDescent="0.35">
      <c r="A375" s="47">
        <v>43956</v>
      </c>
      <c r="B375" s="45" t="s">
        <v>2425</v>
      </c>
      <c r="C375" s="426" t="s">
        <v>28</v>
      </c>
      <c r="D375" s="45" t="s">
        <v>160</v>
      </c>
      <c r="E375" s="53">
        <v>6.5</v>
      </c>
      <c r="F375" s="45" t="s">
        <v>2411</v>
      </c>
      <c r="G375" s="45" t="s">
        <v>175</v>
      </c>
    </row>
    <row r="376" spans="1:7" ht="13.5" customHeight="1" x14ac:dyDescent="0.35">
      <c r="A376" s="47">
        <v>43955</v>
      </c>
      <c r="B376" s="45" t="s">
        <v>732</v>
      </c>
      <c r="C376" s="426" t="s">
        <v>28</v>
      </c>
      <c r="D376" s="295" t="s">
        <v>159</v>
      </c>
      <c r="E376" s="53">
        <v>5</v>
      </c>
      <c r="F376" s="45" t="s">
        <v>2411</v>
      </c>
      <c r="G376" s="45" t="s">
        <v>175</v>
      </c>
    </row>
    <row r="377" spans="1:7" ht="13.5" customHeight="1" x14ac:dyDescent="0.35">
      <c r="A377" s="47">
        <v>43955</v>
      </c>
      <c r="B377" s="45" t="s">
        <v>732</v>
      </c>
      <c r="C377" s="426" t="s">
        <v>28</v>
      </c>
      <c r="D377" s="295" t="s">
        <v>159</v>
      </c>
      <c r="E377" s="53">
        <v>6.5</v>
      </c>
      <c r="F377" s="45" t="s">
        <v>2411</v>
      </c>
      <c r="G377" s="45" t="s">
        <v>175</v>
      </c>
    </row>
    <row r="378" spans="1:7" ht="13.5" customHeight="1" x14ac:dyDescent="0.35">
      <c r="A378" s="47">
        <v>43955</v>
      </c>
      <c r="B378" s="45" t="s">
        <v>732</v>
      </c>
      <c r="C378" s="426" t="s">
        <v>28</v>
      </c>
      <c r="D378" s="295" t="s">
        <v>159</v>
      </c>
      <c r="E378" s="53">
        <v>7.5</v>
      </c>
      <c r="F378" s="45" t="s">
        <v>2411</v>
      </c>
      <c r="G378" s="45" t="s">
        <v>175</v>
      </c>
    </row>
    <row r="379" spans="1:7" ht="13.5" customHeight="1" x14ac:dyDescent="0.35">
      <c r="A379" s="47">
        <v>43955</v>
      </c>
      <c r="B379" s="45" t="s">
        <v>732</v>
      </c>
      <c r="C379" s="426" t="s">
        <v>28</v>
      </c>
      <c r="D379" s="295" t="s">
        <v>159</v>
      </c>
      <c r="E379" s="53">
        <v>6</v>
      </c>
      <c r="F379" s="45" t="s">
        <v>2411</v>
      </c>
      <c r="G379" s="45" t="s">
        <v>175</v>
      </c>
    </row>
    <row r="380" spans="1:7" ht="13.5" customHeight="1" x14ac:dyDescent="0.35">
      <c r="A380" s="47">
        <v>43955</v>
      </c>
      <c r="B380" s="45" t="s">
        <v>732</v>
      </c>
      <c r="C380" s="426" t="s">
        <v>1279</v>
      </c>
      <c r="D380" s="45" t="s">
        <v>159</v>
      </c>
      <c r="E380" s="53">
        <v>25</v>
      </c>
      <c r="F380" s="45" t="s">
        <v>2416</v>
      </c>
      <c r="G380" s="45" t="s">
        <v>175</v>
      </c>
    </row>
    <row r="381" spans="1:7" ht="13.5" customHeight="1" x14ac:dyDescent="0.35">
      <c r="A381" s="47">
        <v>43954</v>
      </c>
      <c r="B381" s="45" t="s">
        <v>2066</v>
      </c>
      <c r="C381" s="426" t="s">
        <v>28</v>
      </c>
      <c r="D381" s="45" t="s">
        <v>160</v>
      </c>
      <c r="E381" s="53">
        <v>6.5</v>
      </c>
      <c r="F381" s="45" t="s">
        <v>2411</v>
      </c>
      <c r="G381" s="45" t="s">
        <v>175</v>
      </c>
    </row>
    <row r="382" spans="1:7" ht="13.5" customHeight="1" x14ac:dyDescent="0.35">
      <c r="A382" s="47">
        <v>43954</v>
      </c>
      <c r="B382" s="45" t="s">
        <v>2066</v>
      </c>
      <c r="C382" s="426" t="s">
        <v>28</v>
      </c>
      <c r="D382" s="45" t="s">
        <v>160</v>
      </c>
      <c r="E382" s="53">
        <v>7.5</v>
      </c>
      <c r="F382" s="45" t="s">
        <v>2411</v>
      </c>
      <c r="G382" s="45" t="s">
        <v>175</v>
      </c>
    </row>
    <row r="383" spans="1:7" ht="13.5" customHeight="1" x14ac:dyDescent="0.35">
      <c r="A383" s="47">
        <v>43954</v>
      </c>
      <c r="B383" s="45" t="s">
        <v>2066</v>
      </c>
      <c r="C383" s="426" t="s">
        <v>28</v>
      </c>
      <c r="D383" s="45" t="s">
        <v>160</v>
      </c>
      <c r="E383" s="53">
        <v>5</v>
      </c>
      <c r="F383" s="45" t="s">
        <v>2411</v>
      </c>
      <c r="G383" s="45" t="s">
        <v>175</v>
      </c>
    </row>
    <row r="384" spans="1:7" ht="13.5" customHeight="1" x14ac:dyDescent="0.35">
      <c r="A384" s="47">
        <v>43953</v>
      </c>
      <c r="B384" s="45" t="s">
        <v>1429</v>
      </c>
      <c r="C384" s="426" t="s">
        <v>28</v>
      </c>
      <c r="D384" s="45" t="s">
        <v>159</v>
      </c>
      <c r="E384" s="53">
        <v>6</v>
      </c>
      <c r="F384" s="45" t="s">
        <v>2411</v>
      </c>
      <c r="G384" s="45" t="s">
        <v>175</v>
      </c>
    </row>
    <row r="385" spans="1:7" ht="13.5" customHeight="1" x14ac:dyDescent="0.35">
      <c r="A385" s="47">
        <v>43953</v>
      </c>
      <c r="B385" s="45" t="s">
        <v>1429</v>
      </c>
      <c r="C385" s="426" t="s">
        <v>28</v>
      </c>
      <c r="D385" s="45" t="s">
        <v>159</v>
      </c>
      <c r="E385" s="53">
        <v>7.5</v>
      </c>
      <c r="F385" s="45" t="s">
        <v>2411</v>
      </c>
      <c r="G385" s="45" t="s">
        <v>175</v>
      </c>
    </row>
    <row r="386" spans="1:7" ht="13.5" customHeight="1" x14ac:dyDescent="0.35">
      <c r="A386" s="47">
        <v>43953</v>
      </c>
      <c r="B386" s="45" t="s">
        <v>2426</v>
      </c>
      <c r="C386" s="426" t="s">
        <v>28</v>
      </c>
      <c r="D386" s="45" t="s">
        <v>159</v>
      </c>
      <c r="E386" s="53">
        <v>7.5</v>
      </c>
      <c r="F386" s="45" t="s">
        <v>2411</v>
      </c>
      <c r="G386" s="45" t="s">
        <v>175</v>
      </c>
    </row>
    <row r="387" spans="1:7" ht="13.5" customHeight="1" x14ac:dyDescent="0.35">
      <c r="A387" s="47">
        <v>43953</v>
      </c>
      <c r="B387" s="45" t="s">
        <v>2205</v>
      </c>
      <c r="C387" s="426" t="s">
        <v>28</v>
      </c>
      <c r="D387" s="45" t="s">
        <v>160</v>
      </c>
      <c r="E387" s="53">
        <v>5</v>
      </c>
      <c r="F387" s="45" t="s">
        <v>2411</v>
      </c>
      <c r="G387" s="45" t="s">
        <v>175</v>
      </c>
    </row>
    <row r="388" spans="1:7" ht="13.5" customHeight="1" x14ac:dyDescent="0.35">
      <c r="A388" s="47">
        <v>43953</v>
      </c>
      <c r="B388" s="45" t="s">
        <v>2205</v>
      </c>
      <c r="C388" s="426" t="s">
        <v>1279</v>
      </c>
      <c r="D388" s="45" t="s">
        <v>160</v>
      </c>
      <c r="E388" s="53">
        <v>25</v>
      </c>
      <c r="F388" s="45" t="s">
        <v>2416</v>
      </c>
      <c r="G388" s="45" t="s">
        <v>175</v>
      </c>
    </row>
    <row r="389" spans="1:7" ht="13.5" customHeight="1" x14ac:dyDescent="0.35">
      <c r="A389" s="47">
        <v>43952</v>
      </c>
      <c r="B389" s="45" t="s">
        <v>2427</v>
      </c>
      <c r="C389" s="426" t="s">
        <v>1280</v>
      </c>
      <c r="D389" s="45" t="s">
        <v>159</v>
      </c>
      <c r="E389" s="53">
        <v>125</v>
      </c>
      <c r="F389" s="45" t="s">
        <v>734</v>
      </c>
      <c r="G389" s="45" t="s">
        <v>174</v>
      </c>
    </row>
    <row r="390" spans="1:7" ht="13.5" customHeight="1" x14ac:dyDescent="0.35">
      <c r="A390" s="47">
        <v>43952</v>
      </c>
      <c r="B390" s="45" t="s">
        <v>2428</v>
      </c>
      <c r="C390" s="426" t="s">
        <v>1276</v>
      </c>
      <c r="D390" s="45" t="s">
        <v>161</v>
      </c>
      <c r="E390" s="53">
        <v>533.75</v>
      </c>
      <c r="F390" s="45" t="s">
        <v>1078</v>
      </c>
      <c r="G390" s="45" t="s">
        <v>175</v>
      </c>
    </row>
    <row r="391" spans="1:7" ht="13.5" customHeight="1" x14ac:dyDescent="0.35">
      <c r="A391" s="47">
        <v>43952</v>
      </c>
      <c r="B391" s="45" t="s">
        <v>2429</v>
      </c>
      <c r="C391" s="426" t="s">
        <v>1278</v>
      </c>
      <c r="D391" s="426" t="s">
        <v>161</v>
      </c>
      <c r="E391" s="567">
        <v>80</v>
      </c>
      <c r="F391" s="426" t="s">
        <v>292</v>
      </c>
      <c r="G391" s="426" t="s">
        <v>175</v>
      </c>
    </row>
    <row r="392" spans="1:7" ht="13.5" customHeight="1" x14ac:dyDescent="0.35">
      <c r="A392" s="47"/>
      <c r="B392" s="45"/>
      <c r="D392" s="45"/>
      <c r="E392" s="53"/>
      <c r="F392" s="45"/>
      <c r="G392" s="45"/>
    </row>
    <row r="393" spans="1:7" ht="13.5" customHeight="1" x14ac:dyDescent="0.35">
      <c r="A393" s="47">
        <v>43951</v>
      </c>
      <c r="B393" s="45" t="s">
        <v>1187</v>
      </c>
      <c r="C393" s="426" t="s">
        <v>28</v>
      </c>
      <c r="D393" s="45" t="s">
        <v>159</v>
      </c>
      <c r="E393" s="53">
        <v>6.5</v>
      </c>
      <c r="F393" s="45" t="s">
        <v>2411</v>
      </c>
      <c r="G393" s="45" t="s">
        <v>175</v>
      </c>
    </row>
    <row r="394" spans="1:7" ht="13.5" customHeight="1" x14ac:dyDescent="0.35">
      <c r="A394" s="47">
        <v>43951</v>
      </c>
      <c r="B394" s="45" t="s">
        <v>1187</v>
      </c>
      <c r="C394" s="426" t="s">
        <v>28</v>
      </c>
      <c r="D394" s="45" t="s">
        <v>159</v>
      </c>
      <c r="E394" s="53">
        <v>5</v>
      </c>
      <c r="F394" s="45" t="s">
        <v>2411</v>
      </c>
      <c r="G394" s="45" t="s">
        <v>175</v>
      </c>
    </row>
    <row r="395" spans="1:7" ht="13.5" customHeight="1" x14ac:dyDescent="0.35">
      <c r="A395" s="47">
        <v>43951</v>
      </c>
      <c r="B395" s="45" t="s">
        <v>1429</v>
      </c>
      <c r="C395" s="426" t="s">
        <v>28</v>
      </c>
      <c r="D395" s="45" t="s">
        <v>159</v>
      </c>
      <c r="E395" s="53">
        <v>6</v>
      </c>
      <c r="F395" s="45" t="s">
        <v>2411</v>
      </c>
      <c r="G395" s="45" t="s">
        <v>175</v>
      </c>
    </row>
    <row r="396" spans="1:7" ht="13.5" customHeight="1" x14ac:dyDescent="0.35">
      <c r="A396" s="47">
        <v>43949</v>
      </c>
      <c r="B396" s="45" t="s">
        <v>2367</v>
      </c>
      <c r="C396" s="426" t="s">
        <v>1279</v>
      </c>
      <c r="D396" s="45" t="s">
        <v>159</v>
      </c>
      <c r="E396" s="53">
        <v>25</v>
      </c>
      <c r="F396" s="45" t="s">
        <v>2416</v>
      </c>
      <c r="G396" s="45" t="s">
        <v>174</v>
      </c>
    </row>
    <row r="397" spans="1:7" ht="13.5" customHeight="1" x14ac:dyDescent="0.35">
      <c r="A397" s="47">
        <v>43949</v>
      </c>
      <c r="B397" s="45" t="s">
        <v>2430</v>
      </c>
      <c r="C397" s="426" t="s">
        <v>1284</v>
      </c>
      <c r="D397" s="45" t="s">
        <v>159</v>
      </c>
      <c r="E397" s="53">
        <v>2.1</v>
      </c>
      <c r="F397" s="45" t="s">
        <v>1254</v>
      </c>
      <c r="G397" s="45" t="s">
        <v>174</v>
      </c>
    </row>
    <row r="398" spans="1:7" ht="13.5" customHeight="1" x14ac:dyDescent="0.35">
      <c r="A398" s="47">
        <v>43948</v>
      </c>
      <c r="B398" s="45" t="s">
        <v>2205</v>
      </c>
      <c r="C398" s="426" t="s">
        <v>28</v>
      </c>
      <c r="D398" s="45" t="s">
        <v>160</v>
      </c>
      <c r="E398" s="53">
        <v>5</v>
      </c>
      <c r="F398" s="45" t="s">
        <v>2411</v>
      </c>
      <c r="G398" s="45" t="s">
        <v>175</v>
      </c>
    </row>
    <row r="399" spans="1:7" ht="13.5" customHeight="1" x14ac:dyDescent="0.35">
      <c r="A399" s="47">
        <v>43943</v>
      </c>
      <c r="B399" s="45" t="s">
        <v>2235</v>
      </c>
      <c r="C399" s="426" t="s">
        <v>28</v>
      </c>
      <c r="D399" s="45" t="s">
        <v>160</v>
      </c>
      <c r="E399" s="53">
        <v>5</v>
      </c>
      <c r="F399" s="45" t="s">
        <v>2411</v>
      </c>
      <c r="G399" s="45" t="s">
        <v>175</v>
      </c>
    </row>
    <row r="400" spans="1:7" ht="13.5" customHeight="1" x14ac:dyDescent="0.35">
      <c r="A400" s="47">
        <v>43943</v>
      </c>
      <c r="B400" s="45" t="s">
        <v>2235</v>
      </c>
      <c r="C400" s="426" t="s">
        <v>28</v>
      </c>
      <c r="D400" s="45" t="s">
        <v>160</v>
      </c>
      <c r="E400" s="53">
        <v>5</v>
      </c>
      <c r="F400" s="45" t="s">
        <v>2411</v>
      </c>
      <c r="G400" s="45" t="s">
        <v>175</v>
      </c>
    </row>
    <row r="401" spans="1:7" ht="13.5" customHeight="1" x14ac:dyDescent="0.35">
      <c r="A401" s="47">
        <v>43942</v>
      </c>
      <c r="B401" s="45" t="s">
        <v>2431</v>
      </c>
      <c r="C401" s="426" t="s">
        <v>28</v>
      </c>
      <c r="D401" s="45" t="s">
        <v>160</v>
      </c>
      <c r="E401" s="53">
        <v>5</v>
      </c>
      <c r="F401" s="45" t="s">
        <v>2411</v>
      </c>
      <c r="G401" s="45" t="s">
        <v>175</v>
      </c>
    </row>
    <row r="402" spans="1:7" ht="13.5" customHeight="1" x14ac:dyDescent="0.35">
      <c r="A402" s="47">
        <v>43942</v>
      </c>
      <c r="B402" s="45" t="s">
        <v>2432</v>
      </c>
      <c r="C402" s="426" t="s">
        <v>28</v>
      </c>
      <c r="D402" s="45" t="s">
        <v>160</v>
      </c>
      <c r="E402" s="53">
        <v>5</v>
      </c>
      <c r="F402" s="45" t="s">
        <v>2411</v>
      </c>
      <c r="G402" s="45" t="s">
        <v>175</v>
      </c>
    </row>
    <row r="403" spans="1:7" ht="13.5" customHeight="1" x14ac:dyDescent="0.35">
      <c r="A403" s="47">
        <v>43941</v>
      </c>
      <c r="B403" s="45" t="s">
        <v>1429</v>
      </c>
      <c r="C403" s="426" t="s">
        <v>28</v>
      </c>
      <c r="D403" s="45" t="s">
        <v>159</v>
      </c>
      <c r="E403" s="53">
        <v>5</v>
      </c>
      <c r="F403" s="45" t="s">
        <v>2411</v>
      </c>
      <c r="G403" s="45" t="s">
        <v>175</v>
      </c>
    </row>
    <row r="404" spans="1:7" ht="13.5" customHeight="1" x14ac:dyDescent="0.35">
      <c r="A404" s="47">
        <v>43941</v>
      </c>
      <c r="B404" s="45" t="s">
        <v>345</v>
      </c>
      <c r="C404" s="426" t="s">
        <v>1278</v>
      </c>
      <c r="D404" s="45" t="s">
        <v>159</v>
      </c>
      <c r="E404" s="53">
        <v>20</v>
      </c>
      <c r="F404" s="45" t="s">
        <v>293</v>
      </c>
      <c r="G404" s="45" t="s">
        <v>175</v>
      </c>
    </row>
    <row r="405" spans="1:7" ht="13.5" customHeight="1" x14ac:dyDescent="0.35">
      <c r="A405" s="47">
        <v>43940</v>
      </c>
      <c r="B405" s="45" t="s">
        <v>2231</v>
      </c>
      <c r="C405" s="426" t="s">
        <v>28</v>
      </c>
      <c r="D405" s="45" t="s">
        <v>159</v>
      </c>
      <c r="E405" s="53">
        <v>6</v>
      </c>
      <c r="F405" s="45" t="s">
        <v>2411</v>
      </c>
      <c r="G405" s="45" t="s">
        <v>175</v>
      </c>
    </row>
    <row r="406" spans="1:7" ht="13.5" customHeight="1" x14ac:dyDescent="0.35">
      <c r="A406" s="47">
        <v>43940</v>
      </c>
      <c r="B406" s="45" t="s">
        <v>2433</v>
      </c>
      <c r="C406" s="426" t="s">
        <v>1279</v>
      </c>
      <c r="D406" s="45" t="s">
        <v>159</v>
      </c>
      <c r="E406" s="53">
        <v>25</v>
      </c>
      <c r="F406" s="45" t="s">
        <v>2416</v>
      </c>
      <c r="G406" s="45" t="s">
        <v>175</v>
      </c>
    </row>
    <row r="407" spans="1:7" ht="13.5" customHeight="1" x14ac:dyDescent="0.35">
      <c r="A407" s="47">
        <v>43940</v>
      </c>
      <c r="B407" s="45" t="s">
        <v>2433</v>
      </c>
      <c r="C407" s="426" t="s">
        <v>1279</v>
      </c>
      <c r="D407" s="45" t="s">
        <v>159</v>
      </c>
      <c r="E407" s="53">
        <v>25</v>
      </c>
      <c r="F407" s="45" t="s">
        <v>2416</v>
      </c>
      <c r="G407" s="45" t="s">
        <v>175</v>
      </c>
    </row>
    <row r="408" spans="1:7" ht="13.5" customHeight="1" x14ac:dyDescent="0.35">
      <c r="A408" s="47">
        <v>43940</v>
      </c>
      <c r="B408" s="45" t="s">
        <v>2433</v>
      </c>
      <c r="C408" s="426" t="s">
        <v>1279</v>
      </c>
      <c r="D408" s="45" t="s">
        <v>159</v>
      </c>
      <c r="E408" s="53">
        <v>50</v>
      </c>
      <c r="F408" s="45" t="s">
        <v>2416</v>
      </c>
      <c r="G408" s="45" t="s">
        <v>175</v>
      </c>
    </row>
    <row r="409" spans="1:7" ht="13.5" customHeight="1" x14ac:dyDescent="0.35">
      <c r="A409" s="47">
        <v>43939</v>
      </c>
      <c r="B409" s="45" t="s">
        <v>1194</v>
      </c>
      <c r="C409" s="426" t="s">
        <v>1279</v>
      </c>
      <c r="D409" s="45" t="s">
        <v>160</v>
      </c>
      <c r="E409" s="53">
        <v>50</v>
      </c>
      <c r="F409" s="45" t="s">
        <v>2416</v>
      </c>
      <c r="G409" s="45" t="s">
        <v>175</v>
      </c>
    </row>
    <row r="410" spans="1:7" ht="13.5" customHeight="1" x14ac:dyDescent="0.35">
      <c r="A410" s="47">
        <v>43939</v>
      </c>
      <c r="B410" s="45" t="s">
        <v>1194</v>
      </c>
      <c r="C410" s="426" t="s">
        <v>28</v>
      </c>
      <c r="D410" s="45" t="s">
        <v>160</v>
      </c>
      <c r="E410" s="53">
        <v>10</v>
      </c>
      <c r="F410" s="45" t="s">
        <v>2411</v>
      </c>
      <c r="G410" s="45" t="s">
        <v>175</v>
      </c>
    </row>
    <row r="411" spans="1:7" ht="13.5" customHeight="1" x14ac:dyDescent="0.35">
      <c r="A411" s="47">
        <v>43938</v>
      </c>
      <c r="B411" s="45" t="s">
        <v>2434</v>
      </c>
      <c r="C411" s="426" t="s">
        <v>28</v>
      </c>
      <c r="D411" s="45" t="s">
        <v>160</v>
      </c>
      <c r="E411" s="53">
        <v>10</v>
      </c>
      <c r="F411" s="45" t="s">
        <v>2411</v>
      </c>
      <c r="G411" s="45" t="s">
        <v>175</v>
      </c>
    </row>
    <row r="412" spans="1:7" ht="13.5" customHeight="1" x14ac:dyDescent="0.35">
      <c r="A412" s="47">
        <v>43938</v>
      </c>
      <c r="B412" s="45" t="s">
        <v>2205</v>
      </c>
      <c r="C412" s="426" t="s">
        <v>28</v>
      </c>
      <c r="D412" s="45" t="s">
        <v>160</v>
      </c>
      <c r="E412" s="53">
        <v>10</v>
      </c>
      <c r="F412" s="45" t="s">
        <v>2411</v>
      </c>
      <c r="G412" s="45" t="s">
        <v>175</v>
      </c>
    </row>
    <row r="413" spans="1:7" ht="13.5" customHeight="1" x14ac:dyDescent="0.35">
      <c r="A413" s="47">
        <v>43938</v>
      </c>
      <c r="B413" s="45" t="s">
        <v>2205</v>
      </c>
      <c r="C413" s="426" t="s">
        <v>28</v>
      </c>
      <c r="D413" s="45" t="s">
        <v>160</v>
      </c>
      <c r="E413" s="53">
        <v>5</v>
      </c>
      <c r="F413" s="45" t="s">
        <v>2411</v>
      </c>
      <c r="G413" s="45" t="s">
        <v>175</v>
      </c>
    </row>
    <row r="414" spans="1:7" ht="13.5" customHeight="1" x14ac:dyDescent="0.35">
      <c r="A414" s="47">
        <v>43937</v>
      </c>
      <c r="B414" s="45" t="s">
        <v>1194</v>
      </c>
      <c r="C414" s="426" t="s">
        <v>28</v>
      </c>
      <c r="D414" s="45" t="s">
        <v>160</v>
      </c>
      <c r="E414" s="53">
        <v>5</v>
      </c>
      <c r="F414" s="45" t="s">
        <v>2411</v>
      </c>
      <c r="G414" s="45" t="s">
        <v>175</v>
      </c>
    </row>
    <row r="415" spans="1:7" ht="13.5" customHeight="1" x14ac:dyDescent="0.35">
      <c r="A415" s="47">
        <v>43937</v>
      </c>
      <c r="B415" s="45" t="s">
        <v>2435</v>
      </c>
      <c r="C415" s="426" t="s">
        <v>1279</v>
      </c>
      <c r="D415" s="45" t="s">
        <v>162</v>
      </c>
      <c r="E415" s="53">
        <v>600</v>
      </c>
      <c r="F415" s="45" t="s">
        <v>2436</v>
      </c>
      <c r="G415" s="45" t="s">
        <v>174</v>
      </c>
    </row>
    <row r="416" spans="1:7" ht="13.5" customHeight="1" x14ac:dyDescent="0.35">
      <c r="A416" s="47">
        <v>43936</v>
      </c>
      <c r="B416" s="45" t="s">
        <v>1854</v>
      </c>
      <c r="C416" s="426" t="s">
        <v>28</v>
      </c>
      <c r="D416" s="45" t="s">
        <v>160</v>
      </c>
      <c r="E416" s="53">
        <v>5</v>
      </c>
      <c r="F416" s="45" t="s">
        <v>2411</v>
      </c>
      <c r="G416" s="45" t="s">
        <v>175</v>
      </c>
    </row>
    <row r="417" spans="1:7" ht="13.5" customHeight="1" x14ac:dyDescent="0.35">
      <c r="A417" s="47">
        <v>43936</v>
      </c>
      <c r="B417" s="45" t="s">
        <v>1206</v>
      </c>
      <c r="C417" s="426" t="s">
        <v>28</v>
      </c>
      <c r="D417" s="45" t="s">
        <v>159</v>
      </c>
      <c r="E417" s="53">
        <v>5</v>
      </c>
      <c r="F417" s="45" t="s">
        <v>2411</v>
      </c>
      <c r="G417" s="45" t="s">
        <v>175</v>
      </c>
    </row>
    <row r="418" spans="1:7" ht="13.5" customHeight="1" x14ac:dyDescent="0.35">
      <c r="A418" s="47">
        <v>43935</v>
      </c>
      <c r="B418" s="45" t="s">
        <v>2437</v>
      </c>
      <c r="C418" s="426" t="s">
        <v>1280</v>
      </c>
      <c r="D418" s="45" t="s">
        <v>160</v>
      </c>
      <c r="E418" s="53">
        <v>125</v>
      </c>
      <c r="F418" s="45" t="s">
        <v>734</v>
      </c>
      <c r="G418" s="45" t="s">
        <v>174</v>
      </c>
    </row>
    <row r="419" spans="1:7" ht="13.5" customHeight="1" x14ac:dyDescent="0.35">
      <c r="A419" s="47">
        <v>43935</v>
      </c>
      <c r="B419" s="45" t="s">
        <v>2424</v>
      </c>
      <c r="C419" s="426" t="s">
        <v>28</v>
      </c>
      <c r="D419" s="45" t="s">
        <v>159</v>
      </c>
      <c r="E419" s="53">
        <v>6</v>
      </c>
      <c r="F419" s="45" t="s">
        <v>2411</v>
      </c>
      <c r="G419" s="45" t="s">
        <v>175</v>
      </c>
    </row>
    <row r="420" spans="1:7" ht="13.5" customHeight="1" x14ac:dyDescent="0.35">
      <c r="A420" s="47">
        <v>43935</v>
      </c>
      <c r="B420" s="45" t="s">
        <v>2424</v>
      </c>
      <c r="C420" s="426" t="s">
        <v>28</v>
      </c>
      <c r="D420" s="45" t="s">
        <v>159</v>
      </c>
      <c r="E420" s="53">
        <v>6</v>
      </c>
      <c r="F420" s="45" t="s">
        <v>2411</v>
      </c>
      <c r="G420" s="45" t="s">
        <v>175</v>
      </c>
    </row>
    <row r="421" spans="1:7" ht="13.5" customHeight="1" x14ac:dyDescent="0.35">
      <c r="A421" s="47">
        <v>43934</v>
      </c>
      <c r="B421" s="45" t="s">
        <v>2231</v>
      </c>
      <c r="C421" s="426" t="s">
        <v>28</v>
      </c>
      <c r="D421" s="45" t="s">
        <v>159</v>
      </c>
      <c r="E421" s="53">
        <v>6</v>
      </c>
      <c r="F421" s="45" t="s">
        <v>2411</v>
      </c>
      <c r="G421" s="45" t="s">
        <v>175</v>
      </c>
    </row>
    <row r="422" spans="1:7" ht="13.5" customHeight="1" x14ac:dyDescent="0.35">
      <c r="A422" s="47">
        <v>43934</v>
      </c>
      <c r="B422" s="45" t="s">
        <v>967</v>
      </c>
      <c r="C422" s="426" t="s">
        <v>28</v>
      </c>
      <c r="D422" s="45" t="s">
        <v>159</v>
      </c>
      <c r="E422" s="53">
        <v>6</v>
      </c>
      <c r="F422" s="45" t="s">
        <v>2411</v>
      </c>
      <c r="G422" s="45" t="s">
        <v>175</v>
      </c>
    </row>
    <row r="423" spans="1:7" ht="13.5" customHeight="1" x14ac:dyDescent="0.35">
      <c r="A423" s="47">
        <v>43934</v>
      </c>
      <c r="B423" s="45" t="s">
        <v>967</v>
      </c>
      <c r="C423" s="426" t="s">
        <v>28</v>
      </c>
      <c r="D423" s="45" t="s">
        <v>159</v>
      </c>
      <c r="E423" s="53">
        <v>6</v>
      </c>
      <c r="F423" s="45" t="s">
        <v>2411</v>
      </c>
      <c r="G423" s="45" t="s">
        <v>175</v>
      </c>
    </row>
    <row r="424" spans="1:7" ht="13.5" customHeight="1" x14ac:dyDescent="0.35">
      <c r="A424" s="47">
        <v>43933</v>
      </c>
      <c r="B424" s="45" t="s">
        <v>2438</v>
      </c>
      <c r="C424" s="426" t="s">
        <v>1279</v>
      </c>
      <c r="D424" s="45" t="s">
        <v>159</v>
      </c>
      <c r="E424" s="53">
        <v>50</v>
      </c>
      <c r="F424" s="45" t="s">
        <v>2416</v>
      </c>
      <c r="G424" s="45" t="s">
        <v>175</v>
      </c>
    </row>
    <row r="425" spans="1:7" ht="13.5" customHeight="1" x14ac:dyDescent="0.35">
      <c r="A425" s="47">
        <v>43933</v>
      </c>
      <c r="B425" s="45" t="s">
        <v>64</v>
      </c>
      <c r="C425" s="426" t="s">
        <v>28</v>
      </c>
      <c r="D425" s="45" t="s">
        <v>159</v>
      </c>
      <c r="E425" s="53">
        <v>5</v>
      </c>
      <c r="F425" s="45" t="s">
        <v>2411</v>
      </c>
      <c r="G425" s="45" t="s">
        <v>175</v>
      </c>
    </row>
    <row r="426" spans="1:7" ht="13.5" customHeight="1" x14ac:dyDescent="0.35">
      <c r="A426" s="47">
        <v>43931</v>
      </c>
      <c r="B426" s="45" t="s">
        <v>2434</v>
      </c>
      <c r="C426" s="426" t="s">
        <v>28</v>
      </c>
      <c r="D426" s="45" t="s">
        <v>160</v>
      </c>
      <c r="E426" s="53">
        <v>5</v>
      </c>
      <c r="F426" s="45" t="s">
        <v>2411</v>
      </c>
      <c r="G426" s="45" t="s">
        <v>175</v>
      </c>
    </row>
    <row r="427" spans="1:7" ht="13.5" customHeight="1" x14ac:dyDescent="0.35">
      <c r="A427" s="47">
        <v>43929</v>
      </c>
      <c r="B427" s="45" t="s">
        <v>1681</v>
      </c>
      <c r="C427" s="426" t="s">
        <v>28</v>
      </c>
      <c r="D427" s="45" t="s">
        <v>159</v>
      </c>
      <c r="E427" s="53">
        <v>6</v>
      </c>
      <c r="F427" s="45" t="s">
        <v>2411</v>
      </c>
      <c r="G427" s="45" t="s">
        <v>175</v>
      </c>
    </row>
    <row r="428" spans="1:7" ht="13.5" customHeight="1" x14ac:dyDescent="0.35">
      <c r="A428" s="47">
        <v>43928</v>
      </c>
      <c r="B428" s="45" t="s">
        <v>2235</v>
      </c>
      <c r="C428" s="426" t="s">
        <v>28</v>
      </c>
      <c r="D428" s="45" t="s">
        <v>160</v>
      </c>
      <c r="E428" s="53">
        <v>5</v>
      </c>
      <c r="F428" s="45" t="s">
        <v>2411</v>
      </c>
      <c r="G428" s="45" t="s">
        <v>175</v>
      </c>
    </row>
    <row r="429" spans="1:7" ht="13.5" customHeight="1" x14ac:dyDescent="0.35">
      <c r="A429" s="47">
        <v>43928</v>
      </c>
      <c r="B429" s="45" t="s">
        <v>2235</v>
      </c>
      <c r="C429" s="426" t="s">
        <v>28</v>
      </c>
      <c r="D429" s="45" t="s">
        <v>160</v>
      </c>
      <c r="E429" s="53">
        <v>5</v>
      </c>
      <c r="F429" s="45" t="s">
        <v>2411</v>
      </c>
      <c r="G429" s="45" t="s">
        <v>175</v>
      </c>
    </row>
    <row r="430" spans="1:7" ht="13.5" customHeight="1" x14ac:dyDescent="0.35">
      <c r="A430" s="47">
        <v>43927</v>
      </c>
      <c r="B430" s="45" t="s">
        <v>2228</v>
      </c>
      <c r="C430" s="426" t="s">
        <v>28</v>
      </c>
      <c r="D430" s="45" t="s">
        <v>159</v>
      </c>
      <c r="E430" s="53">
        <v>5</v>
      </c>
      <c r="F430" s="45" t="s">
        <v>2411</v>
      </c>
      <c r="G430" s="45" t="s">
        <v>175</v>
      </c>
    </row>
    <row r="431" spans="1:7" ht="13.5" customHeight="1" x14ac:dyDescent="0.35">
      <c r="A431" s="47">
        <v>43927</v>
      </c>
      <c r="B431" s="45" t="s">
        <v>2272</v>
      </c>
      <c r="C431" s="426" t="s">
        <v>28</v>
      </c>
      <c r="D431" s="45" t="s">
        <v>159</v>
      </c>
      <c r="E431" s="53">
        <v>5</v>
      </c>
      <c r="F431" s="45" t="s">
        <v>2411</v>
      </c>
      <c r="G431" s="45" t="s">
        <v>175</v>
      </c>
    </row>
    <row r="432" spans="1:7" ht="13.5" customHeight="1" x14ac:dyDescent="0.35">
      <c r="A432" s="47">
        <v>43927</v>
      </c>
      <c r="B432" s="45" t="s">
        <v>2399</v>
      </c>
      <c r="C432" s="426" t="s">
        <v>28</v>
      </c>
      <c r="D432" s="45" t="s">
        <v>159</v>
      </c>
      <c r="E432" s="53">
        <v>5</v>
      </c>
      <c r="F432" s="45" t="s">
        <v>2411</v>
      </c>
      <c r="G432" s="45" t="s">
        <v>175</v>
      </c>
    </row>
    <row r="433" spans="1:7" ht="13.5" customHeight="1" x14ac:dyDescent="0.35">
      <c r="A433" s="47">
        <v>43927</v>
      </c>
      <c r="B433" s="45" t="s">
        <v>2231</v>
      </c>
      <c r="C433" s="426" t="s">
        <v>28</v>
      </c>
      <c r="D433" s="45" t="s">
        <v>159</v>
      </c>
      <c r="E433" s="53">
        <v>5</v>
      </c>
      <c r="F433" s="45" t="s">
        <v>2411</v>
      </c>
      <c r="G433" s="45" t="s">
        <v>175</v>
      </c>
    </row>
    <row r="434" spans="1:7" ht="13.5" customHeight="1" x14ac:dyDescent="0.35">
      <c r="A434" s="47">
        <v>43925</v>
      </c>
      <c r="B434" s="45" t="s">
        <v>1429</v>
      </c>
      <c r="C434" s="426" t="s">
        <v>28</v>
      </c>
      <c r="D434" s="45" t="s">
        <v>159</v>
      </c>
      <c r="E434" s="53">
        <v>10</v>
      </c>
      <c r="F434" s="45" t="s">
        <v>2411</v>
      </c>
      <c r="G434" s="45" t="s">
        <v>175</v>
      </c>
    </row>
    <row r="435" spans="1:7" ht="13.5" customHeight="1" x14ac:dyDescent="0.35">
      <c r="A435" s="47">
        <v>43925</v>
      </c>
      <c r="B435" s="45" t="s">
        <v>2228</v>
      </c>
      <c r="C435" s="426" t="s">
        <v>28</v>
      </c>
      <c r="D435" s="45" t="s">
        <v>160</v>
      </c>
      <c r="E435" s="53">
        <v>10</v>
      </c>
      <c r="F435" s="45" t="s">
        <v>2411</v>
      </c>
      <c r="G435" s="45" t="s">
        <v>175</v>
      </c>
    </row>
    <row r="436" spans="1:7" ht="13.5" customHeight="1" x14ac:dyDescent="0.35">
      <c r="A436" s="47">
        <v>43925</v>
      </c>
      <c r="B436" s="45" t="s">
        <v>967</v>
      </c>
      <c r="C436" s="426" t="s">
        <v>28</v>
      </c>
      <c r="D436" s="45" t="s">
        <v>159</v>
      </c>
      <c r="E436" s="53">
        <v>10</v>
      </c>
      <c r="F436" s="45" t="s">
        <v>2411</v>
      </c>
      <c r="G436" s="45" t="s">
        <v>175</v>
      </c>
    </row>
    <row r="437" spans="1:7" ht="13.5" customHeight="1" x14ac:dyDescent="0.35">
      <c r="A437" s="47">
        <v>43925</v>
      </c>
      <c r="B437" s="45" t="s">
        <v>967</v>
      </c>
      <c r="C437" s="426" t="s">
        <v>28</v>
      </c>
      <c r="D437" s="45" t="s">
        <v>159</v>
      </c>
      <c r="E437" s="53">
        <v>5</v>
      </c>
      <c r="F437" s="45" t="s">
        <v>2411</v>
      </c>
      <c r="G437" s="45" t="s">
        <v>175</v>
      </c>
    </row>
    <row r="438" spans="1:7" ht="13.5" customHeight="1" x14ac:dyDescent="0.35">
      <c r="A438" s="47">
        <v>43924</v>
      </c>
      <c r="B438" s="45" t="s">
        <v>2424</v>
      </c>
      <c r="C438" s="426" t="s">
        <v>28</v>
      </c>
      <c r="D438" s="45" t="s">
        <v>159</v>
      </c>
      <c r="E438" s="53">
        <v>12</v>
      </c>
      <c r="F438" s="45" t="s">
        <v>2411</v>
      </c>
      <c r="G438" s="45" t="s">
        <v>175</v>
      </c>
    </row>
    <row r="439" spans="1:7" ht="13.5" customHeight="1" x14ac:dyDescent="0.35">
      <c r="A439" s="47">
        <v>43924</v>
      </c>
      <c r="B439" s="45" t="s">
        <v>2424</v>
      </c>
      <c r="C439" s="426" t="s">
        <v>28</v>
      </c>
      <c r="D439" s="45" t="s">
        <v>159</v>
      </c>
      <c r="E439" s="53">
        <v>6</v>
      </c>
      <c r="F439" s="45" t="s">
        <v>2411</v>
      </c>
      <c r="G439" s="45" t="s">
        <v>175</v>
      </c>
    </row>
    <row r="440" spans="1:7" ht="13.5" customHeight="1" x14ac:dyDescent="0.35">
      <c r="A440" s="47">
        <v>43924</v>
      </c>
      <c r="B440" s="45" t="s">
        <v>2431</v>
      </c>
      <c r="C440" s="426" t="s">
        <v>28</v>
      </c>
      <c r="D440" s="45" t="s">
        <v>160</v>
      </c>
      <c r="E440" s="53">
        <v>10</v>
      </c>
      <c r="F440" s="45" t="s">
        <v>2411</v>
      </c>
      <c r="G440" s="45" t="s">
        <v>175</v>
      </c>
    </row>
    <row r="441" spans="1:7" ht="13.5" customHeight="1" x14ac:dyDescent="0.35">
      <c r="A441" s="47">
        <v>43924</v>
      </c>
      <c r="B441" s="45" t="s">
        <v>64</v>
      </c>
      <c r="C441" s="426" t="s">
        <v>28</v>
      </c>
      <c r="D441" s="45" t="s">
        <v>160</v>
      </c>
      <c r="E441" s="53">
        <v>10</v>
      </c>
      <c r="F441" s="45" t="s">
        <v>2411</v>
      </c>
      <c r="G441" s="45" t="s">
        <v>175</v>
      </c>
    </row>
    <row r="442" spans="1:7" ht="13.5" customHeight="1" x14ac:dyDescent="0.35">
      <c r="A442" s="47">
        <v>43923</v>
      </c>
      <c r="B442" s="45" t="s">
        <v>2439</v>
      </c>
      <c r="C442" s="426" t="s">
        <v>28</v>
      </c>
      <c r="D442" s="45" t="s">
        <v>159</v>
      </c>
      <c r="E442" s="53">
        <v>5</v>
      </c>
      <c r="F442" s="45" t="s">
        <v>2411</v>
      </c>
      <c r="G442" s="45" t="s">
        <v>175</v>
      </c>
    </row>
    <row r="443" spans="1:7" ht="13.5" customHeight="1" x14ac:dyDescent="0.35">
      <c r="A443" s="47">
        <v>43922</v>
      </c>
      <c r="B443" s="45" t="s">
        <v>1429</v>
      </c>
      <c r="C443" s="426" t="s">
        <v>28</v>
      </c>
      <c r="D443" s="45" t="s">
        <v>159</v>
      </c>
      <c r="E443" s="53">
        <v>5</v>
      </c>
      <c r="F443" s="45" t="s">
        <v>2411</v>
      </c>
      <c r="G443" s="45" t="s">
        <v>175</v>
      </c>
    </row>
    <row r="444" spans="1:7" ht="13.5" customHeight="1" x14ac:dyDescent="0.35">
      <c r="A444" s="47">
        <v>43922</v>
      </c>
      <c r="B444" s="45" t="s">
        <v>2440</v>
      </c>
      <c r="C444" s="426" t="s">
        <v>1276</v>
      </c>
      <c r="D444" s="45" t="s">
        <v>161</v>
      </c>
      <c r="E444" s="53">
        <v>283.75</v>
      </c>
      <c r="F444" s="45" t="s">
        <v>1078</v>
      </c>
      <c r="G444" s="45" t="s">
        <v>175</v>
      </c>
    </row>
    <row r="445" spans="1:7" ht="13.5" customHeight="1" x14ac:dyDescent="0.35">
      <c r="A445" s="47">
        <v>43922</v>
      </c>
      <c r="B445" s="45" t="s">
        <v>2441</v>
      </c>
      <c r="C445" s="426" t="s">
        <v>1278</v>
      </c>
      <c r="D445" s="426" t="s">
        <v>161</v>
      </c>
      <c r="E445" s="567">
        <v>80</v>
      </c>
      <c r="F445" s="426" t="s">
        <v>292</v>
      </c>
      <c r="G445" s="426" t="s">
        <v>175</v>
      </c>
    </row>
    <row r="446" spans="1:7" ht="13.5" customHeight="1" x14ac:dyDescent="0.35">
      <c r="A446" s="47"/>
      <c r="B446" s="45"/>
      <c r="D446" s="45"/>
      <c r="E446" s="53"/>
      <c r="F446" s="45"/>
      <c r="G446" s="45"/>
    </row>
    <row r="447" spans="1:7" ht="13.5" customHeight="1" x14ac:dyDescent="0.35">
      <c r="A447" s="47"/>
      <c r="B447" s="45"/>
      <c r="D447" s="45"/>
      <c r="E447" s="53"/>
      <c r="F447" s="45"/>
      <c r="G447" s="45"/>
    </row>
    <row r="448" spans="1:7" ht="13.5" customHeight="1" x14ac:dyDescent="0.35">
      <c r="A448" s="47">
        <v>43921</v>
      </c>
      <c r="B448" s="45" t="s">
        <v>1681</v>
      </c>
      <c r="C448" s="426" t="s">
        <v>28</v>
      </c>
      <c r="D448" s="45" t="s">
        <v>159</v>
      </c>
      <c r="E448" s="53">
        <v>6</v>
      </c>
      <c r="F448" s="45" t="s">
        <v>2411</v>
      </c>
      <c r="G448" s="45" t="s">
        <v>175</v>
      </c>
    </row>
    <row r="449" spans="1:7" ht="13.5" customHeight="1" x14ac:dyDescent="0.35">
      <c r="A449" s="47">
        <v>43921</v>
      </c>
      <c r="B449" s="45" t="s">
        <v>1854</v>
      </c>
      <c r="C449" s="426" t="s">
        <v>28</v>
      </c>
      <c r="D449" s="45" t="s">
        <v>2442</v>
      </c>
      <c r="E449" s="53">
        <v>5</v>
      </c>
      <c r="F449" s="45" t="s">
        <v>2411</v>
      </c>
      <c r="G449" s="45" t="s">
        <v>175</v>
      </c>
    </row>
    <row r="450" spans="1:7" ht="13.5" customHeight="1" x14ac:dyDescent="0.35">
      <c r="A450" s="47">
        <v>43921</v>
      </c>
      <c r="B450" s="45" t="s">
        <v>1854</v>
      </c>
      <c r="C450" s="426" t="s">
        <v>28</v>
      </c>
      <c r="D450" s="45" t="s">
        <v>2442</v>
      </c>
      <c r="E450" s="53">
        <v>10</v>
      </c>
      <c r="F450" s="45" t="s">
        <v>2411</v>
      </c>
      <c r="G450" s="45" t="s">
        <v>175</v>
      </c>
    </row>
    <row r="451" spans="1:7" ht="13.5" customHeight="1" x14ac:dyDescent="0.35">
      <c r="A451" s="47">
        <v>43921</v>
      </c>
      <c r="B451" s="45" t="s">
        <v>2205</v>
      </c>
      <c r="C451" s="426" t="s">
        <v>1276</v>
      </c>
      <c r="D451" s="45" t="s">
        <v>162</v>
      </c>
      <c r="E451" s="53">
        <v>500</v>
      </c>
      <c r="F451" s="45" t="s">
        <v>1078</v>
      </c>
      <c r="G451" s="45" t="s">
        <v>175</v>
      </c>
    </row>
    <row r="452" spans="1:7" ht="13.5" customHeight="1" x14ac:dyDescent="0.35">
      <c r="A452" s="47">
        <v>43920</v>
      </c>
      <c r="B452" s="45" t="s">
        <v>2443</v>
      </c>
      <c r="C452" s="426" t="s">
        <v>28</v>
      </c>
      <c r="D452" s="45" t="s">
        <v>2442</v>
      </c>
      <c r="E452" s="53">
        <v>5</v>
      </c>
      <c r="F452" s="45" t="s">
        <v>2411</v>
      </c>
      <c r="G452" s="45" t="s">
        <v>175</v>
      </c>
    </row>
    <row r="453" spans="1:7" ht="13.5" customHeight="1" x14ac:dyDescent="0.35">
      <c r="A453" s="47">
        <v>43920</v>
      </c>
      <c r="B453" s="45" t="s">
        <v>2401</v>
      </c>
      <c r="C453" s="426" t="s">
        <v>28</v>
      </c>
      <c r="D453" s="45" t="s">
        <v>2442</v>
      </c>
      <c r="E453" s="53">
        <v>5</v>
      </c>
      <c r="F453" s="45" t="s">
        <v>2411</v>
      </c>
      <c r="G453" s="45" t="s">
        <v>175</v>
      </c>
    </row>
    <row r="454" spans="1:7" ht="13.5" customHeight="1" x14ac:dyDescent="0.35">
      <c r="A454" s="47">
        <v>43920</v>
      </c>
      <c r="B454" s="45" t="s">
        <v>2401</v>
      </c>
      <c r="C454" s="426" t="s">
        <v>28</v>
      </c>
      <c r="D454" s="45" t="s">
        <v>2442</v>
      </c>
      <c r="E454" s="53">
        <v>10</v>
      </c>
      <c r="F454" s="45" t="s">
        <v>2411</v>
      </c>
      <c r="G454" s="45" t="s">
        <v>175</v>
      </c>
    </row>
    <row r="455" spans="1:7" ht="13.5" customHeight="1" x14ac:dyDescent="0.35">
      <c r="A455" s="47">
        <v>43920</v>
      </c>
      <c r="B455" s="45" t="s">
        <v>2399</v>
      </c>
      <c r="C455" s="426" t="s">
        <v>28</v>
      </c>
      <c r="D455" s="45" t="s">
        <v>2442</v>
      </c>
      <c r="E455" s="53">
        <v>5</v>
      </c>
      <c r="F455" s="45" t="s">
        <v>2411</v>
      </c>
      <c r="G455" s="45" t="s">
        <v>175</v>
      </c>
    </row>
    <row r="456" spans="1:7" ht="13.5" customHeight="1" x14ac:dyDescent="0.35">
      <c r="A456" s="47">
        <v>43920</v>
      </c>
      <c r="B456" s="45" t="s">
        <v>2399</v>
      </c>
      <c r="C456" s="426" t="s">
        <v>28</v>
      </c>
      <c r="D456" s="45" t="s">
        <v>2442</v>
      </c>
      <c r="E456" s="53">
        <v>10</v>
      </c>
      <c r="F456" s="45" t="s">
        <v>2411</v>
      </c>
      <c r="G456" s="45" t="s">
        <v>175</v>
      </c>
    </row>
    <row r="457" spans="1:7" ht="13.5" customHeight="1" x14ac:dyDescent="0.35">
      <c r="A457" s="47">
        <v>43920</v>
      </c>
      <c r="B457" s="45" t="s">
        <v>2228</v>
      </c>
      <c r="C457" s="426" t="s">
        <v>28</v>
      </c>
      <c r="D457" s="45" t="s">
        <v>159</v>
      </c>
      <c r="E457" s="53">
        <v>5</v>
      </c>
      <c r="F457" s="45" t="s">
        <v>2411</v>
      </c>
      <c r="G457" s="45" t="s">
        <v>175</v>
      </c>
    </row>
    <row r="458" spans="1:7" ht="13.5" customHeight="1" x14ac:dyDescent="0.35">
      <c r="A458" s="47">
        <v>43920</v>
      </c>
      <c r="B458" s="45" t="s">
        <v>2235</v>
      </c>
      <c r="C458" s="426" t="s">
        <v>28</v>
      </c>
      <c r="D458" s="45" t="s">
        <v>2442</v>
      </c>
      <c r="E458" s="53">
        <v>5</v>
      </c>
      <c r="F458" s="45" t="s">
        <v>2411</v>
      </c>
      <c r="G458" s="45" t="s">
        <v>175</v>
      </c>
    </row>
    <row r="459" spans="1:7" ht="13.5" customHeight="1" x14ac:dyDescent="0.35">
      <c r="A459" s="47">
        <v>43920</v>
      </c>
      <c r="B459" s="45" t="s">
        <v>2235</v>
      </c>
      <c r="C459" s="426" t="s">
        <v>28</v>
      </c>
      <c r="D459" s="45" t="s">
        <v>2442</v>
      </c>
      <c r="E459" s="53">
        <v>10</v>
      </c>
      <c r="F459" s="45" t="s">
        <v>2411</v>
      </c>
      <c r="G459" s="45" t="s">
        <v>175</v>
      </c>
    </row>
    <row r="460" spans="1:7" ht="13.5" customHeight="1" x14ac:dyDescent="0.35">
      <c r="A460" s="47">
        <v>43919</v>
      </c>
      <c r="B460" s="45" t="s">
        <v>2444</v>
      </c>
      <c r="C460" s="426" t="s">
        <v>1278</v>
      </c>
      <c r="D460" s="45" t="s">
        <v>159</v>
      </c>
      <c r="E460" s="53">
        <v>20</v>
      </c>
      <c r="F460" s="45" t="s">
        <v>293</v>
      </c>
      <c r="G460" s="45" t="s">
        <v>175</v>
      </c>
    </row>
    <row r="461" spans="1:7" ht="13.5" customHeight="1" x14ac:dyDescent="0.35">
      <c r="A461" s="47">
        <v>43919</v>
      </c>
      <c r="B461" s="45" t="s">
        <v>2231</v>
      </c>
      <c r="C461" s="426" t="s">
        <v>1280</v>
      </c>
      <c r="D461" s="45" t="s">
        <v>159</v>
      </c>
      <c r="E461" s="53">
        <v>50</v>
      </c>
      <c r="F461" s="45" t="s">
        <v>734</v>
      </c>
      <c r="G461" s="45" t="s">
        <v>175</v>
      </c>
    </row>
    <row r="462" spans="1:7" ht="13.5" customHeight="1" x14ac:dyDescent="0.35">
      <c r="A462" s="47">
        <v>43918</v>
      </c>
      <c r="B462" s="45" t="s">
        <v>1854</v>
      </c>
      <c r="C462" s="426" t="s">
        <v>1280</v>
      </c>
      <c r="D462" s="45" t="s">
        <v>2442</v>
      </c>
      <c r="E462" s="53">
        <v>100</v>
      </c>
      <c r="F462" s="45" t="s">
        <v>734</v>
      </c>
      <c r="G462" s="45" t="s">
        <v>175</v>
      </c>
    </row>
    <row r="463" spans="1:7" ht="13.5" customHeight="1" x14ac:dyDescent="0.35">
      <c r="A463" s="47">
        <v>43918</v>
      </c>
      <c r="B463" s="45" t="s">
        <v>2433</v>
      </c>
      <c r="C463" s="426" t="s">
        <v>1280</v>
      </c>
      <c r="D463" s="45" t="s">
        <v>159</v>
      </c>
      <c r="E463" s="53">
        <v>200</v>
      </c>
      <c r="F463" s="45" t="s">
        <v>734</v>
      </c>
      <c r="G463" s="45" t="s">
        <v>175</v>
      </c>
    </row>
    <row r="464" spans="1:7" ht="13.5" customHeight="1" x14ac:dyDescent="0.35">
      <c r="A464" s="47">
        <v>43918</v>
      </c>
      <c r="B464" s="45" t="s">
        <v>968</v>
      </c>
      <c r="C464" s="426" t="s">
        <v>1278</v>
      </c>
      <c r="D464" s="45" t="s">
        <v>159</v>
      </c>
      <c r="E464" s="53">
        <v>20</v>
      </c>
      <c r="F464" s="45" t="s">
        <v>293</v>
      </c>
      <c r="G464" s="45" t="s">
        <v>175</v>
      </c>
    </row>
    <row r="465" spans="1:7" ht="13.5" customHeight="1" x14ac:dyDescent="0.35">
      <c r="A465" s="47">
        <v>43918</v>
      </c>
      <c r="B465" s="45" t="s">
        <v>2445</v>
      </c>
      <c r="C465" s="426" t="s">
        <v>1280</v>
      </c>
      <c r="D465" s="45" t="s">
        <v>159</v>
      </c>
      <c r="E465" s="53">
        <v>100</v>
      </c>
      <c r="F465" s="45" t="s">
        <v>734</v>
      </c>
      <c r="G465" s="45" t="s">
        <v>175</v>
      </c>
    </row>
    <row r="466" spans="1:7" ht="13.5" customHeight="1" x14ac:dyDescent="0.35">
      <c r="A466" s="47">
        <v>43915</v>
      </c>
      <c r="B466" s="45" t="s">
        <v>2424</v>
      </c>
      <c r="C466" s="426" t="s">
        <v>1280</v>
      </c>
      <c r="D466" s="45" t="s">
        <v>159</v>
      </c>
      <c r="E466" s="53">
        <v>30</v>
      </c>
      <c r="F466" s="45" t="s">
        <v>734</v>
      </c>
      <c r="G466" s="45" t="s">
        <v>175</v>
      </c>
    </row>
    <row r="467" spans="1:7" ht="13.5" customHeight="1" x14ac:dyDescent="0.35">
      <c r="A467" s="47">
        <v>43913</v>
      </c>
      <c r="B467" s="45" t="s">
        <v>2205</v>
      </c>
      <c r="C467" s="426" t="s">
        <v>1276</v>
      </c>
      <c r="D467" s="45" t="s">
        <v>162</v>
      </c>
      <c r="E467" s="53">
        <v>500</v>
      </c>
      <c r="F467" s="45" t="s">
        <v>1078</v>
      </c>
      <c r="G467" s="45" t="s">
        <v>175</v>
      </c>
    </row>
    <row r="468" spans="1:7" ht="13.5" customHeight="1" x14ac:dyDescent="0.35">
      <c r="A468" s="47">
        <v>43913</v>
      </c>
      <c r="B468" s="45" t="s">
        <v>2446</v>
      </c>
      <c r="C468" s="426" t="s">
        <v>1274</v>
      </c>
      <c r="D468" s="45" t="s">
        <v>2442</v>
      </c>
      <c r="E468" s="53">
        <v>10</v>
      </c>
      <c r="F468" s="45" t="s">
        <v>324</v>
      </c>
      <c r="G468" s="45" t="s">
        <v>175</v>
      </c>
    </row>
    <row r="469" spans="1:7" ht="13.5" customHeight="1" x14ac:dyDescent="0.35">
      <c r="A469" s="47">
        <v>43913</v>
      </c>
      <c r="B469" s="45" t="s">
        <v>2401</v>
      </c>
      <c r="C469" s="426" t="s">
        <v>1276</v>
      </c>
      <c r="D469" s="45" t="s">
        <v>162</v>
      </c>
      <c r="E469" s="53">
        <v>187.5</v>
      </c>
      <c r="F469" s="45" t="s">
        <v>1078</v>
      </c>
      <c r="G469" s="45" t="s">
        <v>175</v>
      </c>
    </row>
    <row r="470" spans="1:7" ht="13.5" customHeight="1" x14ac:dyDescent="0.35">
      <c r="A470" s="47">
        <v>43912</v>
      </c>
      <c r="B470" s="45" t="s">
        <v>2228</v>
      </c>
      <c r="C470" s="426" t="s">
        <v>1279</v>
      </c>
      <c r="D470" s="45" t="s">
        <v>159</v>
      </c>
      <c r="E470" s="53">
        <v>50</v>
      </c>
      <c r="F470" s="45" t="s">
        <v>2447</v>
      </c>
      <c r="G470" s="45" t="s">
        <v>175</v>
      </c>
    </row>
    <row r="471" spans="1:7" ht="13.5" customHeight="1" x14ac:dyDescent="0.35">
      <c r="A471" s="47">
        <v>43909</v>
      </c>
      <c r="B471" s="45" t="s">
        <v>968</v>
      </c>
      <c r="C471" s="426" t="s">
        <v>1274</v>
      </c>
      <c r="D471" s="45" t="s">
        <v>159</v>
      </c>
      <c r="E471" s="53">
        <v>10</v>
      </c>
      <c r="F471" s="45" t="s">
        <v>324</v>
      </c>
      <c r="G471" s="45" t="s">
        <v>175</v>
      </c>
    </row>
    <row r="472" spans="1:7" ht="13.5" customHeight="1" x14ac:dyDescent="0.35">
      <c r="A472" s="47">
        <v>43910</v>
      </c>
      <c r="B472" s="45" t="s">
        <v>2235</v>
      </c>
      <c r="C472" s="426" t="s">
        <v>1276</v>
      </c>
      <c r="D472" s="45" t="s">
        <v>162</v>
      </c>
      <c r="E472" s="53">
        <v>1000</v>
      </c>
      <c r="F472" s="45" t="s">
        <v>1078</v>
      </c>
      <c r="G472" s="45" t="s">
        <v>175</v>
      </c>
    </row>
    <row r="473" spans="1:7" ht="13.5" customHeight="1" x14ac:dyDescent="0.35">
      <c r="A473" s="47">
        <v>43901</v>
      </c>
      <c r="B473" s="45" t="s">
        <v>2448</v>
      </c>
      <c r="C473" s="426" t="s">
        <v>28</v>
      </c>
      <c r="D473" s="45" t="s">
        <v>2442</v>
      </c>
      <c r="E473" s="53">
        <v>30</v>
      </c>
      <c r="F473" s="45" t="s">
        <v>1236</v>
      </c>
      <c r="G473" s="45" t="s">
        <v>174</v>
      </c>
    </row>
    <row r="474" spans="1:7" ht="13.5" customHeight="1" x14ac:dyDescent="0.35">
      <c r="A474" s="47">
        <v>43901</v>
      </c>
      <c r="B474" s="45" t="s">
        <v>2449</v>
      </c>
      <c r="C474" s="426" t="s">
        <v>28</v>
      </c>
      <c r="D474" s="45" t="s">
        <v>159</v>
      </c>
      <c r="E474" s="53">
        <v>60</v>
      </c>
      <c r="F474" s="45" t="s">
        <v>1236</v>
      </c>
      <c r="G474" s="45" t="s">
        <v>174</v>
      </c>
    </row>
    <row r="475" spans="1:7" ht="13.5" customHeight="1" x14ac:dyDescent="0.35">
      <c r="A475" s="47">
        <v>43902</v>
      </c>
      <c r="B475" s="45" t="s">
        <v>2450</v>
      </c>
      <c r="C475" s="426" t="s">
        <v>1284</v>
      </c>
      <c r="D475" s="45" t="s">
        <v>159</v>
      </c>
      <c r="E475" s="53">
        <v>2.7</v>
      </c>
      <c r="F475" s="45" t="s">
        <v>1254</v>
      </c>
      <c r="G475" s="45" t="s">
        <v>174</v>
      </c>
    </row>
    <row r="476" spans="1:7" ht="13.5" customHeight="1" x14ac:dyDescent="0.35">
      <c r="A476" s="47">
        <v>43903</v>
      </c>
      <c r="B476" s="45" t="s">
        <v>2451</v>
      </c>
      <c r="C476" s="426" t="s">
        <v>1274</v>
      </c>
      <c r="D476" s="45" t="s">
        <v>159</v>
      </c>
      <c r="E476" s="53">
        <v>99</v>
      </c>
      <c r="F476" s="45" t="s">
        <v>230</v>
      </c>
      <c r="G476" s="45" t="s">
        <v>179</v>
      </c>
    </row>
    <row r="477" spans="1:7" ht="13.5" customHeight="1" x14ac:dyDescent="0.35">
      <c r="A477" s="47">
        <v>43899</v>
      </c>
      <c r="B477" s="45" t="s">
        <v>2452</v>
      </c>
      <c r="C477" s="426" t="s">
        <v>28</v>
      </c>
      <c r="D477" s="45" t="s">
        <v>2442</v>
      </c>
      <c r="E477" s="53">
        <v>30</v>
      </c>
      <c r="F477" s="45" t="s">
        <v>1236</v>
      </c>
      <c r="G477" s="45" t="s">
        <v>174</v>
      </c>
    </row>
    <row r="478" spans="1:7" ht="13.5" customHeight="1" x14ac:dyDescent="0.35">
      <c r="A478" s="47">
        <v>43901</v>
      </c>
      <c r="B478" s="45" t="s">
        <v>2392</v>
      </c>
      <c r="C478" s="426" t="s">
        <v>1274</v>
      </c>
      <c r="D478" s="45" t="s">
        <v>165</v>
      </c>
      <c r="E478" s="53">
        <v>60</v>
      </c>
      <c r="F478" s="45" t="s">
        <v>472</v>
      </c>
      <c r="G478" s="45" t="s">
        <v>174</v>
      </c>
    </row>
    <row r="479" spans="1:7" ht="13.5" customHeight="1" x14ac:dyDescent="0.35">
      <c r="A479" s="47">
        <v>43901</v>
      </c>
      <c r="B479" s="45" t="s">
        <v>2392</v>
      </c>
      <c r="C479" s="426" t="s">
        <v>1281</v>
      </c>
      <c r="D479" s="45" t="s">
        <v>165</v>
      </c>
      <c r="E479" s="53">
        <v>-60</v>
      </c>
      <c r="F479" s="45" t="s">
        <v>472</v>
      </c>
      <c r="G479" s="45" t="s">
        <v>174</v>
      </c>
    </row>
    <row r="480" spans="1:7" ht="13.5" customHeight="1" x14ac:dyDescent="0.35">
      <c r="A480" s="47">
        <v>43901</v>
      </c>
      <c r="B480" s="45" t="s">
        <v>2392</v>
      </c>
      <c r="C480" s="426" t="s">
        <v>1274</v>
      </c>
      <c r="D480" s="45" t="s">
        <v>165</v>
      </c>
      <c r="E480" s="53">
        <v>75</v>
      </c>
      <c r="F480" s="45" t="s">
        <v>2186</v>
      </c>
      <c r="G480" s="45" t="s">
        <v>174</v>
      </c>
    </row>
    <row r="481" spans="1:7" ht="13.5" customHeight="1" x14ac:dyDescent="0.35">
      <c r="A481" s="47">
        <v>43901</v>
      </c>
      <c r="B481" s="45" t="s">
        <v>2392</v>
      </c>
      <c r="C481" s="426" t="s">
        <v>1281</v>
      </c>
      <c r="D481" s="45" t="s">
        <v>165</v>
      </c>
      <c r="E481" s="53">
        <v>-75</v>
      </c>
      <c r="F481" s="45" t="s">
        <v>2186</v>
      </c>
      <c r="G481" s="45" t="s">
        <v>174</v>
      </c>
    </row>
    <row r="482" spans="1:7" ht="13.5" customHeight="1" x14ac:dyDescent="0.35">
      <c r="A482" s="47">
        <v>43900</v>
      </c>
      <c r="B482" s="45" t="s">
        <v>986</v>
      </c>
      <c r="C482" s="426" t="s">
        <v>1274</v>
      </c>
      <c r="D482" s="45" t="s">
        <v>159</v>
      </c>
      <c r="E482" s="53">
        <v>99</v>
      </c>
      <c r="F482" s="45" t="s">
        <v>230</v>
      </c>
      <c r="G482" s="45" t="s">
        <v>175</v>
      </c>
    </row>
    <row r="483" spans="1:7" ht="13.5" customHeight="1" x14ac:dyDescent="0.35">
      <c r="A483" s="47">
        <v>43899</v>
      </c>
      <c r="B483" s="45" t="s">
        <v>2453</v>
      </c>
      <c r="C483" s="426" t="s">
        <v>1274</v>
      </c>
      <c r="D483" s="45" t="s">
        <v>2442</v>
      </c>
      <c r="E483" s="53">
        <v>198</v>
      </c>
      <c r="F483" s="45" t="s">
        <v>235</v>
      </c>
      <c r="G483" s="45" t="s">
        <v>174</v>
      </c>
    </row>
    <row r="484" spans="1:7" ht="13.5" customHeight="1" x14ac:dyDescent="0.35">
      <c r="A484" s="47">
        <v>43896</v>
      </c>
      <c r="B484" s="45" t="s">
        <v>1961</v>
      </c>
      <c r="C484" s="426" t="s">
        <v>28</v>
      </c>
      <c r="D484" s="45" t="s">
        <v>162</v>
      </c>
      <c r="E484" s="53">
        <v>200</v>
      </c>
      <c r="F484" s="45" t="s">
        <v>1267</v>
      </c>
      <c r="G484" s="45" t="s">
        <v>1311</v>
      </c>
    </row>
    <row r="485" spans="1:7" ht="13.5" customHeight="1" x14ac:dyDescent="0.35">
      <c r="A485" s="47">
        <v>43895</v>
      </c>
      <c r="B485" s="45" t="s">
        <v>2454</v>
      </c>
      <c r="C485" s="426" t="s">
        <v>1282</v>
      </c>
      <c r="D485" s="45" t="s">
        <v>162</v>
      </c>
      <c r="E485" s="53">
        <v>126.02</v>
      </c>
      <c r="F485" s="45" t="s">
        <v>2455</v>
      </c>
      <c r="G485" s="45" t="s">
        <v>175</v>
      </c>
    </row>
    <row r="486" spans="1:7" ht="13.5" customHeight="1" x14ac:dyDescent="0.35">
      <c r="A486" s="47">
        <v>43895</v>
      </c>
      <c r="B486" s="45" t="s">
        <v>89</v>
      </c>
      <c r="C486" s="426" t="s">
        <v>1282</v>
      </c>
      <c r="D486" s="45" t="s">
        <v>2442</v>
      </c>
      <c r="E486" s="53">
        <f>64.06/1.3</f>
        <v>49.276923076923076</v>
      </c>
      <c r="F486" s="45" t="s">
        <v>1026</v>
      </c>
      <c r="G486" s="45" t="s">
        <v>175</v>
      </c>
    </row>
    <row r="487" spans="1:7" ht="13.5" customHeight="1" x14ac:dyDescent="0.35">
      <c r="A487" s="47">
        <v>43893</v>
      </c>
      <c r="B487" s="45" t="s">
        <v>2456</v>
      </c>
      <c r="C487" s="426" t="s">
        <v>1280</v>
      </c>
      <c r="D487" s="45" t="s">
        <v>2442</v>
      </c>
      <c r="E487" s="53">
        <v>150</v>
      </c>
      <c r="F487" s="45" t="s">
        <v>734</v>
      </c>
      <c r="G487" s="45" t="s">
        <v>174</v>
      </c>
    </row>
    <row r="488" spans="1:7" ht="13.5" customHeight="1" x14ac:dyDescent="0.35">
      <c r="A488" s="47">
        <v>43893</v>
      </c>
      <c r="B488" s="45" t="s">
        <v>2457</v>
      </c>
      <c r="C488" s="426" t="s">
        <v>28</v>
      </c>
      <c r="D488" s="45" t="s">
        <v>159</v>
      </c>
      <c r="E488" s="53">
        <v>250</v>
      </c>
      <c r="F488" s="45" t="s">
        <v>1071</v>
      </c>
      <c r="G488" s="45" t="s">
        <v>174</v>
      </c>
    </row>
    <row r="489" spans="1:7" ht="13.5" customHeight="1" x14ac:dyDescent="0.35">
      <c r="A489" s="47">
        <v>43892</v>
      </c>
      <c r="B489" s="45" t="s">
        <v>2458</v>
      </c>
      <c r="C489" s="426" t="s">
        <v>1280</v>
      </c>
      <c r="D489" s="45" t="s">
        <v>159</v>
      </c>
      <c r="E489" s="567">
        <v>25</v>
      </c>
      <c r="F489" s="45" t="s">
        <v>734</v>
      </c>
      <c r="G489" s="45" t="s">
        <v>174</v>
      </c>
    </row>
    <row r="490" spans="1:7" ht="13.5" customHeight="1" x14ac:dyDescent="0.35">
      <c r="A490" s="47">
        <v>43891</v>
      </c>
      <c r="B490" s="45" t="s">
        <v>2440</v>
      </c>
      <c r="C490" s="426" t="s">
        <v>1276</v>
      </c>
      <c r="D490" s="45" t="s">
        <v>161</v>
      </c>
      <c r="E490" s="53">
        <v>571.25</v>
      </c>
      <c r="F490" s="45" t="s">
        <v>1078</v>
      </c>
      <c r="G490" s="45" t="s">
        <v>175</v>
      </c>
    </row>
    <row r="491" spans="1:7" ht="13.5" customHeight="1" x14ac:dyDescent="0.35">
      <c r="A491" s="47">
        <v>43891</v>
      </c>
      <c r="B491" s="45" t="s">
        <v>2441</v>
      </c>
      <c r="C491" s="426" t="s">
        <v>1278</v>
      </c>
      <c r="D491" s="426" t="s">
        <v>161</v>
      </c>
      <c r="E491" s="567">
        <v>40</v>
      </c>
      <c r="F491" s="426" t="s">
        <v>292</v>
      </c>
      <c r="G491" s="426" t="s">
        <v>175</v>
      </c>
    </row>
    <row r="492" spans="1:7" ht="13.5" customHeight="1" x14ac:dyDescent="0.35">
      <c r="A492" s="47"/>
      <c r="B492" s="45"/>
      <c r="D492" s="45"/>
      <c r="E492" s="53"/>
      <c r="F492" s="45"/>
      <c r="G492" s="45"/>
    </row>
    <row r="493" spans="1:7" ht="13.5" customHeight="1" x14ac:dyDescent="0.35">
      <c r="A493" s="47">
        <v>43889</v>
      </c>
      <c r="B493" s="45" t="s">
        <v>2359</v>
      </c>
      <c r="C493" s="426" t="s">
        <v>28</v>
      </c>
      <c r="D493" s="45" t="s">
        <v>160</v>
      </c>
      <c r="E493" s="53">
        <v>250</v>
      </c>
      <c r="F493" s="45" t="s">
        <v>1025</v>
      </c>
      <c r="G493" s="45" t="s">
        <v>174</v>
      </c>
    </row>
    <row r="494" spans="1:7" ht="13.5" customHeight="1" x14ac:dyDescent="0.35">
      <c r="A494" s="47">
        <v>43887</v>
      </c>
      <c r="B494" s="45" t="s">
        <v>2459</v>
      </c>
      <c r="C494" s="426" t="s">
        <v>1279</v>
      </c>
      <c r="D494" s="45" t="s">
        <v>160</v>
      </c>
      <c r="E494" s="53">
        <v>65</v>
      </c>
      <c r="F494" s="48" t="s">
        <v>941</v>
      </c>
      <c r="G494" s="45" t="s">
        <v>174</v>
      </c>
    </row>
    <row r="495" spans="1:7" ht="13.5" customHeight="1" x14ac:dyDescent="0.35">
      <c r="A495" s="47">
        <v>43886</v>
      </c>
      <c r="B495" s="45" t="s">
        <v>2460</v>
      </c>
      <c r="C495" s="426" t="s">
        <v>1284</v>
      </c>
      <c r="D495" s="45" t="s">
        <v>160</v>
      </c>
      <c r="E495" s="53">
        <v>25</v>
      </c>
      <c r="F495" s="45" t="s">
        <v>753</v>
      </c>
      <c r="G495" s="45" t="s">
        <v>175</v>
      </c>
    </row>
    <row r="496" spans="1:7" ht="13.5" customHeight="1" x14ac:dyDescent="0.35">
      <c r="A496" s="47">
        <v>43886</v>
      </c>
      <c r="B496" s="45" t="s">
        <v>2461</v>
      </c>
      <c r="C496" s="426" t="s">
        <v>1274</v>
      </c>
      <c r="D496" s="45" t="s">
        <v>159</v>
      </c>
      <c r="E496" s="53">
        <v>10</v>
      </c>
      <c r="F496" s="45" t="s">
        <v>324</v>
      </c>
      <c r="G496" s="45" t="s">
        <v>175</v>
      </c>
    </row>
    <row r="497" spans="1:7" ht="13.5" customHeight="1" x14ac:dyDescent="0.35">
      <c r="A497" s="47">
        <v>43885</v>
      </c>
      <c r="B497" s="45" t="s">
        <v>2340</v>
      </c>
      <c r="C497" s="426" t="s">
        <v>1274</v>
      </c>
      <c r="D497" s="45" t="s">
        <v>159</v>
      </c>
      <c r="E497" s="53">
        <v>10</v>
      </c>
      <c r="F497" s="45" t="s">
        <v>324</v>
      </c>
      <c r="G497" s="45" t="s">
        <v>174</v>
      </c>
    </row>
    <row r="498" spans="1:7" ht="13.5" customHeight="1" x14ac:dyDescent="0.35">
      <c r="A498" s="47">
        <v>43884</v>
      </c>
      <c r="B498" s="45" t="s">
        <v>2462</v>
      </c>
      <c r="C498" s="426" t="s">
        <v>1274</v>
      </c>
      <c r="D498" s="45" t="s">
        <v>160</v>
      </c>
      <c r="E498" s="53">
        <v>20</v>
      </c>
      <c r="F498" s="45" t="s">
        <v>2140</v>
      </c>
      <c r="G498" s="45" t="s">
        <v>174</v>
      </c>
    </row>
    <row r="499" spans="1:7" ht="13.5" customHeight="1" x14ac:dyDescent="0.35">
      <c r="A499" s="47">
        <v>43884</v>
      </c>
      <c r="B499" s="45" t="s">
        <v>2462</v>
      </c>
      <c r="C499" s="426" t="s">
        <v>1274</v>
      </c>
      <c r="D499" s="45" t="s">
        <v>165</v>
      </c>
      <c r="E499" s="53">
        <v>475</v>
      </c>
      <c r="F499" s="45" t="s">
        <v>2140</v>
      </c>
      <c r="G499" s="45" t="s">
        <v>174</v>
      </c>
    </row>
    <row r="500" spans="1:7" ht="13.5" customHeight="1" x14ac:dyDescent="0.35">
      <c r="A500" s="47">
        <v>43884</v>
      </c>
      <c r="B500" s="45" t="s">
        <v>2462</v>
      </c>
      <c r="C500" s="426" t="s">
        <v>1281</v>
      </c>
      <c r="D500" s="45" t="s">
        <v>165</v>
      </c>
      <c r="E500" s="53">
        <v>-475</v>
      </c>
      <c r="F500" s="45" t="s">
        <v>2140</v>
      </c>
      <c r="G500" s="45" t="s">
        <v>174</v>
      </c>
    </row>
    <row r="501" spans="1:7" ht="13.5" customHeight="1" x14ac:dyDescent="0.35">
      <c r="A501" s="47">
        <v>43884</v>
      </c>
      <c r="B501" s="45" t="s">
        <v>967</v>
      </c>
      <c r="C501" s="426" t="s">
        <v>1279</v>
      </c>
      <c r="D501" s="45" t="s">
        <v>159</v>
      </c>
      <c r="E501" s="53">
        <v>360</v>
      </c>
      <c r="F501" s="45" t="s">
        <v>2463</v>
      </c>
      <c r="G501" s="45" t="s">
        <v>175</v>
      </c>
    </row>
    <row r="502" spans="1:7" ht="13.5" customHeight="1" x14ac:dyDescent="0.35">
      <c r="A502" s="47">
        <v>43884</v>
      </c>
      <c r="B502" s="45" t="s">
        <v>967</v>
      </c>
      <c r="C502" s="426" t="s">
        <v>1274</v>
      </c>
      <c r="D502" s="45" t="s">
        <v>159</v>
      </c>
      <c r="E502" s="53">
        <v>60</v>
      </c>
      <c r="F502" s="45" t="s">
        <v>2464</v>
      </c>
      <c r="G502" s="45" t="s">
        <v>175</v>
      </c>
    </row>
    <row r="503" spans="1:7" ht="13.5" customHeight="1" x14ac:dyDescent="0.35">
      <c r="A503" s="47">
        <v>43882</v>
      </c>
      <c r="B503" s="45" t="s">
        <v>2465</v>
      </c>
      <c r="C503" s="426" t="s">
        <v>1274</v>
      </c>
      <c r="D503" s="45" t="s">
        <v>159</v>
      </c>
      <c r="E503" s="53">
        <v>99</v>
      </c>
      <c r="F503" s="45" t="s">
        <v>230</v>
      </c>
      <c r="G503" s="45" t="s">
        <v>179</v>
      </c>
    </row>
    <row r="504" spans="1:7" ht="13.5" customHeight="1" x14ac:dyDescent="0.35">
      <c r="A504" s="47">
        <v>43880</v>
      </c>
      <c r="B504" s="45" t="s">
        <v>2290</v>
      </c>
      <c r="C504" s="426" t="s">
        <v>28</v>
      </c>
      <c r="D504" s="45" t="s">
        <v>162</v>
      </c>
      <c r="E504" s="53">
        <v>150</v>
      </c>
      <c r="F504" s="45" t="s">
        <v>1180</v>
      </c>
      <c r="G504" s="45" t="s">
        <v>1311</v>
      </c>
    </row>
    <row r="505" spans="1:7" ht="13.5" customHeight="1" x14ac:dyDescent="0.35">
      <c r="A505" s="47">
        <v>43878</v>
      </c>
      <c r="B505" s="45" t="s">
        <v>2378</v>
      </c>
      <c r="C505" s="426" t="s">
        <v>28</v>
      </c>
      <c r="D505" s="45" t="s">
        <v>160</v>
      </c>
      <c r="E505" s="53">
        <v>230</v>
      </c>
      <c r="F505" s="45" t="s">
        <v>1489</v>
      </c>
      <c r="G505" s="45" t="s">
        <v>174</v>
      </c>
    </row>
    <row r="506" spans="1:7" ht="13.5" customHeight="1" x14ac:dyDescent="0.35">
      <c r="A506" s="47">
        <v>43878</v>
      </c>
      <c r="B506" s="45" t="s">
        <v>2466</v>
      </c>
      <c r="C506" s="426" t="s">
        <v>1279</v>
      </c>
      <c r="D506" s="45" t="s">
        <v>160</v>
      </c>
      <c r="E506" s="53">
        <v>360</v>
      </c>
      <c r="F506" s="45" t="s">
        <v>2463</v>
      </c>
      <c r="G506" s="45" t="s">
        <v>174</v>
      </c>
    </row>
    <row r="507" spans="1:7" ht="13.5" customHeight="1" x14ac:dyDescent="0.35">
      <c r="A507" s="47">
        <v>43875</v>
      </c>
      <c r="B507" s="45" t="s">
        <v>2467</v>
      </c>
      <c r="C507" s="426" t="s">
        <v>28</v>
      </c>
      <c r="D507" s="45" t="s">
        <v>160</v>
      </c>
      <c r="E507" s="53">
        <v>200</v>
      </c>
      <c r="F507" s="45" t="s">
        <v>291</v>
      </c>
      <c r="G507" s="45" t="s">
        <v>175</v>
      </c>
    </row>
    <row r="508" spans="1:7" ht="13.5" customHeight="1" x14ac:dyDescent="0.35">
      <c r="A508" s="47">
        <v>43874</v>
      </c>
      <c r="B508" s="45" t="s">
        <v>2468</v>
      </c>
      <c r="C508" s="426" t="s">
        <v>1274</v>
      </c>
      <c r="D508" s="45" t="s">
        <v>160</v>
      </c>
      <c r="E508" s="53">
        <v>99</v>
      </c>
      <c r="F508" s="45" t="s">
        <v>230</v>
      </c>
      <c r="G508" s="45" t="s">
        <v>179</v>
      </c>
    </row>
    <row r="509" spans="1:7" ht="13.5" customHeight="1" x14ac:dyDescent="0.35">
      <c r="A509" s="47">
        <v>43874</v>
      </c>
      <c r="B509" s="45" t="s">
        <v>2469</v>
      </c>
      <c r="C509" s="426" t="s">
        <v>1274</v>
      </c>
      <c r="D509" s="45" t="s">
        <v>160</v>
      </c>
      <c r="E509" s="53">
        <v>99</v>
      </c>
      <c r="F509" s="45" t="s">
        <v>230</v>
      </c>
      <c r="G509" s="45" t="s">
        <v>174</v>
      </c>
    </row>
    <row r="510" spans="1:7" ht="13.5" customHeight="1" x14ac:dyDescent="0.35">
      <c r="A510" s="47">
        <v>43874</v>
      </c>
      <c r="B510" s="45" t="s">
        <v>2272</v>
      </c>
      <c r="C510" s="426" t="s">
        <v>1282</v>
      </c>
      <c r="D510" s="45" t="s">
        <v>159</v>
      </c>
      <c r="E510" s="53">
        <v>165</v>
      </c>
      <c r="F510" s="45" t="s">
        <v>2470</v>
      </c>
      <c r="G510" s="45" t="s">
        <v>174</v>
      </c>
    </row>
    <row r="511" spans="1:7" ht="13.5" customHeight="1" x14ac:dyDescent="0.35">
      <c r="A511" s="47">
        <v>43874</v>
      </c>
      <c r="B511" s="45" t="s">
        <v>2399</v>
      </c>
      <c r="C511" s="426" t="s">
        <v>1274</v>
      </c>
      <c r="D511" s="45" t="s">
        <v>159</v>
      </c>
      <c r="E511" s="53">
        <v>10</v>
      </c>
      <c r="F511" s="45" t="s">
        <v>324</v>
      </c>
      <c r="G511" s="45" t="s">
        <v>175</v>
      </c>
    </row>
    <row r="512" spans="1:7" ht="13.5" customHeight="1" x14ac:dyDescent="0.35">
      <c r="A512" s="47">
        <v>43874</v>
      </c>
      <c r="B512" s="45" t="s">
        <v>2471</v>
      </c>
      <c r="C512" s="426" t="s">
        <v>1280</v>
      </c>
      <c r="D512" s="45" t="s">
        <v>159</v>
      </c>
      <c r="E512" s="53">
        <v>475</v>
      </c>
      <c r="F512" s="45" t="s">
        <v>734</v>
      </c>
      <c r="G512" s="45" t="s">
        <v>174</v>
      </c>
    </row>
    <row r="513" spans="1:7" ht="13.5" customHeight="1" x14ac:dyDescent="0.35">
      <c r="A513" s="47">
        <v>43872</v>
      </c>
      <c r="B513" s="45" t="s">
        <v>2472</v>
      </c>
      <c r="C513" s="426" t="s">
        <v>28</v>
      </c>
      <c r="D513" s="45" t="s">
        <v>160</v>
      </c>
      <c r="E513" s="53">
        <v>30</v>
      </c>
      <c r="F513" s="45" t="s">
        <v>1236</v>
      </c>
      <c r="G513" s="45" t="s">
        <v>174</v>
      </c>
    </row>
    <row r="514" spans="1:7" ht="13.5" customHeight="1" x14ac:dyDescent="0.35">
      <c r="A514" s="47">
        <v>43872</v>
      </c>
      <c r="B514" s="45" t="s">
        <v>2473</v>
      </c>
      <c r="C514" s="426" t="s">
        <v>1274</v>
      </c>
      <c r="D514" s="45" t="s">
        <v>159</v>
      </c>
      <c r="E514" s="53">
        <v>10</v>
      </c>
      <c r="F514" s="45" t="s">
        <v>324</v>
      </c>
      <c r="G514" s="45" t="s">
        <v>174</v>
      </c>
    </row>
    <row r="515" spans="1:7" ht="13.5" customHeight="1" x14ac:dyDescent="0.35">
      <c r="A515" s="47">
        <v>43871</v>
      </c>
      <c r="B515" s="45" t="s">
        <v>1206</v>
      </c>
      <c r="C515" s="426" t="s">
        <v>1274</v>
      </c>
      <c r="D515" s="45" t="s">
        <v>159</v>
      </c>
      <c r="E515" s="53">
        <v>745</v>
      </c>
      <c r="F515" s="45" t="s">
        <v>1657</v>
      </c>
      <c r="G515" s="45" t="s">
        <v>175</v>
      </c>
    </row>
    <row r="516" spans="1:7" ht="13.5" customHeight="1" x14ac:dyDescent="0.35">
      <c r="A516" s="47">
        <v>43871</v>
      </c>
      <c r="B516" s="45" t="s">
        <v>2474</v>
      </c>
      <c r="C516" s="426" t="s">
        <v>1274</v>
      </c>
      <c r="D516" s="45" t="s">
        <v>159</v>
      </c>
      <c r="E516" s="53">
        <v>50</v>
      </c>
      <c r="F516" s="45" t="s">
        <v>2475</v>
      </c>
      <c r="G516" s="45" t="s">
        <v>174</v>
      </c>
    </row>
    <row r="517" spans="1:7" ht="13.5" customHeight="1" x14ac:dyDescent="0.35">
      <c r="A517" s="47">
        <v>43869</v>
      </c>
      <c r="B517" s="45" t="s">
        <v>2134</v>
      </c>
      <c r="C517" s="426" t="s">
        <v>1274</v>
      </c>
      <c r="D517" s="45" t="s">
        <v>159</v>
      </c>
      <c r="E517" s="53">
        <v>50</v>
      </c>
      <c r="F517" s="45" t="s">
        <v>2475</v>
      </c>
      <c r="G517" s="45" t="s">
        <v>175</v>
      </c>
    </row>
    <row r="518" spans="1:7" ht="13.5" customHeight="1" x14ac:dyDescent="0.35">
      <c r="A518" s="47">
        <v>43866</v>
      </c>
      <c r="B518" s="45" t="s">
        <v>2476</v>
      </c>
      <c r="C518" s="426" t="s">
        <v>28</v>
      </c>
      <c r="D518" s="45" t="s">
        <v>159</v>
      </c>
      <c r="E518" s="53">
        <v>230</v>
      </c>
      <c r="F518" s="45" t="s">
        <v>1489</v>
      </c>
      <c r="G518" s="45" t="s">
        <v>175</v>
      </c>
    </row>
    <row r="519" spans="1:7" ht="13.5" customHeight="1" x14ac:dyDescent="0.35">
      <c r="A519" s="47">
        <v>43866</v>
      </c>
      <c r="B519" s="45" t="s">
        <v>2477</v>
      </c>
      <c r="C519" s="426" t="s">
        <v>28</v>
      </c>
      <c r="D519" s="45" t="s">
        <v>162</v>
      </c>
      <c r="E519" s="53">
        <v>200</v>
      </c>
      <c r="F519" s="45" t="s">
        <v>1489</v>
      </c>
      <c r="G519" s="45" t="s">
        <v>175</v>
      </c>
    </row>
    <row r="520" spans="1:7" ht="13.5" customHeight="1" x14ac:dyDescent="0.35">
      <c r="A520" s="47">
        <v>43866</v>
      </c>
      <c r="B520" s="45" t="s">
        <v>2478</v>
      </c>
      <c r="C520" s="426" t="s">
        <v>1274</v>
      </c>
      <c r="D520" s="45" t="s">
        <v>159</v>
      </c>
      <c r="E520" s="53">
        <v>50</v>
      </c>
      <c r="F520" s="45" t="s">
        <v>2475</v>
      </c>
      <c r="G520" s="45" t="s">
        <v>174</v>
      </c>
    </row>
    <row r="521" spans="1:7" ht="13.5" customHeight="1" x14ac:dyDescent="0.35">
      <c r="A521" s="47">
        <v>43866</v>
      </c>
      <c r="B521" s="45" t="s">
        <v>89</v>
      </c>
      <c r="C521" s="426" t="s">
        <v>1282</v>
      </c>
      <c r="D521" s="45" t="s">
        <v>160</v>
      </c>
      <c r="E521" s="53">
        <v>86.89</v>
      </c>
      <c r="F521" s="45" t="s">
        <v>1026</v>
      </c>
      <c r="G521" s="45" t="s">
        <v>175</v>
      </c>
    </row>
    <row r="522" spans="1:7" ht="13.5" customHeight="1" x14ac:dyDescent="0.35">
      <c r="A522" s="47">
        <v>43865</v>
      </c>
      <c r="B522" s="45" t="s">
        <v>968</v>
      </c>
      <c r="C522" s="426" t="s">
        <v>1274</v>
      </c>
      <c r="D522" s="45" t="s">
        <v>159</v>
      </c>
      <c r="E522" s="53">
        <v>10</v>
      </c>
      <c r="F522" s="45" t="s">
        <v>324</v>
      </c>
      <c r="G522" s="45" t="s">
        <v>175</v>
      </c>
    </row>
    <row r="523" spans="1:7" ht="13.5" customHeight="1" x14ac:dyDescent="0.35">
      <c r="A523" s="47">
        <v>43865</v>
      </c>
      <c r="B523" s="45" t="s">
        <v>2479</v>
      </c>
      <c r="C523" s="426" t="s">
        <v>1274</v>
      </c>
      <c r="D523" s="45" t="s">
        <v>159</v>
      </c>
      <c r="E523" s="53">
        <v>99</v>
      </c>
      <c r="F523" s="45" t="s">
        <v>230</v>
      </c>
      <c r="G523" s="45" t="s">
        <v>175</v>
      </c>
    </row>
    <row r="524" spans="1:7" ht="13.5" customHeight="1" x14ac:dyDescent="0.35">
      <c r="A524" s="47">
        <v>43865</v>
      </c>
      <c r="B524" s="45" t="s">
        <v>2480</v>
      </c>
      <c r="C524" s="426" t="s">
        <v>1274</v>
      </c>
      <c r="D524" s="45" t="s">
        <v>159</v>
      </c>
      <c r="E524" s="53">
        <v>10</v>
      </c>
      <c r="F524" s="45" t="s">
        <v>324</v>
      </c>
      <c r="G524" s="45" t="s">
        <v>175</v>
      </c>
    </row>
    <row r="525" spans="1:7" ht="13.5" customHeight="1" x14ac:dyDescent="0.35">
      <c r="A525" s="47">
        <v>43864</v>
      </c>
      <c r="B525" s="45" t="s">
        <v>2476</v>
      </c>
      <c r="C525" s="426" t="s">
        <v>28</v>
      </c>
      <c r="D525" s="45" t="s">
        <v>159</v>
      </c>
      <c r="E525" s="53">
        <v>30</v>
      </c>
      <c r="F525" s="45" t="s">
        <v>1236</v>
      </c>
      <c r="G525" s="45" t="s">
        <v>179</v>
      </c>
    </row>
    <row r="526" spans="1:7" ht="13.5" customHeight="1" x14ac:dyDescent="0.35">
      <c r="A526" s="47">
        <v>43864</v>
      </c>
      <c r="B526" s="45" t="s">
        <v>2477</v>
      </c>
      <c r="C526" s="426" t="s">
        <v>28</v>
      </c>
      <c r="D526" s="45" t="s">
        <v>159</v>
      </c>
      <c r="E526" s="53">
        <v>30</v>
      </c>
      <c r="F526" s="45" t="s">
        <v>1236</v>
      </c>
      <c r="G526" s="45" t="s">
        <v>174</v>
      </c>
    </row>
    <row r="527" spans="1:7" ht="13.5" customHeight="1" x14ac:dyDescent="0.35">
      <c r="A527" s="47">
        <v>43863</v>
      </c>
      <c r="B527" s="45" t="s">
        <v>1776</v>
      </c>
      <c r="C527" s="426" t="s">
        <v>1274</v>
      </c>
      <c r="D527" s="45" t="s">
        <v>159</v>
      </c>
      <c r="E527" s="53">
        <v>10</v>
      </c>
      <c r="F527" s="45" t="s">
        <v>324</v>
      </c>
      <c r="G527" s="45" t="s">
        <v>175</v>
      </c>
    </row>
    <row r="528" spans="1:7" ht="13.5" customHeight="1" x14ac:dyDescent="0.35">
      <c r="A528" s="47">
        <v>43862</v>
      </c>
      <c r="B528" s="45" t="s">
        <v>967</v>
      </c>
      <c r="C528" s="426" t="s">
        <v>1274</v>
      </c>
      <c r="D528" s="45" t="s">
        <v>159</v>
      </c>
      <c r="E528" s="53">
        <v>50</v>
      </c>
      <c r="F528" s="45" t="s">
        <v>2475</v>
      </c>
      <c r="G528" s="45" t="s">
        <v>175</v>
      </c>
    </row>
    <row r="529" spans="1:7" ht="13.5" customHeight="1" x14ac:dyDescent="0.35">
      <c r="A529" s="47">
        <v>43862</v>
      </c>
      <c r="B529" s="45" t="s">
        <v>2481</v>
      </c>
      <c r="C529" s="426" t="s">
        <v>1276</v>
      </c>
      <c r="D529" s="45" t="s">
        <v>161</v>
      </c>
      <c r="E529" s="53">
        <v>633.75</v>
      </c>
      <c r="F529" s="45" t="s">
        <v>1078</v>
      </c>
      <c r="G529" s="45" t="s">
        <v>175</v>
      </c>
    </row>
    <row r="530" spans="1:7" ht="13.5" customHeight="1" x14ac:dyDescent="0.35">
      <c r="A530" s="47">
        <v>43862</v>
      </c>
      <c r="B530" s="45" t="s">
        <v>2482</v>
      </c>
      <c r="C530" s="426" t="s">
        <v>1278</v>
      </c>
      <c r="D530" s="426" t="s">
        <v>161</v>
      </c>
      <c r="E530" s="567">
        <v>40</v>
      </c>
      <c r="F530" s="426" t="s">
        <v>292</v>
      </c>
      <c r="G530" s="426" t="s">
        <v>175</v>
      </c>
    </row>
    <row r="531" spans="1:7" ht="13.5" customHeight="1" x14ac:dyDescent="0.35">
      <c r="A531" s="47"/>
      <c r="B531" s="45"/>
      <c r="D531" s="45"/>
      <c r="E531" s="53"/>
      <c r="F531" s="45"/>
      <c r="G531" s="45"/>
    </row>
    <row r="532" spans="1:7" ht="13.5" customHeight="1" x14ac:dyDescent="0.35">
      <c r="A532" s="47">
        <v>43861</v>
      </c>
      <c r="B532" s="45" t="s">
        <v>1043</v>
      </c>
      <c r="C532" s="426" t="s">
        <v>28</v>
      </c>
      <c r="D532" s="45" t="s">
        <v>160</v>
      </c>
      <c r="E532" s="53">
        <v>170</v>
      </c>
      <c r="F532" s="45" t="s">
        <v>2314</v>
      </c>
      <c r="G532" s="45" t="s">
        <v>175</v>
      </c>
    </row>
    <row r="533" spans="1:7" ht="13.5" customHeight="1" x14ac:dyDescent="0.35">
      <c r="A533" s="47">
        <v>43858</v>
      </c>
      <c r="B533" s="45" t="s">
        <v>2483</v>
      </c>
      <c r="C533" s="426" t="s">
        <v>28</v>
      </c>
      <c r="D533" s="45" t="s">
        <v>159</v>
      </c>
      <c r="E533" s="53">
        <v>230</v>
      </c>
      <c r="F533" s="45" t="s">
        <v>1489</v>
      </c>
      <c r="G533" s="45" t="s">
        <v>174</v>
      </c>
    </row>
    <row r="534" spans="1:7" ht="13.5" customHeight="1" x14ac:dyDescent="0.35">
      <c r="A534" s="47">
        <v>43856</v>
      </c>
      <c r="B534" s="45" t="s">
        <v>2484</v>
      </c>
      <c r="C534" s="426" t="s">
        <v>1280</v>
      </c>
      <c r="D534" s="45" t="s">
        <v>159</v>
      </c>
      <c r="E534" s="53">
        <v>200</v>
      </c>
      <c r="F534" s="45" t="s">
        <v>734</v>
      </c>
      <c r="G534" s="45" t="s">
        <v>174</v>
      </c>
    </row>
    <row r="535" spans="1:7" ht="13.5" customHeight="1" x14ac:dyDescent="0.35">
      <c r="A535" s="47">
        <v>43855</v>
      </c>
      <c r="B535" s="45" t="s">
        <v>2485</v>
      </c>
      <c r="C535" s="426" t="s">
        <v>1274</v>
      </c>
      <c r="D535" s="45" t="s">
        <v>159</v>
      </c>
      <c r="E535" s="53">
        <v>99</v>
      </c>
      <c r="F535" s="45" t="s">
        <v>2486</v>
      </c>
      <c r="G535" s="45" t="s">
        <v>174</v>
      </c>
    </row>
    <row r="536" spans="1:7" ht="13.5" customHeight="1" x14ac:dyDescent="0.35">
      <c r="A536" s="47">
        <v>43854</v>
      </c>
      <c r="B536" s="45" t="s">
        <v>2487</v>
      </c>
      <c r="C536" s="426" t="s">
        <v>1274</v>
      </c>
      <c r="D536" s="45" t="s">
        <v>160</v>
      </c>
      <c r="E536" s="53">
        <v>50</v>
      </c>
      <c r="F536" s="45" t="s">
        <v>2488</v>
      </c>
      <c r="G536" s="45" t="s">
        <v>175</v>
      </c>
    </row>
    <row r="537" spans="1:7" ht="13.5" customHeight="1" x14ac:dyDescent="0.35">
      <c r="A537" s="47">
        <v>43852</v>
      </c>
      <c r="B537" s="45" t="s">
        <v>2489</v>
      </c>
      <c r="C537" s="426" t="s">
        <v>1274</v>
      </c>
      <c r="D537" s="45" t="s">
        <v>160</v>
      </c>
      <c r="E537" s="53">
        <v>750</v>
      </c>
      <c r="F537" s="45" t="s">
        <v>496</v>
      </c>
      <c r="G537" s="45" t="s">
        <v>174</v>
      </c>
    </row>
    <row r="538" spans="1:7" ht="13.5" customHeight="1" x14ac:dyDescent="0.35">
      <c r="A538" s="47">
        <v>43849</v>
      </c>
      <c r="B538" s="45" t="s">
        <v>1187</v>
      </c>
      <c r="C538" s="426" t="s">
        <v>1274</v>
      </c>
      <c r="D538" s="45" t="s">
        <v>159</v>
      </c>
      <c r="E538" s="53">
        <v>100</v>
      </c>
      <c r="F538" s="45" t="s">
        <v>496</v>
      </c>
      <c r="G538" s="45" t="s">
        <v>175</v>
      </c>
    </row>
    <row r="539" spans="1:7" ht="13.5" customHeight="1" x14ac:dyDescent="0.35">
      <c r="A539" s="47">
        <v>43849</v>
      </c>
      <c r="B539" s="45" t="s">
        <v>1187</v>
      </c>
      <c r="C539" s="426" t="s">
        <v>1277</v>
      </c>
      <c r="D539" s="45" t="s">
        <v>166</v>
      </c>
      <c r="E539" s="53">
        <v>-350</v>
      </c>
      <c r="F539" s="45" t="s">
        <v>496</v>
      </c>
      <c r="G539" s="45" t="s">
        <v>175</v>
      </c>
    </row>
    <row r="540" spans="1:7" ht="13.5" customHeight="1" x14ac:dyDescent="0.35">
      <c r="A540" s="47">
        <v>43849</v>
      </c>
      <c r="B540" s="45" t="s">
        <v>1187</v>
      </c>
      <c r="C540" s="426" t="s">
        <v>1274</v>
      </c>
      <c r="D540" s="45" t="s">
        <v>166</v>
      </c>
      <c r="E540" s="53">
        <v>350</v>
      </c>
      <c r="F540" s="45" t="s">
        <v>496</v>
      </c>
      <c r="G540" s="45" t="s">
        <v>175</v>
      </c>
    </row>
    <row r="541" spans="1:7" ht="13.5" customHeight="1" x14ac:dyDescent="0.35">
      <c r="A541" s="47">
        <v>43849</v>
      </c>
      <c r="B541" s="45" t="s">
        <v>1187</v>
      </c>
      <c r="C541" s="426" t="s">
        <v>1274</v>
      </c>
      <c r="D541" s="45" t="s">
        <v>165</v>
      </c>
      <c r="E541" s="53">
        <v>150</v>
      </c>
      <c r="F541" s="45" t="s">
        <v>496</v>
      </c>
      <c r="G541" s="45" t="s">
        <v>175</v>
      </c>
    </row>
    <row r="542" spans="1:7" ht="13.5" customHeight="1" x14ac:dyDescent="0.35">
      <c r="A542" s="47">
        <v>43849</v>
      </c>
      <c r="B542" s="45" t="s">
        <v>1187</v>
      </c>
      <c r="C542" s="426" t="s">
        <v>1281</v>
      </c>
      <c r="D542" s="45" t="s">
        <v>165</v>
      </c>
      <c r="E542" s="53">
        <v>-150</v>
      </c>
      <c r="F542" s="45" t="s">
        <v>496</v>
      </c>
      <c r="G542" s="45" t="s">
        <v>175</v>
      </c>
    </row>
    <row r="543" spans="1:7" ht="13.5" customHeight="1" x14ac:dyDescent="0.35">
      <c r="A543" s="47">
        <v>43849</v>
      </c>
      <c r="B543" s="45" t="s">
        <v>1187</v>
      </c>
      <c r="C543" s="426" t="s">
        <v>1280</v>
      </c>
      <c r="D543" s="45" t="s">
        <v>159</v>
      </c>
      <c r="E543" s="53">
        <v>100</v>
      </c>
      <c r="F543" s="45" t="s">
        <v>734</v>
      </c>
      <c r="G543" s="45" t="s">
        <v>175</v>
      </c>
    </row>
    <row r="544" spans="1:7" ht="13.5" customHeight="1" x14ac:dyDescent="0.35">
      <c r="A544" s="47">
        <v>43849</v>
      </c>
      <c r="B544" s="45" t="s">
        <v>2490</v>
      </c>
      <c r="C544" s="426" t="s">
        <v>1279</v>
      </c>
      <c r="D544" s="45" t="s">
        <v>159</v>
      </c>
      <c r="E544" s="53">
        <v>360</v>
      </c>
      <c r="F544" s="45" t="s">
        <v>2491</v>
      </c>
      <c r="G544" s="45" t="s">
        <v>175</v>
      </c>
    </row>
    <row r="545" spans="1:7" ht="13.5" customHeight="1" x14ac:dyDescent="0.35">
      <c r="A545" s="47">
        <v>43849</v>
      </c>
      <c r="B545" s="45" t="s">
        <v>2483</v>
      </c>
      <c r="C545" s="426" t="s">
        <v>28</v>
      </c>
      <c r="D545" s="45" t="s">
        <v>159</v>
      </c>
      <c r="E545" s="53">
        <v>30</v>
      </c>
      <c r="F545" s="45" t="s">
        <v>1521</v>
      </c>
      <c r="G545" s="45" t="s">
        <v>174</v>
      </c>
    </row>
    <row r="546" spans="1:7" ht="13.5" customHeight="1" x14ac:dyDescent="0.35">
      <c r="A546" s="47">
        <v>43848</v>
      </c>
      <c r="B546" s="45" t="s">
        <v>968</v>
      </c>
      <c r="C546" s="426" t="s">
        <v>1274</v>
      </c>
      <c r="D546" s="45" t="s">
        <v>159</v>
      </c>
      <c r="E546" s="53">
        <v>10</v>
      </c>
      <c r="F546" s="45" t="s">
        <v>324</v>
      </c>
      <c r="G546" s="45" t="s">
        <v>175</v>
      </c>
    </row>
    <row r="547" spans="1:7" ht="13.5" customHeight="1" x14ac:dyDescent="0.35">
      <c r="A547" s="47">
        <v>43848</v>
      </c>
      <c r="B547" s="45" t="s">
        <v>2492</v>
      </c>
      <c r="C547" s="426" t="s">
        <v>1274</v>
      </c>
      <c r="D547" s="45" t="s">
        <v>159</v>
      </c>
      <c r="E547" s="53">
        <v>495</v>
      </c>
      <c r="F547" s="45" t="s">
        <v>495</v>
      </c>
      <c r="G547" s="45" t="s">
        <v>174</v>
      </c>
    </row>
    <row r="548" spans="1:7" ht="13.5" customHeight="1" x14ac:dyDescent="0.35">
      <c r="A548" s="47">
        <v>43846</v>
      </c>
      <c r="B548" s="45" t="s">
        <v>2339</v>
      </c>
      <c r="C548" s="426" t="s">
        <v>1278</v>
      </c>
      <c r="D548" s="45" t="s">
        <v>159</v>
      </c>
      <c r="E548" s="53">
        <v>20</v>
      </c>
      <c r="F548" s="45" t="s">
        <v>293</v>
      </c>
      <c r="G548" s="45" t="s">
        <v>174</v>
      </c>
    </row>
    <row r="549" spans="1:7" ht="13.5" customHeight="1" x14ac:dyDescent="0.35">
      <c r="A549" s="47">
        <v>43843</v>
      </c>
      <c r="B549" s="45" t="s">
        <v>1766</v>
      </c>
      <c r="C549" s="426" t="s">
        <v>1274</v>
      </c>
      <c r="D549" s="45" t="s">
        <v>159</v>
      </c>
      <c r="E549" s="53">
        <v>100</v>
      </c>
      <c r="F549" s="45" t="s">
        <v>243</v>
      </c>
      <c r="G549" s="45" t="s">
        <v>175</v>
      </c>
    </row>
    <row r="550" spans="1:7" ht="13.5" customHeight="1" x14ac:dyDescent="0.35">
      <c r="A550" s="47">
        <v>43843</v>
      </c>
      <c r="B550" s="45" t="s">
        <v>2493</v>
      </c>
      <c r="C550" s="426" t="s">
        <v>1274</v>
      </c>
      <c r="D550" s="45" t="s">
        <v>159</v>
      </c>
      <c r="E550" s="53">
        <v>10</v>
      </c>
      <c r="F550" s="45" t="s">
        <v>324</v>
      </c>
      <c r="G550" s="45" t="s">
        <v>175</v>
      </c>
    </row>
    <row r="551" spans="1:7" ht="13.5" customHeight="1" x14ac:dyDescent="0.35">
      <c r="A551" s="47">
        <v>43841</v>
      </c>
      <c r="B551" s="45" t="s">
        <v>2494</v>
      </c>
      <c r="C551" s="426" t="s">
        <v>1279</v>
      </c>
      <c r="D551" s="45" t="s">
        <v>159</v>
      </c>
      <c r="E551" s="53">
        <v>120</v>
      </c>
      <c r="F551" s="48" t="s">
        <v>941</v>
      </c>
      <c r="G551" s="45" t="s">
        <v>175</v>
      </c>
    </row>
    <row r="552" spans="1:7" ht="13.5" customHeight="1" x14ac:dyDescent="0.35">
      <c r="A552" s="47">
        <v>43841</v>
      </c>
      <c r="B552" s="45" t="s">
        <v>2280</v>
      </c>
      <c r="C552" s="426" t="s">
        <v>1274</v>
      </c>
      <c r="D552" s="45" t="s">
        <v>159</v>
      </c>
      <c r="E552" s="53">
        <v>75</v>
      </c>
      <c r="F552" s="45" t="s">
        <v>1467</v>
      </c>
      <c r="G552" s="45" t="s">
        <v>174</v>
      </c>
    </row>
    <row r="553" spans="1:7" ht="13.5" customHeight="1" x14ac:dyDescent="0.35">
      <c r="A553" s="47">
        <v>43840</v>
      </c>
      <c r="B553" s="45" t="s">
        <v>64</v>
      </c>
      <c r="C553" s="426" t="s">
        <v>28</v>
      </c>
      <c r="D553" s="45" t="s">
        <v>159</v>
      </c>
      <c r="E553" s="53">
        <v>395</v>
      </c>
      <c r="F553" s="45" t="s">
        <v>1058</v>
      </c>
      <c r="G553" s="45" t="s">
        <v>175</v>
      </c>
    </row>
    <row r="554" spans="1:7" ht="13.5" customHeight="1" x14ac:dyDescent="0.35">
      <c r="A554" s="47">
        <v>43840</v>
      </c>
      <c r="B554" s="45" t="s">
        <v>2228</v>
      </c>
      <c r="C554" s="426" t="s">
        <v>1279</v>
      </c>
      <c r="D554" s="45" t="s">
        <v>159</v>
      </c>
      <c r="E554" s="53">
        <v>360</v>
      </c>
      <c r="F554" s="45" t="s">
        <v>2491</v>
      </c>
      <c r="G554" s="45" t="s">
        <v>175</v>
      </c>
    </row>
    <row r="555" spans="1:7" ht="13.5" customHeight="1" x14ac:dyDescent="0.35">
      <c r="A555" s="47">
        <v>43840</v>
      </c>
      <c r="B555" s="45" t="s">
        <v>2495</v>
      </c>
      <c r="C555" s="426" t="s">
        <v>1279</v>
      </c>
      <c r="D555" s="45" t="s">
        <v>166</v>
      </c>
      <c r="E555" s="53">
        <v>58.5</v>
      </c>
      <c r="F555" s="45" t="s">
        <v>2496</v>
      </c>
      <c r="G555" s="45" t="s">
        <v>175</v>
      </c>
    </row>
    <row r="556" spans="1:7" ht="13.5" customHeight="1" x14ac:dyDescent="0.35">
      <c r="A556" s="47">
        <v>43840</v>
      </c>
      <c r="B556" s="45" t="s">
        <v>2495</v>
      </c>
      <c r="C556" s="426" t="s">
        <v>1277</v>
      </c>
      <c r="D556" s="45" t="s">
        <v>166</v>
      </c>
      <c r="E556" s="53">
        <v>-58.5</v>
      </c>
      <c r="F556" s="45" t="s">
        <v>2496</v>
      </c>
      <c r="G556" s="45" t="s">
        <v>175</v>
      </c>
    </row>
    <row r="557" spans="1:7" ht="13.5" customHeight="1" x14ac:dyDescent="0.35">
      <c r="A557" s="47">
        <v>43840</v>
      </c>
      <c r="B557" s="45" t="s">
        <v>1766</v>
      </c>
      <c r="C557" s="426" t="s">
        <v>28</v>
      </c>
      <c r="D557" s="45" t="s">
        <v>159</v>
      </c>
      <c r="E557" s="53">
        <v>395</v>
      </c>
      <c r="F557" s="45" t="s">
        <v>1058</v>
      </c>
      <c r="G557" s="45" t="s">
        <v>175</v>
      </c>
    </row>
    <row r="558" spans="1:7" ht="13.5" customHeight="1" x14ac:dyDescent="0.35">
      <c r="A558" s="47">
        <v>43840</v>
      </c>
      <c r="B558" s="45" t="s">
        <v>2497</v>
      </c>
      <c r="C558" s="426" t="s">
        <v>28</v>
      </c>
      <c r="D558" s="45" t="s">
        <v>159</v>
      </c>
      <c r="E558" s="53">
        <v>195</v>
      </c>
      <c r="F558" s="45" t="s">
        <v>2498</v>
      </c>
      <c r="G558" s="45" t="s">
        <v>175</v>
      </c>
    </row>
    <row r="559" spans="1:7" ht="13.5" customHeight="1" x14ac:dyDescent="0.35">
      <c r="A559" s="47">
        <v>43839</v>
      </c>
      <c r="B559" s="45" t="s">
        <v>2499</v>
      </c>
      <c r="C559" s="426" t="s">
        <v>1274</v>
      </c>
      <c r="D559" s="45" t="s">
        <v>159</v>
      </c>
      <c r="E559" s="53">
        <v>60</v>
      </c>
      <c r="F559" s="45" t="s">
        <v>693</v>
      </c>
      <c r="G559" s="45" t="s">
        <v>179</v>
      </c>
    </row>
    <row r="560" spans="1:7" ht="13.5" customHeight="1" x14ac:dyDescent="0.35">
      <c r="A560" s="47">
        <v>43839</v>
      </c>
      <c r="B560" s="45" t="s">
        <v>732</v>
      </c>
      <c r="C560" s="426" t="s">
        <v>1274</v>
      </c>
      <c r="D560" s="45" t="s">
        <v>162</v>
      </c>
      <c r="E560" s="53">
        <v>795</v>
      </c>
      <c r="F560" s="45" t="s">
        <v>2500</v>
      </c>
      <c r="G560" s="45" t="s">
        <v>175</v>
      </c>
    </row>
    <row r="561" spans="1:7" ht="13.5" customHeight="1" x14ac:dyDescent="0.35">
      <c r="A561" s="47">
        <v>43838</v>
      </c>
      <c r="B561" s="45" t="s">
        <v>2461</v>
      </c>
      <c r="C561" s="426" t="s">
        <v>1274</v>
      </c>
      <c r="D561" s="45" t="s">
        <v>159</v>
      </c>
      <c r="E561" s="53">
        <v>10</v>
      </c>
      <c r="F561" s="45" t="s">
        <v>324</v>
      </c>
      <c r="G561" s="45" t="s">
        <v>175</v>
      </c>
    </row>
    <row r="562" spans="1:7" ht="13.5" customHeight="1" x14ac:dyDescent="0.35">
      <c r="A562" s="47">
        <v>43838</v>
      </c>
      <c r="B562" s="45" t="s">
        <v>2501</v>
      </c>
      <c r="C562" s="426" t="s">
        <v>28</v>
      </c>
      <c r="D562" s="45" t="s">
        <v>160</v>
      </c>
      <c r="E562" s="53">
        <v>30</v>
      </c>
      <c r="F562" s="45" t="s">
        <v>1521</v>
      </c>
      <c r="G562" s="45" t="s">
        <v>174</v>
      </c>
    </row>
    <row r="563" spans="1:7" ht="13.5" customHeight="1" x14ac:dyDescent="0.35">
      <c r="A563" s="47">
        <v>43838</v>
      </c>
      <c r="B563" s="45" t="s">
        <v>2502</v>
      </c>
      <c r="C563" s="426" t="s">
        <v>28</v>
      </c>
      <c r="D563" s="45" t="s">
        <v>159</v>
      </c>
      <c r="E563" s="53">
        <v>395</v>
      </c>
      <c r="F563" s="45" t="s">
        <v>1058</v>
      </c>
      <c r="G563" s="45" t="s">
        <v>175</v>
      </c>
    </row>
    <row r="564" spans="1:7" ht="13.5" customHeight="1" x14ac:dyDescent="0.35">
      <c r="A564" s="47">
        <v>43837</v>
      </c>
      <c r="B564" s="45" t="s">
        <v>2503</v>
      </c>
      <c r="C564" s="426" t="s">
        <v>1274</v>
      </c>
      <c r="D564" s="45" t="s">
        <v>162</v>
      </c>
      <c r="E564" s="53">
        <v>120</v>
      </c>
      <c r="F564" s="45" t="s">
        <v>219</v>
      </c>
      <c r="G564" s="45" t="s">
        <v>175</v>
      </c>
    </row>
    <row r="565" spans="1:7" ht="13.5" customHeight="1" x14ac:dyDescent="0.35">
      <c r="A565" s="47">
        <v>43837</v>
      </c>
      <c r="B565" s="45" t="s">
        <v>2504</v>
      </c>
      <c r="C565" s="426" t="s">
        <v>1274</v>
      </c>
      <c r="D565" s="45" t="s">
        <v>159</v>
      </c>
      <c r="E565" s="53">
        <v>99</v>
      </c>
      <c r="F565" s="45" t="s">
        <v>177</v>
      </c>
      <c r="G565" s="45" t="s">
        <v>174</v>
      </c>
    </row>
    <row r="566" spans="1:7" ht="13.5" customHeight="1" x14ac:dyDescent="0.35">
      <c r="A566" s="47">
        <v>43837</v>
      </c>
      <c r="B566" s="45" t="s">
        <v>2502</v>
      </c>
      <c r="C566" s="426" t="s">
        <v>1274</v>
      </c>
      <c r="D566" s="45" t="s">
        <v>162</v>
      </c>
      <c r="E566" s="53">
        <v>275</v>
      </c>
      <c r="F566" s="45" t="s">
        <v>219</v>
      </c>
      <c r="G566" s="45" t="s">
        <v>175</v>
      </c>
    </row>
    <row r="567" spans="1:7" ht="13.5" customHeight="1" x14ac:dyDescent="0.35">
      <c r="A567" s="47">
        <v>43836</v>
      </c>
      <c r="B567" s="45" t="s">
        <v>2505</v>
      </c>
      <c r="C567" s="426" t="s">
        <v>1277</v>
      </c>
      <c r="D567" s="45" t="s">
        <v>166</v>
      </c>
      <c r="E567" s="53">
        <v>-96</v>
      </c>
      <c r="F567" s="48" t="s">
        <v>941</v>
      </c>
      <c r="G567" s="45" t="s">
        <v>175</v>
      </c>
    </row>
    <row r="568" spans="1:7" ht="13.5" customHeight="1" x14ac:dyDescent="0.35">
      <c r="A568" s="47">
        <v>43836</v>
      </c>
      <c r="B568" s="45" t="s">
        <v>2505</v>
      </c>
      <c r="C568" s="426" t="s">
        <v>1279</v>
      </c>
      <c r="D568" s="45" t="s">
        <v>166</v>
      </c>
      <c r="E568" s="53">
        <v>96</v>
      </c>
      <c r="F568" s="48" t="s">
        <v>941</v>
      </c>
      <c r="G568" s="45" t="s">
        <v>175</v>
      </c>
    </row>
    <row r="569" spans="1:7" ht="13.5" customHeight="1" x14ac:dyDescent="0.35">
      <c r="A569" s="47">
        <v>43836</v>
      </c>
      <c r="B569" s="45" t="s">
        <v>2505</v>
      </c>
      <c r="C569" s="426" t="s">
        <v>1277</v>
      </c>
      <c r="D569" s="45" t="s">
        <v>166</v>
      </c>
      <c r="E569" s="53">
        <v>-156</v>
      </c>
      <c r="F569" s="45" t="s">
        <v>2498</v>
      </c>
      <c r="G569" s="45" t="s">
        <v>175</v>
      </c>
    </row>
    <row r="570" spans="1:7" ht="13.5" customHeight="1" x14ac:dyDescent="0.35">
      <c r="A570" s="47">
        <v>43836</v>
      </c>
      <c r="B570" s="45" t="s">
        <v>2505</v>
      </c>
      <c r="C570" s="426" t="s">
        <v>28</v>
      </c>
      <c r="D570" s="45" t="s">
        <v>166</v>
      </c>
      <c r="E570" s="53">
        <v>156</v>
      </c>
      <c r="F570" s="45" t="s">
        <v>2498</v>
      </c>
      <c r="G570" s="45" t="s">
        <v>175</v>
      </c>
    </row>
    <row r="571" spans="1:7" ht="13.5" customHeight="1" x14ac:dyDescent="0.35">
      <c r="A571" s="47">
        <v>43836</v>
      </c>
      <c r="B571" s="45" t="s">
        <v>2506</v>
      </c>
      <c r="C571" s="426" t="s">
        <v>1274</v>
      </c>
      <c r="D571" s="45" t="s">
        <v>159</v>
      </c>
      <c r="E571" s="53">
        <v>10</v>
      </c>
      <c r="F571" s="45" t="s">
        <v>324</v>
      </c>
      <c r="G571" s="45" t="s">
        <v>175</v>
      </c>
    </row>
    <row r="572" spans="1:7" ht="13.5" customHeight="1" x14ac:dyDescent="0.35">
      <c r="A572" s="47">
        <v>43835</v>
      </c>
      <c r="B572" s="45" t="s">
        <v>64</v>
      </c>
      <c r="C572" s="426" t="s">
        <v>1274</v>
      </c>
      <c r="D572" s="45" t="s">
        <v>159</v>
      </c>
      <c r="E572" s="53">
        <v>10</v>
      </c>
      <c r="F572" s="45" t="s">
        <v>324</v>
      </c>
      <c r="G572" s="45" t="s">
        <v>174</v>
      </c>
    </row>
    <row r="573" spans="1:7" ht="13.5" customHeight="1" x14ac:dyDescent="0.35">
      <c r="A573" s="47">
        <v>43835</v>
      </c>
      <c r="B573" s="45" t="s">
        <v>64</v>
      </c>
      <c r="C573" s="426" t="s">
        <v>1279</v>
      </c>
      <c r="D573" s="45" t="s">
        <v>159</v>
      </c>
      <c r="E573" s="53">
        <v>65</v>
      </c>
      <c r="F573" s="48" t="s">
        <v>2104</v>
      </c>
      <c r="G573" s="45" t="s">
        <v>174</v>
      </c>
    </row>
    <row r="574" spans="1:7" ht="13.5" customHeight="1" x14ac:dyDescent="0.35">
      <c r="A574" s="47">
        <v>43835</v>
      </c>
      <c r="B574" s="45" t="s">
        <v>1009</v>
      </c>
      <c r="C574" s="426" t="s">
        <v>1277</v>
      </c>
      <c r="D574" s="45" t="s">
        <v>166</v>
      </c>
      <c r="E574" s="53">
        <v>-428.6</v>
      </c>
      <c r="F574" s="45" t="s">
        <v>219</v>
      </c>
      <c r="G574" s="45" t="s">
        <v>175</v>
      </c>
    </row>
    <row r="575" spans="1:7" ht="13.5" customHeight="1" x14ac:dyDescent="0.35">
      <c r="A575" s="47">
        <v>43835</v>
      </c>
      <c r="B575" s="45" t="s">
        <v>1009</v>
      </c>
      <c r="C575" s="426" t="s">
        <v>1274</v>
      </c>
      <c r="D575" s="45" t="s">
        <v>166</v>
      </c>
      <c r="E575" s="53">
        <v>428.6</v>
      </c>
      <c r="F575" s="45" t="s">
        <v>219</v>
      </c>
      <c r="G575" s="45" t="s">
        <v>175</v>
      </c>
    </row>
    <row r="576" spans="1:7" ht="13.5" customHeight="1" x14ac:dyDescent="0.35">
      <c r="A576" s="47">
        <v>43835</v>
      </c>
      <c r="B576" s="45" t="s">
        <v>1009</v>
      </c>
      <c r="C576" s="426" t="s">
        <v>1276</v>
      </c>
      <c r="D576" s="45" t="s">
        <v>162</v>
      </c>
      <c r="E576" s="53">
        <v>203.6</v>
      </c>
      <c r="F576" s="45" t="s">
        <v>219</v>
      </c>
      <c r="G576" s="45" t="s">
        <v>175</v>
      </c>
    </row>
    <row r="577" spans="1:7" ht="13.5" customHeight="1" x14ac:dyDescent="0.35">
      <c r="A577" s="47">
        <v>43834</v>
      </c>
      <c r="B577" s="45" t="s">
        <v>1043</v>
      </c>
      <c r="C577" s="426" t="s">
        <v>28</v>
      </c>
      <c r="D577" s="45" t="s">
        <v>159</v>
      </c>
      <c r="E577" s="53">
        <v>250</v>
      </c>
      <c r="F577" s="45" t="s">
        <v>1025</v>
      </c>
      <c r="G577" s="45" t="s">
        <v>174</v>
      </c>
    </row>
    <row r="578" spans="1:7" ht="13.5" customHeight="1" x14ac:dyDescent="0.35">
      <c r="A578" s="47">
        <v>43832</v>
      </c>
      <c r="B578" s="45" t="s">
        <v>2507</v>
      </c>
      <c r="C578" s="426" t="s">
        <v>28</v>
      </c>
      <c r="D578" s="45" t="s">
        <v>159</v>
      </c>
      <c r="E578" s="53">
        <v>30</v>
      </c>
      <c r="F578" s="45" t="s">
        <v>1521</v>
      </c>
      <c r="G578" s="45" t="s">
        <v>174</v>
      </c>
    </row>
    <row r="579" spans="1:7" ht="13.5" customHeight="1" x14ac:dyDescent="0.35">
      <c r="A579" s="47">
        <v>43832</v>
      </c>
      <c r="B579" s="45" t="s">
        <v>986</v>
      </c>
      <c r="C579" s="426" t="s">
        <v>1279</v>
      </c>
      <c r="D579" s="45" t="s">
        <v>159</v>
      </c>
      <c r="E579" s="53">
        <v>120</v>
      </c>
      <c r="F579" s="45" t="s">
        <v>2508</v>
      </c>
      <c r="G579" s="45" t="s">
        <v>174</v>
      </c>
    </row>
    <row r="580" spans="1:7" ht="13.5" customHeight="1" x14ac:dyDescent="0.35">
      <c r="A580" s="47">
        <v>43831</v>
      </c>
      <c r="B580" s="45" t="s">
        <v>2509</v>
      </c>
      <c r="C580" s="426" t="s">
        <v>1274</v>
      </c>
      <c r="D580" s="45" t="s">
        <v>160</v>
      </c>
      <c r="E580" s="53">
        <v>50</v>
      </c>
      <c r="F580" s="45" t="s">
        <v>494</v>
      </c>
      <c r="G580" s="45" t="s">
        <v>174</v>
      </c>
    </row>
    <row r="581" spans="1:7" ht="13.5" customHeight="1" x14ac:dyDescent="0.35">
      <c r="A581" s="47">
        <v>43831</v>
      </c>
      <c r="B581" s="45" t="s">
        <v>2510</v>
      </c>
      <c r="C581" s="426" t="s">
        <v>28</v>
      </c>
      <c r="D581" s="45" t="s">
        <v>159</v>
      </c>
      <c r="E581" s="53">
        <v>250</v>
      </c>
      <c r="F581" s="45" t="s">
        <v>1025</v>
      </c>
      <c r="G581" s="45" t="s">
        <v>174</v>
      </c>
    </row>
    <row r="582" spans="1:7" ht="13.5" customHeight="1" x14ac:dyDescent="0.35">
      <c r="A582" s="47">
        <v>43831</v>
      </c>
      <c r="B582" s="45" t="s">
        <v>1187</v>
      </c>
      <c r="C582" s="426" t="s">
        <v>1274</v>
      </c>
      <c r="D582" s="45" t="s">
        <v>165</v>
      </c>
      <c r="E582" s="53">
        <v>50</v>
      </c>
      <c r="F582" s="45" t="s">
        <v>2488</v>
      </c>
      <c r="G582" s="45" t="s">
        <v>175</v>
      </c>
    </row>
    <row r="583" spans="1:7" ht="13.5" customHeight="1" x14ac:dyDescent="0.35">
      <c r="A583" s="47">
        <v>43831</v>
      </c>
      <c r="B583" s="45" t="s">
        <v>1187</v>
      </c>
      <c r="C583" s="426" t="s">
        <v>1281</v>
      </c>
      <c r="D583" s="45" t="s">
        <v>165</v>
      </c>
      <c r="E583" s="53">
        <v>-50</v>
      </c>
      <c r="F583" s="45" t="s">
        <v>2488</v>
      </c>
      <c r="G583" s="45" t="s">
        <v>175</v>
      </c>
    </row>
    <row r="584" spans="1:7" ht="13.5" customHeight="1" x14ac:dyDescent="0.35">
      <c r="A584" s="47">
        <v>43831</v>
      </c>
      <c r="B584" s="45" t="s">
        <v>1009</v>
      </c>
      <c r="C584" s="426" t="s">
        <v>1279</v>
      </c>
      <c r="D584" s="45" t="s">
        <v>166</v>
      </c>
      <c r="E584" s="53">
        <v>65</v>
      </c>
      <c r="F584" s="48" t="s">
        <v>2104</v>
      </c>
      <c r="G584" s="45" t="s">
        <v>175</v>
      </c>
    </row>
    <row r="585" spans="1:7" ht="13.5" customHeight="1" x14ac:dyDescent="0.35">
      <c r="A585" s="47">
        <v>43831</v>
      </c>
      <c r="B585" s="45" t="s">
        <v>1009</v>
      </c>
      <c r="C585" s="426" t="s">
        <v>1277</v>
      </c>
      <c r="D585" s="45" t="s">
        <v>166</v>
      </c>
      <c r="E585" s="53">
        <v>-65</v>
      </c>
      <c r="F585" s="48" t="s">
        <v>2104</v>
      </c>
      <c r="G585" s="45" t="s">
        <v>175</v>
      </c>
    </row>
    <row r="586" spans="1:7" ht="13.5" customHeight="1" x14ac:dyDescent="0.35">
      <c r="A586" s="47">
        <v>43831</v>
      </c>
      <c r="B586" s="45" t="s">
        <v>2511</v>
      </c>
      <c r="C586" s="426" t="s">
        <v>1276</v>
      </c>
      <c r="D586" s="426" t="s">
        <v>161</v>
      </c>
      <c r="E586" s="567">
        <v>571.25</v>
      </c>
      <c r="F586" s="426" t="s">
        <v>1078</v>
      </c>
      <c r="G586" s="426" t="s">
        <v>175</v>
      </c>
    </row>
    <row r="587" spans="1:7" ht="13.5" customHeight="1" x14ac:dyDescent="0.35">
      <c r="A587" s="47">
        <v>43831</v>
      </c>
      <c r="B587" s="45" t="s">
        <v>2512</v>
      </c>
      <c r="C587" s="426" t="s">
        <v>1278</v>
      </c>
      <c r="D587" s="426" t="s">
        <v>161</v>
      </c>
      <c r="E587" s="567">
        <v>40</v>
      </c>
      <c r="F587" s="426" t="s">
        <v>292</v>
      </c>
      <c r="G587" s="426" t="s">
        <v>175</v>
      </c>
    </row>
  </sheetData>
  <conditionalFormatting sqref="E1:E17 E20 E23 E34:E36 E63:E64 E69:E73 E75 E79:E151 E153 E156 E158:E159 E161:E163 E165:E167 E169:E170 E172:E173 E176:E177 E181:E183 E185:E188 E190:E192 E195 E197 E199:E202 E207 E209:E210 E212:E213 E216:E219 E222:E224 E231:E236 E239:E241 E246:E256 E258 E261 E264:E267 E270:E271 E273 E276:E279 E282:E286 E288 E293:E294 E300 E302:E305 E307:E310 E313:E326 E328:E331 E349 E351 E359 E361 E363 E370 E374:E383 E387:E389 E396:E398 E400 E402:E403 E411 E416 E419 E425 E428:E430 E442 E444 E447 E457 E459 E464:E466 E468:E477 E480:E489 E492:E515 E517:E520 E522:E523 E526:E529 E531:E538 E541:E552 E554:E566 E571:E1048576 V137:V1135 V1156:V1284 V1286:V1558 X5 X29:X34 X93 X102:X112 X122 X127 X136">
    <cfRule type="cellIs" dxfId="2449" priority="793" operator="lessThan">
      <formula>0</formula>
    </cfRule>
  </conditionalFormatting>
  <conditionalFormatting sqref="X27">
    <cfRule type="cellIs" dxfId="2448" priority="792" operator="lessThan">
      <formula>0</formula>
    </cfRule>
  </conditionalFormatting>
  <conditionalFormatting sqref="X5:X16">
    <cfRule type="cellIs" dxfId="2447" priority="665" operator="lessThan">
      <formula>0</formula>
    </cfRule>
    <cfRule type="cellIs" dxfId="2446" priority="666" operator="lessThan">
      <formula>0</formula>
    </cfRule>
    <cfRule type="cellIs" dxfId="2445" priority="667" operator="lessThan">
      <formula>0</formula>
    </cfRule>
    <cfRule type="cellIs" dxfId="2444" priority="668" operator="lessThan">
      <formula>0</formula>
    </cfRule>
    <cfRule type="cellIs" dxfId="2443" priority="669" operator="lessThan">
      <formula>0</formula>
    </cfRule>
    <cfRule type="cellIs" dxfId="2442" priority="670" operator="lessThan">
      <formula>0</formula>
    </cfRule>
    <cfRule type="cellIs" dxfId="2441" priority="671" operator="lessThan">
      <formula>0</formula>
    </cfRule>
    <cfRule type="cellIs" dxfId="2440" priority="672" operator="lessThan">
      <formula>0</formula>
    </cfRule>
    <cfRule type="cellIs" dxfId="2439" priority="673" operator="lessThan">
      <formula>0</formula>
    </cfRule>
    <cfRule type="cellIs" dxfId="2438" priority="674" operator="lessThan">
      <formula>0</formula>
    </cfRule>
    <cfRule type="cellIs" dxfId="2437" priority="675" operator="lessThan">
      <formula>0</formula>
    </cfRule>
    <cfRule type="cellIs" dxfId="2436" priority="676" operator="lessThan">
      <formula>0</formula>
    </cfRule>
    <cfRule type="cellIs" dxfId="2435" priority="677" operator="lessThan">
      <formula>0</formula>
    </cfRule>
    <cfRule type="cellIs" dxfId="2434" priority="678" operator="lessThan">
      <formula>0</formula>
    </cfRule>
    <cfRule type="cellIs" dxfId="2433" priority="679" operator="lessThan">
      <formula>0</formula>
    </cfRule>
    <cfRule type="cellIs" dxfId="2432" priority="680" operator="lessThan">
      <formula>0</formula>
    </cfRule>
    <cfRule type="cellIs" dxfId="2431" priority="681" operator="lessThan">
      <formula>0</formula>
    </cfRule>
    <cfRule type="cellIs" dxfId="2430" priority="685" operator="lessThan">
      <formula>0</formula>
    </cfRule>
    <cfRule type="cellIs" dxfId="2429" priority="744" operator="lessThan">
      <formula>0</formula>
    </cfRule>
    <cfRule type="cellIs" dxfId="2428" priority="746" operator="lessThan">
      <formula>0</formula>
    </cfRule>
    <cfRule type="cellIs" dxfId="2427" priority="755" operator="lessThan">
      <formula>0</formula>
    </cfRule>
    <cfRule type="cellIs" dxfId="2426" priority="765" operator="lessThan">
      <formula>0</formula>
    </cfRule>
    <cfRule type="cellIs" dxfId="2425" priority="771" operator="lessThan">
      <formula>0</formula>
    </cfRule>
    <cfRule type="cellIs" dxfId="2424" priority="776" operator="lessThan">
      <formula>0</formula>
    </cfRule>
    <cfRule type="cellIs" dxfId="2423" priority="777" operator="lessThan">
      <formula>0</formula>
    </cfRule>
    <cfRule type="cellIs" dxfId="2422" priority="780" operator="lessThan">
      <formula>0</formula>
    </cfRule>
    <cfRule type="cellIs" dxfId="2421" priority="787" operator="lessThan">
      <formula>0</formula>
    </cfRule>
    <cfRule type="cellIs" dxfId="2420" priority="788" operator="greaterThan">
      <formula>0</formula>
    </cfRule>
    <cfRule type="cellIs" dxfId="2419" priority="790" operator="lessThan">
      <formula>0</formula>
    </cfRule>
  </conditionalFormatting>
  <conditionalFormatting sqref="X28">
    <cfRule type="cellIs" dxfId="2418" priority="791" operator="lessThan">
      <formula>0</formula>
    </cfRule>
  </conditionalFormatting>
  <conditionalFormatting sqref="X16">
    <cfRule type="cellIs" dxfId="2417" priority="12" operator="lessThan">
      <formula>0</formula>
    </cfRule>
    <cfRule type="cellIs" dxfId="2416" priority="13" operator="lessThan">
      <formula>0</formula>
    </cfRule>
    <cfRule type="cellIs" dxfId="2415" priority="14" operator="lessThan">
      <formula>0</formula>
    </cfRule>
    <cfRule type="cellIs" dxfId="2414" priority="15" operator="lessThan">
      <formula>0</formula>
    </cfRule>
    <cfRule type="cellIs" dxfId="2413" priority="16" operator="lessThan">
      <formula>0</formula>
    </cfRule>
    <cfRule type="cellIs" dxfId="2412" priority="17" operator="lessThan">
      <formula>0</formula>
    </cfRule>
    <cfRule type="cellIs" dxfId="2411" priority="18" operator="lessThan">
      <formula>0</formula>
    </cfRule>
    <cfRule type="cellIs" dxfId="2410" priority="19" operator="lessThan">
      <formula>0</formula>
    </cfRule>
    <cfRule type="cellIs" dxfId="2409" priority="20" operator="lessThan">
      <formula>0</formula>
    </cfRule>
    <cfRule type="cellIs" dxfId="2408" priority="21" operator="lessThan">
      <formula>0</formula>
    </cfRule>
    <cfRule type="cellIs" dxfId="2407" priority="22" operator="lessThan">
      <formula>0</formula>
    </cfRule>
    <cfRule type="cellIs" dxfId="2406" priority="23" operator="lessThan">
      <formula>0</formula>
    </cfRule>
    <cfRule type="cellIs" dxfId="2405" priority="41" operator="lessThan">
      <formula>0</formula>
    </cfRule>
    <cfRule type="cellIs" dxfId="2404" priority="42" operator="lessThan">
      <formula>0</formula>
    </cfRule>
    <cfRule type="cellIs" dxfId="2403" priority="43" operator="lessThan">
      <formula>0</formula>
    </cfRule>
    <cfRule type="cellIs" dxfId="2402" priority="44" operator="lessThan">
      <formula>0</formula>
    </cfRule>
    <cfRule type="cellIs" dxfId="2401" priority="45" operator="lessThan">
      <formula>0</formula>
    </cfRule>
    <cfRule type="cellIs" dxfId="2400" priority="46" operator="lessThan">
      <formula>0</formula>
    </cfRule>
    <cfRule type="cellIs" dxfId="2399" priority="47" operator="lessThan">
      <formula>0</formula>
    </cfRule>
    <cfRule type="cellIs" dxfId="2398" priority="48" operator="lessThan">
      <formula>0</formula>
    </cfRule>
    <cfRule type="cellIs" dxfId="2397" priority="49" operator="lessThan">
      <formula>0</formula>
    </cfRule>
    <cfRule type="cellIs" dxfId="2396" priority="50" operator="lessThan">
      <formula>0</formula>
    </cfRule>
    <cfRule type="cellIs" dxfId="2395" priority="51" operator="lessThan">
      <formula>0</formula>
    </cfRule>
    <cfRule type="cellIs" dxfId="2394" priority="144" operator="lessThan">
      <formula>0</formula>
    </cfRule>
    <cfRule type="cellIs" dxfId="2393" priority="145" operator="lessThan">
      <formula>0</formula>
    </cfRule>
    <cfRule type="cellIs" dxfId="2392" priority="146" operator="lessThan">
      <formula>0</formula>
    </cfRule>
    <cfRule type="cellIs" dxfId="2391" priority="147" operator="lessThan">
      <formula>0</formula>
    </cfRule>
    <cfRule type="cellIs" dxfId="2390" priority="148" operator="lessThan">
      <formula>0</formula>
    </cfRule>
    <cfRule type="cellIs" dxfId="2389" priority="149" operator="lessThan">
      <formula>0</formula>
    </cfRule>
    <cfRule type="cellIs" dxfId="2388" priority="150" operator="lessThan">
      <formula>0</formula>
    </cfRule>
    <cfRule type="cellIs" dxfId="2387" priority="151" operator="lessThan">
      <formula>0</formula>
    </cfRule>
    <cfRule type="cellIs" dxfId="2386" priority="152" operator="lessThan">
      <formula>0</formula>
    </cfRule>
    <cfRule type="cellIs" dxfId="2385" priority="153" operator="lessThan">
      <formula>0</formula>
    </cfRule>
    <cfRule type="cellIs" dxfId="2384" priority="493" operator="lessThan">
      <formula>0</formula>
    </cfRule>
    <cfRule type="cellIs" dxfId="2383" priority="494" operator="lessThan">
      <formula>0</formula>
    </cfRule>
    <cfRule type="cellIs" dxfId="2382" priority="495" operator="lessThan">
      <formula>0</formula>
    </cfRule>
    <cfRule type="cellIs" dxfId="2381" priority="496" operator="lessThan">
      <formula>0</formula>
    </cfRule>
    <cfRule type="cellIs" dxfId="2380" priority="497" operator="lessThan">
      <formula>0</formula>
    </cfRule>
    <cfRule type="cellIs" dxfId="2379" priority="564" operator="lessThan">
      <formula>0</formula>
    </cfRule>
    <cfRule type="cellIs" dxfId="2378" priority="565" operator="lessThan">
      <formula>0</formula>
    </cfRule>
    <cfRule type="cellIs" dxfId="2377" priority="566" operator="lessThan">
      <formula>0</formula>
    </cfRule>
    <cfRule type="cellIs" dxfId="2376" priority="567" operator="lessThan">
      <formula>0</formula>
    </cfRule>
    <cfRule type="cellIs" dxfId="2375" priority="590" operator="lessThan">
      <formula>0</formula>
    </cfRule>
    <cfRule type="cellIs" dxfId="2374" priority="618" operator="lessThan">
      <formula>0</formula>
    </cfRule>
    <cfRule type="cellIs" dxfId="2373" priority="619" operator="lessThan">
      <formula>0</formula>
    </cfRule>
    <cfRule type="cellIs" dxfId="2372" priority="745" operator="lessThan">
      <formula>0</formula>
    </cfRule>
    <cfRule type="cellIs" dxfId="2371" priority="749" operator="lessThan">
      <formula>0</formula>
    </cfRule>
    <cfRule type="cellIs" dxfId="2370" priority="750" operator="lessThan">
      <formula>0</formula>
    </cfRule>
    <cfRule type="cellIs" dxfId="2369" priority="751" operator="lessThan">
      <formula>0</formula>
    </cfRule>
    <cfRule type="cellIs" dxfId="2368" priority="752" operator="lessThan">
      <formula>0</formula>
    </cfRule>
    <cfRule type="cellIs" dxfId="2367" priority="753" operator="lessThan">
      <formula>0</formula>
    </cfRule>
    <cfRule type="cellIs" dxfId="2366" priority="754" operator="lessThan">
      <formula>0</formula>
    </cfRule>
    <cfRule type="cellIs" dxfId="2365" priority="766" operator="lessThan">
      <formula>0</formula>
    </cfRule>
    <cfRule type="cellIs" dxfId="2364" priority="767" operator="lessThan">
      <formula>0</formula>
    </cfRule>
    <cfRule type="cellIs" dxfId="2363" priority="768" operator="lessThan">
      <formula>0</formula>
    </cfRule>
    <cfRule type="cellIs" dxfId="2362" priority="769" operator="lessThan">
      <formula>0</formula>
    </cfRule>
    <cfRule type="cellIs" dxfId="2361" priority="770" operator="lessThan">
      <formula>0</formula>
    </cfRule>
    <cfRule type="cellIs" dxfId="2360" priority="772" operator="lessThan">
      <formula>0</formula>
    </cfRule>
    <cfRule type="cellIs" dxfId="2359" priority="773" operator="lessThan">
      <formula>0</formula>
    </cfRule>
    <cfRule type="cellIs" dxfId="2358" priority="774" operator="lessThan">
      <formula>0</formula>
    </cfRule>
    <cfRule type="cellIs" dxfId="2357" priority="775" operator="lessThan">
      <formula>0</formula>
    </cfRule>
    <cfRule type="cellIs" dxfId="2356" priority="789" operator="lessThan">
      <formula>0</formula>
    </cfRule>
  </conditionalFormatting>
  <conditionalFormatting sqref="J32">
    <cfRule type="cellIs" dxfId="2355" priority="785" operator="greaterThan">
      <formula>0</formula>
    </cfRule>
    <cfRule type="cellIs" dxfId="2354" priority="786" operator="lessThan">
      <formula>0</formula>
    </cfRule>
  </conditionalFormatting>
  <conditionalFormatting sqref="Y5">
    <cfRule type="cellIs" dxfId="2353" priority="783" operator="greaterThan">
      <formula>0</formula>
    </cfRule>
    <cfRule type="cellIs" dxfId="2352" priority="784" operator="lessThan">
      <formula>0</formula>
    </cfRule>
  </conditionalFormatting>
  <conditionalFormatting sqref="Z5">
    <cfRule type="cellIs" dxfId="2351" priority="781" operator="greaterThan">
      <formula>0</formula>
    </cfRule>
    <cfRule type="cellIs" dxfId="2350" priority="782" operator="lessThan">
      <formula>0</formula>
    </cfRule>
  </conditionalFormatting>
  <conditionalFormatting sqref="AB5:AB16">
    <cfRule type="cellIs" dxfId="2349" priority="778" operator="lessThan">
      <formula>0</formula>
    </cfRule>
    <cfRule type="cellIs" dxfId="2348" priority="779" operator="greaterThan">
      <formula>0</formula>
    </cfRule>
  </conditionalFormatting>
  <conditionalFormatting sqref="W17">
    <cfRule type="cellIs" dxfId="2347" priority="760" operator="greaterThan">
      <formula>0.8</formula>
    </cfRule>
    <cfRule type="cellIs" dxfId="2346" priority="761" operator="between">
      <formula>0.51</formula>
      <formula>0.8</formula>
    </cfRule>
    <cfRule type="cellIs" dxfId="2345" priority="762" operator="lessThan">
      <formula>0.5</formula>
    </cfRule>
  </conditionalFormatting>
  <conditionalFormatting sqref="X114">
    <cfRule type="cellIs" dxfId="2344" priority="759" operator="lessThan">
      <formula>0</formula>
    </cfRule>
  </conditionalFormatting>
  <conditionalFormatting sqref="X124:X126">
    <cfRule type="cellIs" dxfId="2343" priority="758" operator="lessThan">
      <formula>0</formula>
    </cfRule>
  </conditionalFormatting>
  <conditionalFormatting sqref="Y24">
    <cfRule type="cellIs" dxfId="2342" priority="747" operator="greaterThan">
      <formula>0</formula>
    </cfRule>
    <cfRule type="cellIs" dxfId="2341" priority="748" operator="lessThan">
      <formula>0</formula>
    </cfRule>
  </conditionalFormatting>
  <conditionalFormatting sqref="X24">
    <cfRule type="cellIs" dxfId="2340" priority="737" operator="lessThan">
      <formula>0</formula>
    </cfRule>
    <cfRule type="cellIs" dxfId="2339" priority="738" operator="lessThan">
      <formula>0</formula>
    </cfRule>
    <cfRule type="cellIs" dxfId="2338" priority="739" operator="lessThan">
      <formula>0</formula>
    </cfRule>
    <cfRule type="cellIs" dxfId="2337" priority="740" operator="lessThan">
      <formula>0</formula>
    </cfRule>
    <cfRule type="cellIs" dxfId="2336" priority="741" operator="lessThan">
      <formula>0</formula>
    </cfRule>
    <cfRule type="cellIs" dxfId="2335" priority="742" operator="greaterThan">
      <formula>0</formula>
    </cfRule>
    <cfRule type="cellIs" dxfId="2334" priority="743" operator="lessThan">
      <formula>0</formula>
    </cfRule>
  </conditionalFormatting>
  <conditionalFormatting sqref="Z79:Z90">
    <cfRule type="cellIs" dxfId="2333" priority="735" operator="lessThan">
      <formula>0</formula>
    </cfRule>
    <cfRule type="cellIs" dxfId="2332" priority="736" operator="greaterThan">
      <formula>0</formula>
    </cfRule>
  </conditionalFormatting>
  <conditionalFormatting sqref="X129:X130">
    <cfRule type="cellIs" dxfId="2331" priority="734" operator="lessThan">
      <formula>0</formula>
    </cfRule>
  </conditionalFormatting>
  <conditionalFormatting sqref="X131:X132">
    <cfRule type="cellIs" dxfId="2330" priority="733" operator="lessThan">
      <formula>0</formula>
    </cfRule>
  </conditionalFormatting>
  <conditionalFormatting sqref="X134:X135">
    <cfRule type="cellIs" dxfId="2329" priority="732" operator="lessThan">
      <formula>0</formula>
    </cfRule>
  </conditionalFormatting>
  <conditionalFormatting sqref="X17:X18">
    <cfRule type="cellIs" dxfId="2328" priority="716" operator="lessThan">
      <formula>0</formula>
    </cfRule>
    <cfRule type="cellIs" dxfId="2327" priority="717" operator="lessThan">
      <formula>0</formula>
    </cfRule>
    <cfRule type="cellIs" dxfId="2326" priority="718" operator="lessThan">
      <formula>0</formula>
    </cfRule>
    <cfRule type="cellIs" dxfId="2325" priority="719" operator="lessThan">
      <formula>0</formula>
    </cfRule>
    <cfRule type="cellIs" dxfId="2324" priority="720" operator="lessThan">
      <formula>0</formula>
    </cfRule>
    <cfRule type="cellIs" dxfId="2323" priority="721" operator="greaterThan">
      <formula>0</formula>
    </cfRule>
    <cfRule type="cellIs" dxfId="2322" priority="722" operator="lessThan">
      <formula>0</formula>
    </cfRule>
  </conditionalFormatting>
  <conditionalFormatting sqref="Y18">
    <cfRule type="cellIs" dxfId="2321" priority="714" operator="greaterThan">
      <formula>0</formula>
    </cfRule>
    <cfRule type="cellIs" dxfId="2320" priority="715" operator="lessThan">
      <formula>0</formula>
    </cfRule>
  </conditionalFormatting>
  <conditionalFormatting sqref="X21:X23">
    <cfRule type="cellIs" dxfId="2319" priority="725" operator="lessThan">
      <formula>0</formula>
    </cfRule>
    <cfRule type="cellIs" dxfId="2318" priority="726" operator="lessThan">
      <formula>0</formula>
    </cfRule>
    <cfRule type="cellIs" dxfId="2317" priority="727" operator="lessThan">
      <formula>0</formula>
    </cfRule>
    <cfRule type="cellIs" dxfId="2316" priority="728" operator="lessThan">
      <formula>0</formula>
    </cfRule>
    <cfRule type="cellIs" dxfId="2315" priority="729" operator="lessThan">
      <formula>0</formula>
    </cfRule>
    <cfRule type="cellIs" dxfId="2314" priority="730" operator="greaterThan">
      <formula>0</formula>
    </cfRule>
    <cfRule type="cellIs" dxfId="2313" priority="731" operator="lessThan">
      <formula>0</formula>
    </cfRule>
  </conditionalFormatting>
  <conditionalFormatting sqref="Y21:Y23">
    <cfRule type="cellIs" dxfId="2312" priority="723" operator="greaterThan">
      <formula>0</formula>
    </cfRule>
    <cfRule type="cellIs" dxfId="2311" priority="724" operator="lessThan">
      <formula>0</formula>
    </cfRule>
  </conditionalFormatting>
  <conditionalFormatting sqref="K36:V42 K44:V46">
    <cfRule type="cellIs" dxfId="2310" priority="712" operator="lessThan">
      <formula>0</formula>
    </cfRule>
    <cfRule type="cellIs" dxfId="2309" priority="713" operator="greaterThan">
      <formula>0.1</formula>
    </cfRule>
  </conditionalFormatting>
  <conditionalFormatting sqref="K47">
    <cfRule type="cellIs" dxfId="2308" priority="710" operator="lessThan">
      <formula>0</formula>
    </cfRule>
    <cfRule type="cellIs" dxfId="2307" priority="711" operator="greaterThan">
      <formula>0.1</formula>
    </cfRule>
  </conditionalFormatting>
  <conditionalFormatting sqref="W36:W42 W44:W46">
    <cfRule type="cellIs" dxfId="2306" priority="708" operator="lessThan">
      <formula>0</formula>
    </cfRule>
    <cfRule type="cellIs" dxfId="2305" priority="709" operator="greaterThan">
      <formula>0.1</formula>
    </cfRule>
  </conditionalFormatting>
  <conditionalFormatting sqref="E1091 E1096 E1100 E1102:E1103 E1105:E1113 E1116:E1151">
    <cfRule type="cellIs" dxfId="2304" priority="707" operator="lessThan">
      <formula>0</formula>
    </cfRule>
  </conditionalFormatting>
  <conditionalFormatting sqref="L36:V38 L40:V42 L44:V46">
    <cfRule type="cellIs" dxfId="2303" priority="705" operator="lessThan">
      <formula>0</formula>
    </cfRule>
    <cfRule type="cellIs" dxfId="2302" priority="706" operator="greaterThan">
      <formula>0.1</formula>
    </cfRule>
  </conditionalFormatting>
  <conditionalFormatting sqref="K39">
    <cfRule type="cellIs" dxfId="2301" priority="701" operator="lessThan">
      <formula>0</formula>
    </cfRule>
    <cfRule type="cellIs" dxfId="2300" priority="702" operator="greaterThan">
      <formula>0.1</formula>
    </cfRule>
    <cfRule type="cellIs" dxfId="2299" priority="703" operator="lessThan">
      <formula>0</formula>
    </cfRule>
    <cfRule type="cellIs" dxfId="2298" priority="704" operator="greaterThan">
      <formula>0.1</formula>
    </cfRule>
  </conditionalFormatting>
  <conditionalFormatting sqref="L39:V39">
    <cfRule type="cellIs" dxfId="2297" priority="697" operator="lessThan">
      <formula>0</formula>
    </cfRule>
    <cfRule type="cellIs" dxfId="2296" priority="698" operator="greaterThan">
      <formula>0.1</formula>
    </cfRule>
    <cfRule type="cellIs" dxfId="2295" priority="699" operator="lessThan">
      <formula>0</formula>
    </cfRule>
    <cfRule type="cellIs" dxfId="2294" priority="700" operator="greaterThan">
      <formula>0.1</formula>
    </cfRule>
  </conditionalFormatting>
  <conditionalFormatting sqref="L47:W47">
    <cfRule type="cellIs" dxfId="2293" priority="695" operator="lessThan">
      <formula>0</formula>
    </cfRule>
    <cfRule type="cellIs" dxfId="2292" priority="696" operator="greaterThan">
      <formula>0.1</formula>
    </cfRule>
  </conditionalFormatting>
  <conditionalFormatting sqref="E1114">
    <cfRule type="cellIs" dxfId="2291" priority="694" operator="lessThan">
      <formula>0</formula>
    </cfRule>
  </conditionalFormatting>
  <conditionalFormatting sqref="E1104">
    <cfRule type="cellIs" dxfId="2290" priority="691" operator="lessThan">
      <formula>0</formula>
    </cfRule>
  </conditionalFormatting>
  <conditionalFormatting sqref="E1101">
    <cfRule type="cellIs" dxfId="2289" priority="690" operator="lessThan">
      <formula>0</formula>
    </cfRule>
  </conditionalFormatting>
  <conditionalFormatting sqref="E1092:E1095">
    <cfRule type="cellIs" dxfId="2288" priority="689" operator="lessThan">
      <formula>0</formula>
    </cfRule>
  </conditionalFormatting>
  <conditionalFormatting sqref="E1097:E1099">
    <cfRule type="cellIs" dxfId="2287" priority="688" operator="lessThan">
      <formula>0</formula>
    </cfRule>
  </conditionalFormatting>
  <conditionalFormatting sqref="E1065">
    <cfRule type="cellIs" dxfId="2286" priority="687" operator="lessThan">
      <formula>0</formula>
    </cfRule>
  </conditionalFormatting>
  <conditionalFormatting sqref="E1058:E1059">
    <cfRule type="cellIs" dxfId="2285" priority="686" operator="lessThan">
      <formula>0</formula>
    </cfRule>
  </conditionalFormatting>
  <conditionalFormatting sqref="E1003:E1222">
    <cfRule type="cellIs" dxfId="2284" priority="684" operator="lessThan">
      <formula>0</formula>
    </cfRule>
  </conditionalFormatting>
  <conditionalFormatting sqref="E984:E985">
    <cfRule type="cellIs" dxfId="2283" priority="682" operator="lessThan">
      <formula>0</formula>
    </cfRule>
    <cfRule type="cellIs" dxfId="2282" priority="683" operator="lessThan">
      <formula>0</formula>
    </cfRule>
  </conditionalFormatting>
  <conditionalFormatting sqref="E971">
    <cfRule type="cellIs" dxfId="2281" priority="664" operator="lessThan">
      <formula>0</formula>
    </cfRule>
  </conditionalFormatting>
  <conditionalFormatting sqref="E970">
    <cfRule type="cellIs" dxfId="2280" priority="663" operator="lessThan">
      <formula>0</formula>
    </cfRule>
  </conditionalFormatting>
  <conditionalFormatting sqref="E967">
    <cfRule type="cellIs" dxfId="2279" priority="661" operator="lessThan">
      <formula>0</formula>
    </cfRule>
    <cfRule type="cellIs" dxfId="2278" priority="662" operator="lessThan">
      <formula>0</formula>
    </cfRule>
  </conditionalFormatting>
  <conditionalFormatting sqref="E960">
    <cfRule type="cellIs" dxfId="2277" priority="660" operator="lessThan">
      <formula>0</formula>
    </cfRule>
  </conditionalFormatting>
  <conditionalFormatting sqref="Y36:Y42 Y44:Y47">
    <cfRule type="cellIs" dxfId="2276" priority="658" operator="greaterThan">
      <formula>0</formula>
    </cfRule>
    <cfRule type="cellIs" dxfId="2275" priority="659" operator="lessThan">
      <formula>0</formula>
    </cfRule>
  </conditionalFormatting>
  <conditionalFormatting sqref="E950">
    <cfRule type="cellIs" dxfId="2274" priority="656" operator="lessThan">
      <formula>0</formula>
    </cfRule>
    <cfRule type="cellIs" dxfId="2273" priority="657" operator="lessThan">
      <formula>0</formula>
    </cfRule>
  </conditionalFormatting>
  <conditionalFormatting sqref="E947:E949">
    <cfRule type="cellIs" dxfId="2272" priority="654" operator="lessThan">
      <formula>0</formula>
    </cfRule>
    <cfRule type="cellIs" dxfId="2271" priority="655" operator="lessThan">
      <formula>0</formula>
    </cfRule>
  </conditionalFormatting>
  <conditionalFormatting sqref="E934">
    <cfRule type="cellIs" dxfId="2270" priority="653" operator="lessThan">
      <formula>0</formula>
    </cfRule>
  </conditionalFormatting>
  <conditionalFormatting sqref="E927">
    <cfRule type="cellIs" dxfId="2269" priority="651" operator="lessThan">
      <formula>0</formula>
    </cfRule>
    <cfRule type="cellIs" dxfId="2268" priority="652" operator="lessThan">
      <formula>0</formula>
    </cfRule>
  </conditionalFormatting>
  <conditionalFormatting sqref="Z26">
    <cfRule type="cellIs" dxfId="2267" priority="649" operator="greaterThan">
      <formula>0</formula>
    </cfRule>
    <cfRule type="cellIs" dxfId="2266" priority="650" operator="lessThan">
      <formula>0</formula>
    </cfRule>
  </conditionalFormatting>
  <conditionalFormatting sqref="E920:E921">
    <cfRule type="cellIs" dxfId="2265" priority="647" operator="lessThan">
      <formula>0</formula>
    </cfRule>
    <cfRule type="cellIs" dxfId="2264" priority="648" operator="lessThan">
      <formula>0</formula>
    </cfRule>
  </conditionalFormatting>
  <conditionalFormatting sqref="X6:X16">
    <cfRule type="cellIs" dxfId="2263" priority="68" operator="lessThan">
      <formula>0</formula>
    </cfRule>
    <cfRule type="cellIs" dxfId="2262" priority="76" operator="lessThan">
      <formula>0</formula>
    </cfRule>
    <cfRule type="cellIs" dxfId="2261" priority="87" operator="lessThan">
      <formula>0</formula>
    </cfRule>
    <cfRule type="cellIs" dxfId="2260" priority="98" operator="lessThan">
      <formula>0</formula>
    </cfRule>
    <cfRule type="cellIs" dxfId="2259" priority="124" operator="lessThan">
      <formula>0</formula>
    </cfRule>
    <cfRule type="cellIs" dxfId="2258" priority="196" operator="lessThan">
      <formula>0</formula>
    </cfRule>
    <cfRule type="cellIs" dxfId="2257" priority="449" operator="lessThan">
      <formula>0</formula>
    </cfRule>
    <cfRule type="cellIs" dxfId="2256" priority="481" operator="lessThan">
      <formula>0</formula>
    </cfRule>
    <cfRule type="cellIs" dxfId="2255" priority="486" operator="lessThan">
      <formula>0</formula>
    </cfRule>
    <cfRule type="cellIs" dxfId="2254" priority="510" operator="lessThan">
      <formula>0</formula>
    </cfRule>
    <cfRule type="cellIs" dxfId="2253" priority="525" operator="lessThan">
      <formula>0</formula>
    </cfRule>
    <cfRule type="cellIs" dxfId="2252" priority="534" operator="lessThan">
      <formula>0</formula>
    </cfRule>
    <cfRule type="cellIs" dxfId="2251" priority="547" operator="lessThan">
      <formula>0</formula>
    </cfRule>
    <cfRule type="cellIs" dxfId="2250" priority="554" operator="lessThan">
      <formula>0</formula>
    </cfRule>
    <cfRule type="cellIs" dxfId="2249" priority="557" operator="lessThan">
      <formula>0</formula>
    </cfRule>
    <cfRule type="cellIs" dxfId="2248" priority="569" operator="lessThan">
      <formula>0</formula>
    </cfRule>
    <cfRule type="cellIs" dxfId="2247" priority="583" operator="lessThan">
      <formula>0</formula>
    </cfRule>
    <cfRule type="cellIs" dxfId="2246" priority="585" operator="lessThan">
      <formula>0</formula>
    </cfRule>
    <cfRule type="cellIs" dxfId="2245" priority="592" operator="lessThan">
      <formula>0</formula>
    </cfRule>
    <cfRule type="cellIs" dxfId="2244" priority="595" operator="lessThan">
      <formula>0</formula>
    </cfRule>
    <cfRule type="cellIs" dxfId="2243" priority="601" operator="lessThan">
      <formula>0</formula>
    </cfRule>
    <cfRule type="cellIs" dxfId="2242" priority="636" operator="lessThan">
      <formula>0</formula>
    </cfRule>
    <cfRule type="cellIs" dxfId="2241" priority="646" operator="lessThan">
      <formula>0</formula>
    </cfRule>
  </conditionalFormatting>
  <conditionalFormatting sqref="E914">
    <cfRule type="cellIs" dxfId="2240" priority="645" operator="lessThan">
      <formula>0</formula>
    </cfRule>
  </conditionalFormatting>
  <conditionalFormatting sqref="E915">
    <cfRule type="cellIs" dxfId="2239" priority="644" operator="lessThan">
      <formula>0</formula>
    </cfRule>
  </conditionalFormatting>
  <conditionalFormatting sqref="E907">
    <cfRule type="cellIs" dxfId="2238" priority="643" operator="lessThan">
      <formula>0</formula>
    </cfRule>
  </conditionalFormatting>
  <conditionalFormatting sqref="E843:E845 E847:E853 E859:E863 E866 E869:E874 E882:E885 E888:E894 E896:E902 E905:E906 I841">
    <cfRule type="cellIs" dxfId="2237" priority="642" operator="lessThan">
      <formula>0</formula>
    </cfRule>
  </conditionalFormatting>
  <conditionalFormatting sqref="E904">
    <cfRule type="cellIs" dxfId="2236" priority="641" operator="lessThan">
      <formula>0</formula>
    </cfRule>
  </conditionalFormatting>
  <conditionalFormatting sqref="E903">
    <cfRule type="cellIs" dxfId="2235" priority="640" operator="lessThan">
      <formula>0</formula>
    </cfRule>
  </conditionalFormatting>
  <conditionalFormatting sqref="E895">
    <cfRule type="cellIs" dxfId="2234" priority="639" operator="lessThan">
      <formula>0</formula>
    </cfRule>
  </conditionalFormatting>
  <conditionalFormatting sqref="E887">
    <cfRule type="cellIs" dxfId="2233" priority="638" operator="lessThan">
      <formula>0</formula>
    </cfRule>
  </conditionalFormatting>
  <conditionalFormatting sqref="E886">
    <cfRule type="cellIs" dxfId="2232" priority="637" operator="lessThan">
      <formula>0</formula>
    </cfRule>
  </conditionalFormatting>
  <conditionalFormatting sqref="J880:J881">
    <cfRule type="cellIs" dxfId="2231" priority="633" operator="lessThan">
      <formula>0</formula>
    </cfRule>
    <cfRule type="cellIs" dxfId="2230" priority="634" operator="lessThan">
      <formula>0</formula>
    </cfRule>
  </conditionalFormatting>
  <conditionalFormatting sqref="J875:J879">
    <cfRule type="cellIs" dxfId="2229" priority="635" operator="lessThan">
      <formula>0</formula>
    </cfRule>
  </conditionalFormatting>
  <conditionalFormatting sqref="E875:E879">
    <cfRule type="cellIs" dxfId="2228" priority="632" operator="lessThan">
      <formula>0</formula>
    </cfRule>
  </conditionalFormatting>
  <conditionalFormatting sqref="E880:E881">
    <cfRule type="cellIs" dxfId="2227" priority="630" operator="lessThan">
      <formula>0</formula>
    </cfRule>
    <cfRule type="cellIs" dxfId="2226" priority="631" operator="lessThan">
      <formula>0</formula>
    </cfRule>
  </conditionalFormatting>
  <conditionalFormatting sqref="E867">
    <cfRule type="cellIs" dxfId="2225" priority="629" operator="lessThan">
      <formula>0</formula>
    </cfRule>
  </conditionalFormatting>
  <conditionalFormatting sqref="E865">
    <cfRule type="cellIs" dxfId="2224" priority="628" operator="lessThan">
      <formula>0</formula>
    </cfRule>
  </conditionalFormatting>
  <conditionalFormatting sqref="E864">
    <cfRule type="cellIs" dxfId="2223" priority="627" operator="lessThan">
      <formula>0</formula>
    </cfRule>
  </conditionalFormatting>
  <conditionalFormatting sqref="E858">
    <cfRule type="cellIs" dxfId="2222" priority="626" operator="lessThan">
      <formula>0</formula>
    </cfRule>
  </conditionalFormatting>
  <conditionalFormatting sqref="E857">
    <cfRule type="cellIs" dxfId="2221" priority="625" operator="lessThan">
      <formula>0</formula>
    </cfRule>
  </conditionalFormatting>
  <conditionalFormatting sqref="E856">
    <cfRule type="cellIs" dxfId="2220" priority="624" operator="lessThan">
      <formula>0</formula>
    </cfRule>
  </conditionalFormatting>
  <conditionalFormatting sqref="E854:E855">
    <cfRule type="cellIs" dxfId="2219" priority="623" operator="lessThan">
      <formula>0</formula>
    </cfRule>
  </conditionalFormatting>
  <conditionalFormatting sqref="E846">
    <cfRule type="cellIs" dxfId="2218" priority="622" operator="lessThan">
      <formula>0</formula>
    </cfRule>
  </conditionalFormatting>
  <conditionalFormatting sqref="X6:X15">
    <cfRule type="cellIs" dxfId="2217" priority="24" operator="lessThan">
      <formula>0</formula>
    </cfRule>
    <cfRule type="cellIs" dxfId="2216" priority="52" operator="lessThan">
      <formula>0</formula>
    </cfRule>
    <cfRule type="cellIs" dxfId="2215" priority="154" operator="lessThan">
      <formula>0</formula>
    </cfRule>
    <cfRule type="cellIs" dxfId="2214" priority="217" operator="lessThan">
      <formula>0</formula>
    </cfRule>
    <cfRule type="cellIs" dxfId="2213" priority="227" operator="lessThan">
      <formula>0</formula>
    </cfRule>
    <cfRule type="cellIs" dxfId="2212" priority="431" operator="lessThan">
      <formula>0</formula>
    </cfRule>
    <cfRule type="cellIs" dxfId="2211" priority="432" operator="lessThan">
      <formula>0</formula>
    </cfRule>
    <cfRule type="cellIs" dxfId="2210" priority="498" operator="lessThan">
      <formula>0</formula>
    </cfRule>
    <cfRule type="cellIs" dxfId="2209" priority="568" operator="lessThan">
      <formula>0</formula>
    </cfRule>
    <cfRule type="cellIs" dxfId="2208" priority="591" operator="lessThan">
      <formula>0</formula>
    </cfRule>
    <cfRule type="cellIs" dxfId="2207" priority="621" operator="lessThan">
      <formula>0</formula>
    </cfRule>
  </conditionalFormatting>
  <conditionalFormatting sqref="X15">
    <cfRule type="cellIs" dxfId="2206" priority="620" operator="lessThan">
      <formula>0</formula>
    </cfRule>
  </conditionalFormatting>
  <conditionalFormatting sqref="I842:I843">
    <cfRule type="cellIs" dxfId="2205" priority="616" operator="lessThan">
      <formula>0</formula>
    </cfRule>
    <cfRule type="cellIs" dxfId="2204" priority="617" operator="lessThan">
      <formula>0</formula>
    </cfRule>
  </conditionalFormatting>
  <conditionalFormatting sqref="E840">
    <cfRule type="cellIs" dxfId="2203" priority="615" operator="lessThan">
      <formula>0</formula>
    </cfRule>
  </conditionalFormatting>
  <conditionalFormatting sqref="E841:E842">
    <cfRule type="cellIs" dxfId="2202" priority="613" operator="lessThan">
      <formula>0</formula>
    </cfRule>
    <cfRule type="cellIs" dxfId="2201" priority="614" operator="lessThan">
      <formula>0</formula>
    </cfRule>
  </conditionalFormatting>
  <conditionalFormatting sqref="E831:E832">
    <cfRule type="cellIs" dxfId="2200" priority="612" operator="lessThan">
      <formula>0</formula>
    </cfRule>
  </conditionalFormatting>
  <conditionalFormatting sqref="K17:V17">
    <cfRule type="cellIs" dxfId="2199" priority="609" operator="greaterThan">
      <formula>0.81</formula>
    </cfRule>
    <cfRule type="cellIs" dxfId="2198" priority="610" operator="between">
      <formula>0.301</formula>
      <formula>0.8</formula>
    </cfRule>
    <cfRule type="cellIs" dxfId="2197" priority="611" operator="lessThan">
      <formula>0.3</formula>
    </cfRule>
  </conditionalFormatting>
  <conditionalFormatting sqref="K26:W26">
    <cfRule type="cellIs" dxfId="2196" priority="607" operator="lessThan">
      <formula>0</formula>
    </cfRule>
    <cfRule type="cellIs" dxfId="2195" priority="608" operator="greaterThan">
      <formula>0.0001</formula>
    </cfRule>
  </conditionalFormatting>
  <conditionalFormatting sqref="Q17">
    <cfRule type="cellIs" dxfId="2194" priority="604" operator="greaterThan">
      <formula>0.75</formula>
    </cfRule>
    <cfRule type="cellIs" dxfId="2193" priority="605" operator="between">
      <formula>0.301</formula>
      <formula>0.7499</formula>
    </cfRule>
    <cfRule type="cellIs" dxfId="2192" priority="606" operator="lessThan">
      <formula>0.3</formula>
    </cfRule>
  </conditionalFormatting>
  <conditionalFormatting sqref="E812:E813">
    <cfRule type="cellIs" dxfId="2191" priority="602" operator="lessThan">
      <formula>0</formula>
    </cfRule>
    <cfRule type="cellIs" dxfId="2190" priority="603" operator="lessThan">
      <formula>0</formula>
    </cfRule>
  </conditionalFormatting>
  <conditionalFormatting sqref="Y26">
    <cfRule type="cellIs" dxfId="2189" priority="599" operator="lessThan">
      <formula>0</formula>
    </cfRule>
    <cfRule type="cellIs" dxfId="2188" priority="600" operator="greaterThan">
      <formula>0</formula>
    </cfRule>
  </conditionalFormatting>
  <conditionalFormatting sqref="E800">
    <cfRule type="cellIs" dxfId="2187" priority="598" operator="lessThan">
      <formula>0</formula>
    </cfRule>
  </conditionalFormatting>
  <conditionalFormatting sqref="E783:E784">
    <cfRule type="cellIs" dxfId="2186" priority="596" operator="lessThan">
      <formula>0</formula>
    </cfRule>
    <cfRule type="cellIs" dxfId="2185" priority="597" operator="lessThan">
      <formula>0</formula>
    </cfRule>
  </conditionalFormatting>
  <conditionalFormatting sqref="E748:E749">
    <cfRule type="cellIs" dxfId="2184" priority="593" operator="lessThan">
      <formula>0</formula>
    </cfRule>
    <cfRule type="cellIs" dxfId="2183" priority="594" operator="lessThan">
      <formula>0</formula>
    </cfRule>
  </conditionalFormatting>
  <conditionalFormatting sqref="E708:E709">
    <cfRule type="cellIs" dxfId="2182" priority="588" operator="lessThan">
      <formula>0</formula>
    </cfRule>
    <cfRule type="cellIs" dxfId="2181" priority="589" operator="lessThan">
      <formula>0</formula>
    </cfRule>
  </conditionalFormatting>
  <conditionalFormatting sqref="E671:E672">
    <cfRule type="cellIs" dxfId="2180" priority="586" operator="lessThan">
      <formula>0</formula>
    </cfRule>
    <cfRule type="cellIs" dxfId="2179" priority="587" operator="lessThan">
      <formula>0</formula>
    </cfRule>
  </conditionalFormatting>
  <conditionalFormatting sqref="X115:X121">
    <cfRule type="cellIs" dxfId="2178" priority="584" operator="lessThan">
      <formula>0</formula>
    </cfRule>
  </conditionalFormatting>
  <conditionalFormatting sqref="E624:E625">
    <cfRule type="cellIs" dxfId="2177" priority="581" operator="lessThan">
      <formula>0</formula>
    </cfRule>
    <cfRule type="cellIs" dxfId="2176" priority="582" operator="lessThan">
      <formula>0</formula>
    </cfRule>
  </conditionalFormatting>
  <conditionalFormatting sqref="E586:E587">
    <cfRule type="cellIs" dxfId="2175" priority="579" operator="lessThan">
      <formula>0</formula>
    </cfRule>
    <cfRule type="cellIs" dxfId="2174" priority="580" operator="lessThan">
      <formula>0</formula>
    </cfRule>
  </conditionalFormatting>
  <conditionalFormatting sqref="X20">
    <cfRule type="cellIs" dxfId="2173" priority="572" operator="lessThan">
      <formula>0</formula>
    </cfRule>
    <cfRule type="cellIs" dxfId="2172" priority="573" operator="lessThan">
      <formula>0</formula>
    </cfRule>
    <cfRule type="cellIs" dxfId="2171" priority="574" operator="lessThan">
      <formula>0</formula>
    </cfRule>
    <cfRule type="cellIs" dxfId="2170" priority="575" operator="lessThan">
      <formula>0</formula>
    </cfRule>
    <cfRule type="cellIs" dxfId="2169" priority="576" operator="lessThan">
      <formula>0</formula>
    </cfRule>
    <cfRule type="cellIs" dxfId="2168" priority="577" operator="greaterThan">
      <formula>0</formula>
    </cfRule>
    <cfRule type="cellIs" dxfId="2167" priority="578" operator="lessThan">
      <formula>0</formula>
    </cfRule>
  </conditionalFormatting>
  <conditionalFormatting sqref="Y20">
    <cfRule type="cellIs" dxfId="2166" priority="570" operator="greaterThan">
      <formula>0</formula>
    </cfRule>
    <cfRule type="cellIs" dxfId="2165" priority="571" operator="lessThan">
      <formula>0</formula>
    </cfRule>
  </conditionalFormatting>
  <conditionalFormatting sqref="X94:X101">
    <cfRule type="cellIs" dxfId="2164" priority="561" operator="lessThan">
      <formula>0</formula>
    </cfRule>
  </conditionalFormatting>
  <conditionalFormatting sqref="K5:V16">
    <cfRule type="cellIs" dxfId="2163" priority="560" operator="lessThan">
      <formula>0</formula>
    </cfRule>
  </conditionalFormatting>
  <conditionalFormatting sqref="Z6:Z16">
    <cfRule type="cellIs" dxfId="2162" priority="555" operator="greaterThan">
      <formula>0</formula>
    </cfRule>
    <cfRule type="cellIs" dxfId="2161" priority="556" operator="lessThan">
      <formula>0</formula>
    </cfRule>
  </conditionalFormatting>
  <conditionalFormatting sqref="E53">
    <cfRule type="cellIs" dxfId="2160" priority="551" operator="lessThan">
      <formula>0</formula>
    </cfRule>
  </conditionalFormatting>
  <conditionalFormatting sqref="K20:V25">
    <cfRule type="aboveAverage" dxfId="2159" priority="546"/>
  </conditionalFormatting>
  <conditionalFormatting sqref="E40">
    <cfRule type="cellIs" dxfId="2158" priority="524" operator="lessThan">
      <formula>0</formula>
    </cfRule>
  </conditionalFormatting>
  <conditionalFormatting sqref="E23">
    <cfRule type="cellIs" dxfId="2157" priority="523" operator="lessThan">
      <formula>0</formula>
    </cfRule>
  </conditionalFormatting>
  <conditionalFormatting sqref="E65">
    <cfRule type="cellIs" dxfId="2156" priority="504" operator="lessThan">
      <formula>0</formula>
    </cfRule>
  </conditionalFormatting>
  <conditionalFormatting sqref="E66">
    <cfRule type="cellIs" dxfId="2155" priority="502" operator="lessThan">
      <formula>0</formula>
    </cfRule>
  </conditionalFormatting>
  <conditionalFormatting sqref="X36:X42 X44:X47">
    <cfRule type="cellIs" dxfId="2154" priority="478" operator="greaterThan">
      <formula>0</formula>
    </cfRule>
    <cfRule type="cellIs" dxfId="2153" priority="479" operator="greaterThan">
      <formula>0</formula>
    </cfRule>
    <cfRule type="cellIs" dxfId="2152" priority="480" operator="lessThan">
      <formula>0</formula>
    </cfRule>
  </conditionalFormatting>
  <conditionalFormatting sqref="K19:V19">
    <cfRule type="aboveAverage" dxfId="2151" priority="459"/>
  </conditionalFormatting>
  <conditionalFormatting sqref="X19">
    <cfRule type="cellIs" dxfId="2150" priority="452" operator="lessThan">
      <formula>0</formula>
    </cfRule>
    <cfRule type="cellIs" dxfId="2149" priority="453" operator="lessThan">
      <formula>0</formula>
    </cfRule>
    <cfRule type="cellIs" dxfId="2148" priority="454" operator="lessThan">
      <formula>0</formula>
    </cfRule>
    <cfRule type="cellIs" dxfId="2147" priority="455" operator="lessThan">
      <formula>0</formula>
    </cfRule>
    <cfRule type="cellIs" dxfId="2146" priority="456" operator="lessThan">
      <formula>0</formula>
    </cfRule>
    <cfRule type="cellIs" dxfId="2145" priority="457" operator="greaterThan">
      <formula>0</formula>
    </cfRule>
    <cfRule type="cellIs" dxfId="2144" priority="458" operator="lessThan">
      <formula>0</formula>
    </cfRule>
  </conditionalFormatting>
  <conditionalFormatting sqref="Y19">
    <cfRule type="cellIs" dxfId="2143" priority="450" operator="greaterThan">
      <formula>0</formula>
    </cfRule>
    <cfRule type="cellIs" dxfId="2142" priority="451" operator="lessThan">
      <formula>0</formula>
    </cfRule>
  </conditionalFormatting>
  <conditionalFormatting sqref="K43:W43">
    <cfRule type="cellIs" dxfId="2141" priority="445" operator="lessThan">
      <formula>0</formula>
    </cfRule>
    <cfRule type="cellIs" dxfId="2140" priority="446" operator="greaterThan">
      <formula>0.1</formula>
    </cfRule>
  </conditionalFormatting>
  <conditionalFormatting sqref="E569:E570">
    <cfRule type="cellIs" dxfId="2139" priority="444" operator="lessThan">
      <formula>0</formula>
    </cfRule>
  </conditionalFormatting>
  <conditionalFormatting sqref="E567:E568">
    <cfRule type="cellIs" dxfId="2138" priority="443" operator="lessThan">
      <formula>0</formula>
    </cfRule>
  </conditionalFormatting>
  <conditionalFormatting sqref="E25">
    <cfRule type="cellIs" dxfId="2137" priority="442" operator="lessThan">
      <formula>0</formula>
    </cfRule>
  </conditionalFormatting>
  <conditionalFormatting sqref="E26:E31">
    <cfRule type="cellIs" dxfId="2136" priority="440" operator="lessThan">
      <formula>0</formula>
    </cfRule>
  </conditionalFormatting>
  <conditionalFormatting sqref="Y43">
    <cfRule type="cellIs" dxfId="2135" priority="438" operator="greaterThan">
      <formula>0</formula>
    </cfRule>
    <cfRule type="cellIs" dxfId="2134" priority="439" operator="lessThan">
      <formula>0</formula>
    </cfRule>
  </conditionalFormatting>
  <conditionalFormatting sqref="X43">
    <cfRule type="cellIs" dxfId="2133" priority="435" operator="greaterThan">
      <formula>0</formula>
    </cfRule>
    <cfRule type="cellIs" dxfId="2132" priority="436" operator="greaterThan">
      <formula>0</formula>
    </cfRule>
    <cfRule type="cellIs" dxfId="2131" priority="437" operator="lessThan">
      <formula>0</formula>
    </cfRule>
  </conditionalFormatting>
  <conditionalFormatting sqref="E553">
    <cfRule type="cellIs" dxfId="2130" priority="434" operator="lessThan">
      <formula>0</formula>
    </cfRule>
  </conditionalFormatting>
  <conditionalFormatting sqref="E539:E540">
    <cfRule type="cellIs" dxfId="2129" priority="433" operator="lessThan">
      <formula>0</formula>
    </cfRule>
  </conditionalFormatting>
  <conditionalFormatting sqref="K50">
    <cfRule type="cellIs" dxfId="2128" priority="276" operator="lessThan">
      <formula>0</formula>
    </cfRule>
  </conditionalFormatting>
  <conditionalFormatting sqref="K51">
    <cfRule type="cellIs" dxfId="2127" priority="275" operator="lessThan">
      <formula>0</formula>
    </cfRule>
  </conditionalFormatting>
  <conditionalFormatting sqref="K52:K60">
    <cfRule type="cellIs" dxfId="2126" priority="274" operator="lessThan">
      <formula>0</formula>
    </cfRule>
  </conditionalFormatting>
  <conditionalFormatting sqref="L50:V50">
    <cfRule type="cellIs" dxfId="2125" priority="273" operator="lessThan">
      <formula>0</formula>
    </cfRule>
  </conditionalFormatting>
  <conditionalFormatting sqref="L51:L60">
    <cfRule type="cellIs" dxfId="2124" priority="272" operator="lessThan">
      <formula>0</formula>
    </cfRule>
  </conditionalFormatting>
  <conditionalFormatting sqref="M51:M60">
    <cfRule type="cellIs" dxfId="2123" priority="271" operator="lessThan">
      <formula>0</formula>
    </cfRule>
  </conditionalFormatting>
  <conditionalFormatting sqref="N51:N60">
    <cfRule type="cellIs" dxfId="2122" priority="270" operator="lessThan">
      <formula>0</formula>
    </cfRule>
  </conditionalFormatting>
  <conditionalFormatting sqref="O51:O60">
    <cfRule type="cellIs" dxfId="2121" priority="269" operator="lessThan">
      <formula>0</formula>
    </cfRule>
  </conditionalFormatting>
  <conditionalFormatting sqref="P51:P60">
    <cfRule type="cellIs" dxfId="2120" priority="268" operator="lessThan">
      <formula>0</formula>
    </cfRule>
  </conditionalFormatting>
  <conditionalFormatting sqref="Q51:Q60">
    <cfRule type="cellIs" dxfId="2119" priority="267" operator="lessThan">
      <formula>0</formula>
    </cfRule>
  </conditionalFormatting>
  <conditionalFormatting sqref="R51:R60">
    <cfRule type="cellIs" dxfId="2118" priority="266" operator="lessThan">
      <formula>0</formula>
    </cfRule>
  </conditionalFormatting>
  <conditionalFormatting sqref="S51:S60">
    <cfRule type="cellIs" dxfId="2117" priority="265" operator="lessThan">
      <formula>0</formula>
    </cfRule>
  </conditionalFormatting>
  <conditionalFormatting sqref="T51:T60">
    <cfRule type="cellIs" dxfId="2116" priority="264" operator="lessThan">
      <formula>0</formula>
    </cfRule>
  </conditionalFormatting>
  <conditionalFormatting sqref="U51:U60">
    <cfRule type="cellIs" dxfId="2115" priority="263" operator="lessThan">
      <formula>0</formula>
    </cfRule>
  </conditionalFormatting>
  <conditionalFormatting sqref="V51:V60">
    <cfRule type="cellIs" dxfId="2114" priority="262" operator="lessThan">
      <formula>0</formula>
    </cfRule>
  </conditionalFormatting>
  <conditionalFormatting sqref="K93">
    <cfRule type="cellIs" dxfId="2113" priority="261" operator="lessThan">
      <formula>0</formula>
    </cfRule>
  </conditionalFormatting>
  <conditionalFormatting sqref="K94:K101">
    <cfRule type="cellIs" dxfId="2112" priority="260" operator="lessThan">
      <formula>0</formula>
    </cfRule>
  </conditionalFormatting>
  <conditionalFormatting sqref="L93:V93">
    <cfRule type="cellIs" dxfId="2111" priority="259" operator="lessThan">
      <formula>0</formula>
    </cfRule>
  </conditionalFormatting>
  <conditionalFormatting sqref="L94:L101">
    <cfRule type="cellIs" dxfId="2110" priority="258" operator="lessThan">
      <formula>0</formula>
    </cfRule>
  </conditionalFormatting>
  <conditionalFormatting sqref="M94:M101">
    <cfRule type="cellIs" dxfId="2109" priority="257" operator="lessThan">
      <formula>0</formula>
    </cfRule>
  </conditionalFormatting>
  <conditionalFormatting sqref="N94:N101">
    <cfRule type="cellIs" dxfId="2108" priority="256" operator="lessThan">
      <formula>0</formula>
    </cfRule>
  </conditionalFormatting>
  <conditionalFormatting sqref="O94:O101">
    <cfRule type="cellIs" dxfId="2107" priority="255" operator="lessThan">
      <formula>0</formula>
    </cfRule>
  </conditionalFormatting>
  <conditionalFormatting sqref="P94:P101">
    <cfRule type="cellIs" dxfId="2106" priority="254" operator="lessThan">
      <formula>0</formula>
    </cfRule>
  </conditionalFormatting>
  <conditionalFormatting sqref="Q94:Q101">
    <cfRule type="cellIs" dxfId="2105" priority="253" operator="lessThan">
      <formula>0</formula>
    </cfRule>
  </conditionalFormatting>
  <conditionalFormatting sqref="R94:R101">
    <cfRule type="cellIs" dxfId="2104" priority="252" operator="lessThan">
      <formula>0</formula>
    </cfRule>
  </conditionalFormatting>
  <conditionalFormatting sqref="S94:S101">
    <cfRule type="cellIs" dxfId="2103" priority="251" operator="lessThan">
      <formula>0</formula>
    </cfRule>
  </conditionalFormatting>
  <conditionalFormatting sqref="T94:T101">
    <cfRule type="cellIs" dxfId="2102" priority="250" operator="lessThan">
      <formula>0</formula>
    </cfRule>
  </conditionalFormatting>
  <conditionalFormatting sqref="U94:U101">
    <cfRule type="cellIs" dxfId="2101" priority="249" operator="lessThan">
      <formula>0</formula>
    </cfRule>
  </conditionalFormatting>
  <conditionalFormatting sqref="V94:V101">
    <cfRule type="cellIs" dxfId="2100" priority="248" operator="lessThan">
      <formula>0</formula>
    </cfRule>
  </conditionalFormatting>
  <conditionalFormatting sqref="K115">
    <cfRule type="cellIs" dxfId="2099" priority="246" operator="lessThan">
      <formula>0</formula>
    </cfRule>
  </conditionalFormatting>
  <conditionalFormatting sqref="K116:K120">
    <cfRule type="cellIs" dxfId="2098" priority="245" operator="lessThan">
      <formula>0</formula>
    </cfRule>
  </conditionalFormatting>
  <conditionalFormatting sqref="K114">
    <cfRule type="cellIs" dxfId="2097" priority="244" operator="lessThan">
      <formula>0</formula>
    </cfRule>
  </conditionalFormatting>
  <conditionalFormatting sqref="L114:V114">
    <cfRule type="cellIs" dxfId="2096" priority="243" operator="lessThan">
      <formula>0</formula>
    </cfRule>
  </conditionalFormatting>
  <conditionalFormatting sqref="L115:L120">
    <cfRule type="cellIs" dxfId="2095" priority="242" operator="lessThan">
      <formula>0</formula>
    </cfRule>
  </conditionalFormatting>
  <conditionalFormatting sqref="M115:M120">
    <cfRule type="cellIs" dxfId="2094" priority="241" operator="lessThan">
      <formula>0</formula>
    </cfRule>
  </conditionalFormatting>
  <conditionalFormatting sqref="N115:N120">
    <cfRule type="cellIs" dxfId="2093" priority="240" operator="lessThan">
      <formula>0</formula>
    </cfRule>
  </conditionalFormatting>
  <conditionalFormatting sqref="O115:O120">
    <cfRule type="cellIs" dxfId="2092" priority="239" operator="lessThan">
      <formula>0</formula>
    </cfRule>
  </conditionalFormatting>
  <conditionalFormatting sqref="P115:P120">
    <cfRule type="cellIs" dxfId="2091" priority="238" operator="lessThan">
      <formula>0</formula>
    </cfRule>
  </conditionalFormatting>
  <conditionalFormatting sqref="Q115:Q120">
    <cfRule type="cellIs" dxfId="2090" priority="237" operator="lessThan">
      <formula>0</formula>
    </cfRule>
  </conditionalFormatting>
  <conditionalFormatting sqref="R115:R120">
    <cfRule type="cellIs" dxfId="2089" priority="236" operator="lessThan">
      <formula>0</formula>
    </cfRule>
  </conditionalFormatting>
  <conditionalFormatting sqref="S115:S120">
    <cfRule type="cellIs" dxfId="2088" priority="235" operator="lessThan">
      <formula>0</formula>
    </cfRule>
  </conditionalFormatting>
  <conditionalFormatting sqref="T115:T120">
    <cfRule type="cellIs" dxfId="2087" priority="234" operator="lessThan">
      <formula>0</formula>
    </cfRule>
  </conditionalFormatting>
  <conditionalFormatting sqref="U115:U120">
    <cfRule type="cellIs" dxfId="2086" priority="233" operator="lessThan">
      <formula>0</formula>
    </cfRule>
  </conditionalFormatting>
  <conditionalFormatting sqref="V115:V120">
    <cfRule type="cellIs" dxfId="2085" priority="232" operator="lessThan">
      <formula>0</formula>
    </cfRule>
  </conditionalFormatting>
  <conditionalFormatting sqref="L130:V130">
    <cfRule type="cellIs" dxfId="2084" priority="231" operator="lessThan">
      <formula>0</formula>
    </cfRule>
  </conditionalFormatting>
  <conditionalFormatting sqref="E530">
    <cfRule type="cellIs" dxfId="2083" priority="228" operator="lessThan">
      <formula>0</formula>
    </cfRule>
    <cfRule type="cellIs" dxfId="2082" priority="229" operator="lessThan">
      <formula>0</formula>
    </cfRule>
    <cfRule type="cellIs" dxfId="2081" priority="230" operator="lessThan">
      <formula>0</formula>
    </cfRule>
  </conditionalFormatting>
  <conditionalFormatting sqref="E525">
    <cfRule type="cellIs" dxfId="2080" priority="226" operator="lessThan">
      <formula>0</formula>
    </cfRule>
  </conditionalFormatting>
  <conditionalFormatting sqref="E524">
    <cfRule type="cellIs" dxfId="2079" priority="225" operator="lessThan">
      <formula>0</formula>
    </cfRule>
  </conditionalFormatting>
  <conditionalFormatting sqref="E24">
    <cfRule type="cellIs" dxfId="2078" priority="224" operator="lessThan">
      <formula>0</formula>
    </cfRule>
  </conditionalFormatting>
  <conditionalFormatting sqref="E521">
    <cfRule type="cellIs" dxfId="2077" priority="223" operator="lessThan">
      <formula>0</formula>
    </cfRule>
  </conditionalFormatting>
  <conditionalFormatting sqref="E516">
    <cfRule type="cellIs" dxfId="2076" priority="222" operator="lessThan">
      <formula>0</formula>
    </cfRule>
  </conditionalFormatting>
  <conditionalFormatting sqref="E489">
    <cfRule type="cellIs" dxfId="2075" priority="218" operator="lessThan">
      <formula>0</formula>
    </cfRule>
    <cfRule type="cellIs" dxfId="2074" priority="219" operator="lessThan">
      <formula>0</formula>
    </cfRule>
    <cfRule type="cellIs" dxfId="2073" priority="220" operator="lessThan">
      <formula>0</formula>
    </cfRule>
  </conditionalFormatting>
  <conditionalFormatting sqref="E490:E491">
    <cfRule type="cellIs" dxfId="2072" priority="216" operator="lessThan">
      <formula>0</formula>
    </cfRule>
  </conditionalFormatting>
  <conditionalFormatting sqref="E491">
    <cfRule type="cellIs" dxfId="2071" priority="213" operator="lessThan">
      <formula>0</formula>
    </cfRule>
    <cfRule type="cellIs" dxfId="2070" priority="214" operator="lessThan">
      <formula>0</formula>
    </cfRule>
    <cfRule type="cellIs" dxfId="2069" priority="215" operator="lessThan">
      <formula>0</formula>
    </cfRule>
  </conditionalFormatting>
  <conditionalFormatting sqref="E478:E479">
    <cfRule type="cellIs" dxfId="2068" priority="212" operator="lessThan">
      <formula>0</formula>
    </cfRule>
  </conditionalFormatting>
  <conditionalFormatting sqref="E467">
    <cfRule type="cellIs" dxfId="2067" priority="211" operator="lessThan">
      <formula>0</formula>
    </cfRule>
  </conditionalFormatting>
  <conditionalFormatting sqref="E463">
    <cfRule type="cellIs" dxfId="2066" priority="210" operator="lessThan">
      <formula>0</formula>
    </cfRule>
  </conditionalFormatting>
  <conditionalFormatting sqref="E462">
    <cfRule type="cellIs" dxfId="2065" priority="209" operator="lessThan">
      <formula>0</formula>
    </cfRule>
  </conditionalFormatting>
  <conditionalFormatting sqref="E461">
    <cfRule type="cellIs" dxfId="2064" priority="208" operator="lessThan">
      <formula>0</formula>
    </cfRule>
  </conditionalFormatting>
  <conditionalFormatting sqref="E460">
    <cfRule type="cellIs" dxfId="2063" priority="207" operator="lessThan">
      <formula>0</formula>
    </cfRule>
  </conditionalFormatting>
  <conditionalFormatting sqref="E458">
    <cfRule type="cellIs" dxfId="2062" priority="206" operator="lessThan">
      <formula>0</formula>
    </cfRule>
  </conditionalFormatting>
  <conditionalFormatting sqref="E456">
    <cfRule type="cellIs" dxfId="2061" priority="205" operator="lessThan">
      <formula>0</formula>
    </cfRule>
  </conditionalFormatting>
  <conditionalFormatting sqref="E455">
    <cfRule type="cellIs" dxfId="2060" priority="204" operator="lessThan">
      <formula>0</formula>
    </cfRule>
  </conditionalFormatting>
  <conditionalFormatting sqref="E454">
    <cfRule type="cellIs" dxfId="2059" priority="203" operator="lessThan">
      <formula>0</formula>
    </cfRule>
  </conditionalFormatting>
  <conditionalFormatting sqref="E453">
    <cfRule type="cellIs" dxfId="2058" priority="202" operator="lessThan">
      <formula>0</formula>
    </cfRule>
  </conditionalFormatting>
  <conditionalFormatting sqref="E452">
    <cfRule type="cellIs" dxfId="2057" priority="201" operator="lessThan">
      <formula>0</formula>
    </cfRule>
  </conditionalFormatting>
  <conditionalFormatting sqref="E451">
    <cfRule type="cellIs" dxfId="2056" priority="200" operator="lessThan">
      <formula>0</formula>
    </cfRule>
  </conditionalFormatting>
  <conditionalFormatting sqref="E450">
    <cfRule type="cellIs" dxfId="2055" priority="199" operator="lessThan">
      <formula>0</formula>
    </cfRule>
  </conditionalFormatting>
  <conditionalFormatting sqref="E449">
    <cfRule type="cellIs" dxfId="2054" priority="198" operator="lessThan">
      <formula>0</formula>
    </cfRule>
  </conditionalFormatting>
  <conditionalFormatting sqref="E448">
    <cfRule type="cellIs" dxfId="2053" priority="197" operator="lessThan">
      <formula>0</formula>
    </cfRule>
  </conditionalFormatting>
  <conditionalFormatting sqref="E445:E446">
    <cfRule type="cellIs" dxfId="2052" priority="195" operator="lessThan">
      <formula>0</formula>
    </cfRule>
  </conditionalFormatting>
  <conditionalFormatting sqref="E446">
    <cfRule type="cellIs" dxfId="2051" priority="192" operator="lessThan">
      <formula>0</formula>
    </cfRule>
    <cfRule type="cellIs" dxfId="2050" priority="193" operator="lessThan">
      <formula>0</formula>
    </cfRule>
    <cfRule type="cellIs" dxfId="2049" priority="194" operator="lessThan">
      <formula>0</formula>
    </cfRule>
  </conditionalFormatting>
  <conditionalFormatting sqref="E443">
    <cfRule type="cellIs" dxfId="2048" priority="191" operator="lessThan">
      <formula>0</formula>
    </cfRule>
  </conditionalFormatting>
  <conditionalFormatting sqref="E441">
    <cfRule type="cellIs" dxfId="2047" priority="190" operator="lessThan">
      <formula>0</formula>
    </cfRule>
  </conditionalFormatting>
  <conditionalFormatting sqref="E440">
    <cfRule type="cellIs" dxfId="2046" priority="189" operator="lessThan">
      <formula>0</formula>
    </cfRule>
  </conditionalFormatting>
  <conditionalFormatting sqref="E439">
    <cfRule type="cellIs" dxfId="2045" priority="188" operator="lessThan">
      <formula>0</formula>
    </cfRule>
  </conditionalFormatting>
  <conditionalFormatting sqref="E438">
    <cfRule type="cellIs" dxfId="2044" priority="187" operator="lessThan">
      <formula>0</formula>
    </cfRule>
  </conditionalFormatting>
  <conditionalFormatting sqref="E437">
    <cfRule type="cellIs" dxfId="2043" priority="186" operator="lessThan">
      <formula>0</formula>
    </cfRule>
  </conditionalFormatting>
  <conditionalFormatting sqref="E436">
    <cfRule type="cellIs" dxfId="2042" priority="185" operator="lessThan">
      <formula>0</formula>
    </cfRule>
  </conditionalFormatting>
  <conditionalFormatting sqref="E435">
    <cfRule type="cellIs" dxfId="2041" priority="184" operator="lessThan">
      <formula>0</formula>
    </cfRule>
  </conditionalFormatting>
  <conditionalFormatting sqref="E434">
    <cfRule type="cellIs" dxfId="2040" priority="183" operator="lessThan">
      <formula>0</formula>
    </cfRule>
  </conditionalFormatting>
  <conditionalFormatting sqref="E433">
    <cfRule type="cellIs" dxfId="2039" priority="182" operator="lessThan">
      <formula>0</formula>
    </cfRule>
  </conditionalFormatting>
  <conditionalFormatting sqref="E431:E432">
    <cfRule type="cellIs" dxfId="2038" priority="181" operator="lessThan">
      <formula>0</formula>
    </cfRule>
  </conditionalFormatting>
  <conditionalFormatting sqref="E427">
    <cfRule type="cellIs" dxfId="2037" priority="180" operator="lessThan">
      <formula>0</formula>
    </cfRule>
  </conditionalFormatting>
  <conditionalFormatting sqref="E426">
    <cfRule type="cellIs" dxfId="2036" priority="179" operator="lessThan">
      <formula>0</formula>
    </cfRule>
  </conditionalFormatting>
  <conditionalFormatting sqref="E423:E424">
    <cfRule type="cellIs" dxfId="2035" priority="178" operator="lessThan">
      <formula>0</formula>
    </cfRule>
  </conditionalFormatting>
  <conditionalFormatting sqref="E422">
    <cfRule type="cellIs" dxfId="2034" priority="177" operator="lessThan">
      <formula>0</formula>
    </cfRule>
  </conditionalFormatting>
  <conditionalFormatting sqref="E421">
    <cfRule type="cellIs" dxfId="2033" priority="176" operator="lessThan">
      <formula>0</formula>
    </cfRule>
  </conditionalFormatting>
  <conditionalFormatting sqref="E420">
    <cfRule type="cellIs" dxfId="2032" priority="175" operator="lessThan">
      <formula>0</formula>
    </cfRule>
  </conditionalFormatting>
  <conditionalFormatting sqref="E418">
    <cfRule type="cellIs" dxfId="2031" priority="174" operator="lessThan">
      <formula>0</formula>
    </cfRule>
  </conditionalFormatting>
  <conditionalFormatting sqref="E417">
    <cfRule type="cellIs" dxfId="2030" priority="173" operator="lessThan">
      <formula>0</formula>
    </cfRule>
  </conditionalFormatting>
  <conditionalFormatting sqref="E415">
    <cfRule type="cellIs" dxfId="2029" priority="172" operator="lessThan">
      <formula>0</formula>
    </cfRule>
  </conditionalFormatting>
  <conditionalFormatting sqref="E413:E414">
    <cfRule type="cellIs" dxfId="2028" priority="171" operator="lessThan">
      <formula>0</formula>
    </cfRule>
  </conditionalFormatting>
  <conditionalFormatting sqref="E412">
    <cfRule type="cellIs" dxfId="2027" priority="170" operator="lessThan">
      <formula>0</formula>
    </cfRule>
  </conditionalFormatting>
  <conditionalFormatting sqref="E410">
    <cfRule type="cellIs" dxfId="2026" priority="169" operator="lessThan">
      <formula>0</formula>
    </cfRule>
  </conditionalFormatting>
  <conditionalFormatting sqref="E409">
    <cfRule type="cellIs" dxfId="2025" priority="168" operator="lessThan">
      <formula>0</formula>
    </cfRule>
  </conditionalFormatting>
  <conditionalFormatting sqref="E408">
    <cfRule type="cellIs" dxfId="2024" priority="167" operator="lessThan">
      <formula>0</formula>
    </cfRule>
  </conditionalFormatting>
  <conditionalFormatting sqref="E407">
    <cfRule type="cellIs" dxfId="2023" priority="166" operator="lessThan">
      <formula>0</formula>
    </cfRule>
  </conditionalFormatting>
  <conditionalFormatting sqref="E405:E406">
    <cfRule type="cellIs" dxfId="2022" priority="165" operator="lessThan">
      <formula>0</formula>
    </cfRule>
  </conditionalFormatting>
  <conditionalFormatting sqref="E404">
    <cfRule type="cellIs" dxfId="2021" priority="164" operator="lessThan">
      <formula>0</formula>
    </cfRule>
  </conditionalFormatting>
  <conditionalFormatting sqref="E401">
    <cfRule type="cellIs" dxfId="2020" priority="163" operator="lessThan">
      <formula>0</formula>
    </cfRule>
  </conditionalFormatting>
  <conditionalFormatting sqref="E399">
    <cfRule type="cellIs" dxfId="2019" priority="162" operator="lessThan">
      <formula>0</formula>
    </cfRule>
  </conditionalFormatting>
  <conditionalFormatting sqref="E395">
    <cfRule type="cellIs" dxfId="2018" priority="161" operator="lessThan">
      <formula>0</formula>
    </cfRule>
  </conditionalFormatting>
  <conditionalFormatting sqref="E393:E394">
    <cfRule type="cellIs" dxfId="2017" priority="160" operator="lessThan">
      <formula>0</formula>
    </cfRule>
  </conditionalFormatting>
  <conditionalFormatting sqref="E390">
    <cfRule type="cellIs" dxfId="2016" priority="159" operator="lessThan">
      <formula>0</formula>
    </cfRule>
  </conditionalFormatting>
  <conditionalFormatting sqref="E391:E392">
    <cfRule type="cellIs" dxfId="2015" priority="158" operator="lessThan">
      <formula>0</formula>
    </cfRule>
  </conditionalFormatting>
  <conditionalFormatting sqref="E392">
    <cfRule type="cellIs" dxfId="2014" priority="155" operator="lessThan">
      <formula>0</formula>
    </cfRule>
    <cfRule type="cellIs" dxfId="2013" priority="156" operator="lessThan">
      <formula>0</formula>
    </cfRule>
    <cfRule type="cellIs" dxfId="2012" priority="157" operator="lessThan">
      <formula>0</formula>
    </cfRule>
  </conditionalFormatting>
  <conditionalFormatting sqref="E386">
    <cfRule type="cellIs" dxfId="2011" priority="143" operator="lessThan">
      <formula>0</formula>
    </cfRule>
  </conditionalFormatting>
  <conditionalFormatting sqref="E385">
    <cfRule type="cellIs" dxfId="2010" priority="142" operator="lessThan">
      <formula>0</formula>
    </cfRule>
  </conditionalFormatting>
  <conditionalFormatting sqref="E384">
    <cfRule type="cellIs" dxfId="2009" priority="141" operator="lessThan">
      <formula>0</formula>
    </cfRule>
  </conditionalFormatting>
  <conditionalFormatting sqref="E373">
    <cfRule type="cellIs" dxfId="2008" priority="140" operator="lessThan">
      <formula>0</formula>
    </cfRule>
  </conditionalFormatting>
  <conditionalFormatting sqref="E372">
    <cfRule type="cellIs" dxfId="2007" priority="139" operator="lessThan">
      <formula>0</formula>
    </cfRule>
  </conditionalFormatting>
  <conditionalFormatting sqref="E371">
    <cfRule type="cellIs" dxfId="2006" priority="138" operator="lessThan">
      <formula>0</formula>
    </cfRule>
  </conditionalFormatting>
  <conditionalFormatting sqref="E369">
    <cfRule type="cellIs" dxfId="2005" priority="137" operator="lessThan">
      <formula>0</formula>
    </cfRule>
  </conditionalFormatting>
  <conditionalFormatting sqref="E368">
    <cfRule type="cellIs" dxfId="2004" priority="136" operator="lessThan">
      <formula>0</formula>
    </cfRule>
  </conditionalFormatting>
  <conditionalFormatting sqref="E367">
    <cfRule type="cellIs" dxfId="2003" priority="135" operator="lessThan">
      <formula>0</formula>
    </cfRule>
  </conditionalFormatting>
  <conditionalFormatting sqref="E366">
    <cfRule type="cellIs" dxfId="2002" priority="134" operator="lessThan">
      <formula>0</formula>
    </cfRule>
  </conditionalFormatting>
  <conditionalFormatting sqref="E365">
    <cfRule type="cellIs" dxfId="2001" priority="133" operator="lessThan">
      <formula>0</formula>
    </cfRule>
  </conditionalFormatting>
  <conditionalFormatting sqref="E364">
    <cfRule type="cellIs" dxfId="2000" priority="132" operator="lessThan">
      <formula>0</formula>
    </cfRule>
  </conditionalFormatting>
  <conditionalFormatting sqref="E362">
    <cfRule type="cellIs" dxfId="1999" priority="131" operator="lessThan">
      <formula>0</formula>
    </cfRule>
  </conditionalFormatting>
  <conditionalFormatting sqref="E360">
    <cfRule type="cellIs" dxfId="1998" priority="130" operator="lessThan">
      <formula>0</formula>
    </cfRule>
  </conditionalFormatting>
  <conditionalFormatting sqref="E358">
    <cfRule type="cellIs" dxfId="1997" priority="129" operator="lessThan">
      <formula>0</formula>
    </cfRule>
  </conditionalFormatting>
  <conditionalFormatting sqref="E357">
    <cfRule type="cellIs" dxfId="1996" priority="127" operator="lessThan">
      <formula>0</formula>
    </cfRule>
  </conditionalFormatting>
  <conditionalFormatting sqref="E353">
    <cfRule type="cellIs" dxfId="1995" priority="126" operator="lessThan">
      <formula>0</formula>
    </cfRule>
  </conditionalFormatting>
  <conditionalFormatting sqref="E354:E355">
    <cfRule type="cellIs" dxfId="1994" priority="125" operator="lessThan">
      <formula>0</formula>
    </cfRule>
  </conditionalFormatting>
  <conditionalFormatting sqref="Y17">
    <cfRule type="cellIs" dxfId="1993" priority="122" operator="greaterThan">
      <formula>0</formula>
    </cfRule>
    <cfRule type="cellIs" dxfId="1992" priority="123" operator="lessThan">
      <formula>0</formula>
    </cfRule>
  </conditionalFormatting>
  <conditionalFormatting sqref="E352">
    <cfRule type="cellIs" dxfId="1991" priority="121" operator="lessThan">
      <formula>0</formula>
    </cfRule>
  </conditionalFormatting>
  <conditionalFormatting sqref="E356">
    <cfRule type="cellIs" dxfId="1990" priority="120" operator="lessThan">
      <formula>0</formula>
    </cfRule>
  </conditionalFormatting>
  <conditionalFormatting sqref="E350">
    <cfRule type="cellIs" dxfId="1989" priority="119" operator="lessThan">
      <formula>0</formula>
    </cfRule>
  </conditionalFormatting>
  <conditionalFormatting sqref="E348">
    <cfRule type="cellIs" dxfId="1988" priority="118" operator="lessThan">
      <formula>0</formula>
    </cfRule>
  </conditionalFormatting>
  <conditionalFormatting sqref="E342">
    <cfRule type="cellIs" dxfId="1987" priority="112" operator="lessThan">
      <formula>0</formula>
    </cfRule>
  </conditionalFormatting>
  <conditionalFormatting sqref="E347">
    <cfRule type="cellIs" dxfId="1986" priority="116" operator="lessThan">
      <formula>0</formula>
    </cfRule>
  </conditionalFormatting>
  <conditionalFormatting sqref="E346">
    <cfRule type="cellIs" dxfId="1985" priority="115" operator="lessThan">
      <formula>0</formula>
    </cfRule>
  </conditionalFormatting>
  <conditionalFormatting sqref="E344:E345">
    <cfRule type="cellIs" dxfId="1984" priority="114" operator="lessThan">
      <formula>0</formula>
    </cfRule>
  </conditionalFormatting>
  <conditionalFormatting sqref="E343">
    <cfRule type="cellIs" dxfId="1983" priority="113" operator="lessThan">
      <formula>0</formula>
    </cfRule>
  </conditionalFormatting>
  <conditionalFormatting sqref="E341">
    <cfRule type="cellIs" dxfId="1982" priority="111" operator="lessThan">
      <formula>0</formula>
    </cfRule>
  </conditionalFormatting>
  <conditionalFormatting sqref="E340">
    <cfRule type="cellIs" dxfId="1981" priority="110" operator="lessThan">
      <formula>0</formula>
    </cfRule>
  </conditionalFormatting>
  <conditionalFormatting sqref="E339">
    <cfRule type="cellIs" dxfId="1980" priority="109" operator="lessThan">
      <formula>0</formula>
    </cfRule>
  </conditionalFormatting>
  <conditionalFormatting sqref="E338">
    <cfRule type="cellIs" dxfId="1979" priority="108" operator="lessThan">
      <formula>0</formula>
    </cfRule>
  </conditionalFormatting>
  <conditionalFormatting sqref="E337">
    <cfRule type="cellIs" dxfId="1978" priority="107" operator="lessThan">
      <formula>0</formula>
    </cfRule>
  </conditionalFormatting>
  <conditionalFormatting sqref="E336">
    <cfRule type="cellIs" dxfId="1977" priority="106" operator="lessThan">
      <formula>0</formula>
    </cfRule>
  </conditionalFormatting>
  <conditionalFormatting sqref="E335">
    <cfRule type="cellIs" dxfId="1976" priority="105" operator="lessThan">
      <formula>0</formula>
    </cfRule>
  </conditionalFormatting>
  <conditionalFormatting sqref="E334">
    <cfRule type="cellIs" dxfId="1975" priority="104" operator="lessThan">
      <formula>0</formula>
    </cfRule>
  </conditionalFormatting>
  <conditionalFormatting sqref="E333">
    <cfRule type="cellIs" dxfId="1974" priority="103" operator="lessThan">
      <formula>0</formula>
    </cfRule>
  </conditionalFormatting>
  <conditionalFormatting sqref="E332">
    <cfRule type="cellIs" dxfId="1973" priority="102" operator="lessThan">
      <formula>0</formula>
    </cfRule>
  </conditionalFormatting>
  <conditionalFormatting sqref="E327">
    <cfRule type="cellIs" dxfId="1972" priority="101" operator="lessThan">
      <formula>0</formula>
    </cfRule>
  </conditionalFormatting>
  <conditionalFormatting sqref="E311">
    <cfRule type="cellIs" dxfId="1971" priority="100" operator="lessThan">
      <formula>0</formula>
    </cfRule>
  </conditionalFormatting>
  <conditionalFormatting sqref="E312">
    <cfRule type="cellIs" dxfId="1970" priority="99" operator="lessThan">
      <formula>0</formula>
    </cfRule>
  </conditionalFormatting>
  <conditionalFormatting sqref="E306">
    <cfRule type="cellIs" dxfId="1969" priority="97" operator="lessThan">
      <formula>0</formula>
    </cfRule>
  </conditionalFormatting>
  <conditionalFormatting sqref="E301">
    <cfRule type="cellIs" dxfId="1968" priority="96" operator="lessThan">
      <formula>0</formula>
    </cfRule>
  </conditionalFormatting>
  <conditionalFormatting sqref="E299">
    <cfRule type="cellIs" dxfId="1967" priority="95" operator="lessThan">
      <formula>0</formula>
    </cfRule>
  </conditionalFormatting>
  <conditionalFormatting sqref="E298">
    <cfRule type="cellIs" dxfId="1966" priority="94" operator="lessThan">
      <formula>0</formula>
    </cfRule>
  </conditionalFormatting>
  <conditionalFormatting sqref="E297">
    <cfRule type="cellIs" dxfId="1965" priority="93" operator="lessThan">
      <formula>0</formula>
    </cfRule>
  </conditionalFormatting>
  <conditionalFormatting sqref="E296">
    <cfRule type="cellIs" dxfId="1964" priority="92" operator="lessThan">
      <formula>0</formula>
    </cfRule>
  </conditionalFormatting>
  <conditionalFormatting sqref="E295">
    <cfRule type="cellIs" dxfId="1963" priority="91" operator="lessThan">
      <formula>0</formula>
    </cfRule>
  </conditionalFormatting>
  <conditionalFormatting sqref="E291">
    <cfRule type="cellIs" dxfId="1962" priority="90" operator="lessThan">
      <formula>0</formula>
    </cfRule>
  </conditionalFormatting>
  <conditionalFormatting sqref="E292">
    <cfRule type="cellIs" dxfId="1961" priority="89" operator="lessThan">
      <formula>0</formula>
    </cfRule>
  </conditionalFormatting>
  <conditionalFormatting sqref="E289:E290">
    <cfRule type="cellIs" dxfId="1960" priority="88" operator="lessThan">
      <formula>0</formula>
    </cfRule>
  </conditionalFormatting>
  <conditionalFormatting sqref="E287">
    <cfRule type="cellIs" dxfId="1959" priority="86" operator="lessThan">
      <formula>0</formula>
    </cfRule>
  </conditionalFormatting>
  <conditionalFormatting sqref="E281">
    <cfRule type="cellIs" dxfId="1958" priority="85" operator="lessThan">
      <formula>0</formula>
    </cfRule>
  </conditionalFormatting>
  <conditionalFormatting sqref="E280">
    <cfRule type="cellIs" dxfId="1957" priority="84" operator="lessThan">
      <formula>0</formula>
    </cfRule>
  </conditionalFormatting>
  <conditionalFormatting sqref="E275">
    <cfRule type="cellIs" dxfId="1956" priority="83" operator="lessThan">
      <formula>0</formula>
    </cfRule>
  </conditionalFormatting>
  <conditionalFormatting sqref="E274">
    <cfRule type="cellIs" dxfId="1955" priority="82" operator="lessThan">
      <formula>0</formula>
    </cfRule>
  </conditionalFormatting>
  <conditionalFormatting sqref="E272">
    <cfRule type="cellIs" dxfId="1954" priority="81" operator="lessThan">
      <formula>0</formula>
    </cfRule>
  </conditionalFormatting>
  <conditionalFormatting sqref="E32">
    <cfRule type="cellIs" dxfId="1953" priority="80" operator="lessThan">
      <formula>0</formula>
    </cfRule>
  </conditionalFormatting>
  <conditionalFormatting sqref="E33">
    <cfRule type="cellIs" dxfId="1952" priority="79" operator="lessThan">
      <formula>0</formula>
    </cfRule>
  </conditionalFormatting>
  <conditionalFormatting sqref="E268">
    <cfRule type="cellIs" dxfId="1951" priority="78" operator="lessThan">
      <formula>0</formula>
    </cfRule>
  </conditionalFormatting>
  <conditionalFormatting sqref="E269">
    <cfRule type="cellIs" dxfId="1950" priority="77" operator="lessThan">
      <formula>0</formula>
    </cfRule>
  </conditionalFormatting>
  <conditionalFormatting sqref="E263">
    <cfRule type="cellIs" dxfId="1949" priority="75" operator="lessThan">
      <formula>0</formula>
    </cfRule>
  </conditionalFormatting>
  <conditionalFormatting sqref="E262">
    <cfRule type="cellIs" dxfId="1948" priority="74" operator="lessThan">
      <formula>0</formula>
    </cfRule>
  </conditionalFormatting>
  <conditionalFormatting sqref="E259">
    <cfRule type="cellIs" dxfId="1947" priority="73" operator="lessThan">
      <formula>0</formula>
    </cfRule>
  </conditionalFormatting>
  <conditionalFormatting sqref="E260">
    <cfRule type="cellIs" dxfId="1946" priority="72" operator="lessThan">
      <formula>0</formula>
    </cfRule>
  </conditionalFormatting>
  <conditionalFormatting sqref="E257">
    <cfRule type="cellIs" dxfId="1945" priority="71" operator="lessThan">
      <formula>0</formula>
    </cfRule>
  </conditionalFormatting>
  <conditionalFormatting sqref="E244">
    <cfRule type="cellIs" dxfId="1944" priority="70" operator="lessThan">
      <formula>0</formula>
    </cfRule>
  </conditionalFormatting>
  <conditionalFormatting sqref="E245">
    <cfRule type="cellIs" dxfId="1943" priority="69" operator="lessThan">
      <formula>0</formula>
    </cfRule>
  </conditionalFormatting>
  <conditionalFormatting sqref="E242">
    <cfRule type="cellIs" dxfId="1942" priority="67" operator="lessThan">
      <formula>0</formula>
    </cfRule>
  </conditionalFormatting>
  <conditionalFormatting sqref="E243">
    <cfRule type="cellIs" dxfId="1941" priority="66" operator="lessThan">
      <formula>0</formula>
    </cfRule>
  </conditionalFormatting>
  <conditionalFormatting sqref="E238">
    <cfRule type="cellIs" dxfId="1940" priority="65" operator="lessThan">
      <formula>0</formula>
    </cfRule>
  </conditionalFormatting>
  <conditionalFormatting sqref="E237">
    <cfRule type="cellIs" dxfId="1939" priority="64" operator="lessThan">
      <formula>0</formula>
    </cfRule>
  </conditionalFormatting>
  <conditionalFormatting sqref="E230">
    <cfRule type="cellIs" dxfId="1938" priority="63" operator="lessThan">
      <formula>0</formula>
    </cfRule>
  </conditionalFormatting>
  <conditionalFormatting sqref="E229">
    <cfRule type="cellIs" dxfId="1937" priority="62" operator="lessThan">
      <formula>0</formula>
    </cfRule>
  </conditionalFormatting>
  <conditionalFormatting sqref="E228">
    <cfRule type="cellIs" dxfId="1936" priority="61" operator="lessThan">
      <formula>0</formula>
    </cfRule>
  </conditionalFormatting>
  <conditionalFormatting sqref="E227">
    <cfRule type="cellIs" dxfId="1935" priority="60" operator="lessThan">
      <formula>0</formula>
    </cfRule>
  </conditionalFormatting>
  <conditionalFormatting sqref="E226">
    <cfRule type="cellIs" dxfId="1934" priority="59" operator="lessThan">
      <formula>0</formula>
    </cfRule>
  </conditionalFormatting>
  <conditionalFormatting sqref="E225">
    <cfRule type="cellIs" dxfId="1933" priority="58" operator="lessThan">
      <formula>0</formula>
    </cfRule>
  </conditionalFormatting>
  <conditionalFormatting sqref="E221">
    <cfRule type="cellIs" dxfId="1932" priority="55" operator="lessThan">
      <formula>0</formula>
    </cfRule>
  </conditionalFormatting>
  <conditionalFormatting sqref="E220">
    <cfRule type="cellIs" dxfId="1931" priority="56" operator="lessThan">
      <formula>0</formula>
    </cfRule>
  </conditionalFormatting>
  <conditionalFormatting sqref="E214">
    <cfRule type="cellIs" dxfId="1930" priority="54" operator="lessThan">
      <formula>0</formula>
    </cfRule>
  </conditionalFormatting>
  <conditionalFormatting sqref="E215">
    <cfRule type="cellIs" dxfId="1929" priority="53" operator="lessThan">
      <formula>0</formula>
    </cfRule>
  </conditionalFormatting>
  <conditionalFormatting sqref="Y6:Y16">
    <cfRule type="cellIs" dxfId="1928" priority="39" operator="greaterThan">
      <formula>0</formula>
    </cfRule>
    <cfRule type="cellIs" dxfId="1927" priority="40" operator="lessThan">
      <formula>0</formula>
    </cfRule>
  </conditionalFormatting>
  <conditionalFormatting sqref="E211">
    <cfRule type="cellIs" dxfId="1926" priority="38" operator="lessThan">
      <formula>0</formula>
    </cfRule>
  </conditionalFormatting>
  <conditionalFormatting sqref="E208">
    <cfRule type="cellIs" dxfId="1925" priority="37" operator="lessThan">
      <formula>0</formula>
    </cfRule>
  </conditionalFormatting>
  <conditionalFormatting sqref="E206">
    <cfRule type="cellIs" dxfId="1924" priority="36" operator="lessThan">
      <formula>0</formula>
    </cfRule>
  </conditionalFormatting>
  <conditionalFormatting sqref="E205">
    <cfRule type="cellIs" dxfId="1923" priority="35" operator="lessThan">
      <formula>0</formula>
    </cfRule>
  </conditionalFormatting>
  <conditionalFormatting sqref="E204">
    <cfRule type="cellIs" dxfId="1922" priority="34" operator="lessThan">
      <formula>0</formula>
    </cfRule>
  </conditionalFormatting>
  <conditionalFormatting sqref="E203">
    <cfRule type="cellIs" dxfId="1921" priority="33" operator="lessThan">
      <formula>0</formula>
    </cfRule>
  </conditionalFormatting>
  <conditionalFormatting sqref="E198">
    <cfRule type="cellIs" dxfId="1920" priority="32" operator="lessThan">
      <formula>0</formula>
    </cfRule>
  </conditionalFormatting>
  <conditionalFormatting sqref="E196">
    <cfRule type="cellIs" dxfId="1919" priority="31" operator="lessThan">
      <formula>0</formula>
    </cfRule>
  </conditionalFormatting>
  <conditionalFormatting sqref="E194">
    <cfRule type="cellIs" dxfId="1918" priority="30" operator="lessThan">
      <formula>0</formula>
    </cfRule>
  </conditionalFormatting>
  <conditionalFormatting sqref="E193">
    <cfRule type="cellIs" dxfId="1917" priority="29" operator="lessThan">
      <formula>0</formula>
    </cfRule>
  </conditionalFormatting>
  <conditionalFormatting sqref="E189">
    <cfRule type="cellIs" dxfId="1916" priority="28" operator="lessThan">
      <formula>0</formula>
    </cfRule>
  </conditionalFormatting>
  <conditionalFormatting sqref="E184">
    <cfRule type="cellIs" dxfId="1915" priority="27" operator="lessThan">
      <formula>0</formula>
    </cfRule>
  </conditionalFormatting>
  <conditionalFormatting sqref="E179">
    <cfRule type="cellIs" dxfId="1914" priority="26" operator="lessThan">
      <formula>0</formula>
    </cfRule>
  </conditionalFormatting>
  <conditionalFormatting sqref="E180">
    <cfRule type="cellIs" dxfId="1913" priority="25" operator="lessThan">
      <formula>0</formula>
    </cfRule>
  </conditionalFormatting>
  <conditionalFormatting sqref="E178">
    <cfRule type="cellIs" dxfId="1912" priority="11" operator="lessThan">
      <formula>0</formula>
    </cfRule>
  </conditionalFormatting>
  <conditionalFormatting sqref="E175">
    <cfRule type="cellIs" dxfId="1911" priority="10" operator="lessThan">
      <formula>0</formula>
    </cfRule>
  </conditionalFormatting>
  <conditionalFormatting sqref="E174">
    <cfRule type="cellIs" dxfId="1910" priority="9" operator="lessThan">
      <formula>0</formula>
    </cfRule>
  </conditionalFormatting>
  <conditionalFormatting sqref="E171">
    <cfRule type="cellIs" dxfId="1909" priority="8" operator="lessThan">
      <formula>0</formula>
    </cfRule>
  </conditionalFormatting>
  <conditionalFormatting sqref="E168">
    <cfRule type="cellIs" dxfId="1908" priority="7" operator="lessThan">
      <formula>0</formula>
    </cfRule>
  </conditionalFormatting>
  <conditionalFormatting sqref="E164">
    <cfRule type="cellIs" dxfId="1907" priority="6" operator="lessThan">
      <formula>0</formula>
    </cfRule>
  </conditionalFormatting>
  <conditionalFormatting sqref="E160">
    <cfRule type="cellIs" dxfId="1906" priority="5" operator="lessThan">
      <formula>0</formula>
    </cfRule>
  </conditionalFormatting>
  <conditionalFormatting sqref="E157">
    <cfRule type="cellIs" dxfId="1905" priority="4" operator="lessThan">
      <formula>0</formula>
    </cfRule>
  </conditionalFormatting>
  <conditionalFormatting sqref="E155">
    <cfRule type="cellIs" dxfId="1904" priority="2" operator="lessThan">
      <formula>0</formula>
    </cfRule>
  </conditionalFormatting>
  <conditionalFormatting sqref="E154">
    <cfRule type="cellIs" dxfId="1903" priority="3" operator="lessThan">
      <formula>0</formula>
    </cfRule>
  </conditionalFormatting>
  <conditionalFormatting sqref="E152">
    <cfRule type="cellIs" dxfId="1902" priority="1" operator="lessThan">
      <formula>0</formula>
    </cfRule>
  </conditionalFormatting>
  <dataValidations count="4">
    <dataValidation type="list" allowBlank="1" showInputMessage="1" showErrorMessage="1" sqref="C145:C519 C522:C587 C590:C625 C628:C672 C674:C709 C711:C749 C751:C784 C786:C813 C815:C842 C844:C881 C884:C921 C923:C985 C987:C1059 C1061:C1130" xr:uid="{00000000-0002-0000-0B00-000000000000}">
      <formula1>$I$4:$I$27</formula1>
    </dataValidation>
    <dataValidation type="list" allowBlank="1" showInputMessage="1" showErrorMessage="1" sqref="C2:C17 C20 C23 C25:C27 C31 C34:C36 C40:C48 C51:C53 C63:C64 C66:C73 C1131:C1166 C1168:C1213 C1215:C1273 C1276 C1278:C1333 C1340:C1371 C1374:C1399 C1401:C1409 C1411:C1438 C1440:C1443 C1446:C1450 C1452 C1454:C1455 C1457:C1479 C1481:C1515 C1518:C1529 C1531:C1560 C1562:C1614 C1617:C1651" xr:uid="{00000000-0002-0000-0B00-000001000000}">
      <formula1>$I$4:$I$28</formula1>
    </dataValidation>
    <dataValidation type="list" allowBlank="1" showInputMessage="1" showErrorMessage="1" sqref="C19 C21:C22 C24 C28:C30 C32:C33" xr:uid="{00000000-0002-0000-0B00-000002000000}">
      <formula1>$I$3:$I$26</formula1>
    </dataValidation>
    <dataValidation type="list" allowBlank="1" showInputMessage="1" showErrorMessage="1" sqref="C520:C521" xr:uid="{00000000-0002-0000-0B00-000003000000}">
      <formula1>$I$3:$I$25</formula1>
    </dataValidation>
  </dataValidations>
  <pageMargins left="0.25" right="0.25" top="0.75" bottom="0.75" header="0.3" footer="0.3"/>
  <pageSetup paperSize="9" scale="10"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pageSetUpPr fitToPage="1"/>
  </sheetPr>
  <dimension ref="A1:AI621"/>
  <sheetViews>
    <sheetView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1.19921875" style="426" bestFit="1" customWidth="1"/>
    <col min="5" max="5" width="10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22" width="7.796875" style="426" customWidth="1"/>
    <col min="23" max="23" width="8.53125" style="426" customWidth="1"/>
    <col min="24" max="24" width="10" style="426" bestFit="1" customWidth="1"/>
    <col min="25" max="25" width="10.19921875" style="426" customWidth="1"/>
    <col min="26" max="26" width="7.86328125" style="426" bestFit="1" customWidth="1"/>
    <col min="27" max="27" width="9.1328125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5" width="9.1328125" style="426" customWidth="1"/>
    <col min="36" max="16384" width="9.1328125" style="426"/>
  </cols>
  <sheetData>
    <row r="1" spans="1:35" ht="13.15" customHeight="1" x14ac:dyDescent="0.4">
      <c r="A1" s="418" t="s">
        <v>187</v>
      </c>
      <c r="B1" s="418" t="s">
        <v>1568</v>
      </c>
      <c r="C1" s="418" t="s">
        <v>189</v>
      </c>
      <c r="D1" s="418" t="s">
        <v>191</v>
      </c>
      <c r="E1" s="419" t="s">
        <v>1569</v>
      </c>
      <c r="F1" s="418" t="s">
        <v>1570</v>
      </c>
      <c r="AD1" s="46" t="s">
        <v>2282</v>
      </c>
      <c r="AE1" s="45" t="s">
        <v>5</v>
      </c>
      <c r="AF1" s="45" t="s">
        <v>6</v>
      </c>
      <c r="AG1" s="45" t="s">
        <v>7</v>
      </c>
      <c r="AH1" s="45" t="s">
        <v>8</v>
      </c>
    </row>
    <row r="2" spans="1:35" ht="13.5" customHeight="1" x14ac:dyDescent="0.35">
      <c r="A2" s="427"/>
      <c r="B2" s="701"/>
      <c r="C2" s="427"/>
      <c r="D2" s="427"/>
      <c r="E2" s="695"/>
      <c r="F2" s="427"/>
      <c r="I2"/>
      <c r="J2"/>
      <c r="K2"/>
      <c r="L2"/>
      <c r="M2"/>
      <c r="N2"/>
      <c r="O2"/>
      <c r="AD2" s="48" t="s">
        <v>1573</v>
      </c>
      <c r="AE2" s="683">
        <f t="shared" ref="AE2:AE8" si="0">AF2+AG2</f>
        <v>52137.86</v>
      </c>
      <c r="AF2" s="443">
        <f>SUM(N14:V14)</f>
        <v>52137.86</v>
      </c>
      <c r="AG2" s="443"/>
      <c r="AH2" s="445">
        <f t="shared" ref="AH2:AH7" si="1">SUM(AF2-AF3)/AF2</f>
        <v>0.18366221782021735</v>
      </c>
    </row>
    <row r="3" spans="1:35" ht="13.9" customHeight="1" x14ac:dyDescent="0.4">
      <c r="A3" s="463"/>
      <c r="B3" s="464"/>
      <c r="C3" s="464"/>
      <c r="D3" s="49"/>
      <c r="E3" s="695"/>
      <c r="F3" s="49"/>
      <c r="I3" s="420" t="s">
        <v>140</v>
      </c>
      <c r="J3" s="421" t="s">
        <v>18</v>
      </c>
      <c r="K3" s="577" t="s">
        <v>142</v>
      </c>
      <c r="L3" s="577" t="s">
        <v>143</v>
      </c>
      <c r="M3" s="577" t="s">
        <v>144</v>
      </c>
      <c r="N3" s="577" t="s">
        <v>145</v>
      </c>
      <c r="O3" s="577" t="s">
        <v>146</v>
      </c>
      <c r="P3" s="577" t="s">
        <v>147</v>
      </c>
      <c r="Q3" s="577" t="s">
        <v>148</v>
      </c>
      <c r="R3" s="577" t="s">
        <v>149</v>
      </c>
      <c r="S3" s="577" t="s">
        <v>150</v>
      </c>
      <c r="T3" s="577" t="s">
        <v>151</v>
      </c>
      <c r="U3" s="577" t="s">
        <v>152</v>
      </c>
      <c r="V3" s="577" t="s">
        <v>153</v>
      </c>
      <c r="W3" s="423" t="s">
        <v>19</v>
      </c>
      <c r="X3" s="578" t="s">
        <v>2513</v>
      </c>
      <c r="Y3" s="579" t="s">
        <v>21</v>
      </c>
      <c r="Z3" s="580" t="s">
        <v>22</v>
      </c>
      <c r="AA3" s="426" t="s">
        <v>23</v>
      </c>
      <c r="AB3" s="426" t="s">
        <v>2514</v>
      </c>
      <c r="AD3" s="48" t="s">
        <v>1574</v>
      </c>
      <c r="AE3" s="683">
        <f t="shared" si="0"/>
        <v>55607.175000000003</v>
      </c>
      <c r="AF3" s="443">
        <f t="shared" ref="AF3:AF8" si="2">SUM(N18:V18)</f>
        <v>42562.105000000003</v>
      </c>
      <c r="AG3" s="443">
        <f>SUM(K14:M14)</f>
        <v>13045.07</v>
      </c>
      <c r="AH3" s="445">
        <f t="shared" si="1"/>
        <v>-0.42231781064399876</v>
      </c>
    </row>
    <row r="4" spans="1:35" ht="13.5" customHeight="1" x14ac:dyDescent="0.35">
      <c r="A4" s="463"/>
      <c r="B4" s="464"/>
      <c r="C4" s="464"/>
      <c r="D4" s="49"/>
      <c r="E4" s="695"/>
      <c r="F4" s="49"/>
      <c r="I4" s="581" t="s">
        <v>28</v>
      </c>
      <c r="J4" s="431">
        <f>18000/12</f>
        <v>1500</v>
      </c>
      <c r="K4" s="432">
        <f t="shared" ref="K4:K13" si="3">SUMIFS(E$583:E$621,C$583:C$621,I4)</f>
        <v>1385</v>
      </c>
      <c r="L4" s="432">
        <f t="shared" ref="L4:L13" si="4">SUMIFS(E$536:E$582,C$536:C$582,I4)</f>
        <v>1355</v>
      </c>
      <c r="M4" s="432">
        <f t="shared" ref="M4:M13" si="5">SUMIFS($E$486:$E$533,$C$486:$C$533,$I4)</f>
        <v>1635</v>
      </c>
      <c r="N4" s="432">
        <f t="shared" ref="N4:N13" si="6">SUMIFS($E$425:$E$485,$C$425:$C$485,$I4)</f>
        <v>2543</v>
      </c>
      <c r="O4" s="432">
        <f t="shared" ref="O4:O13" si="7">SUMIFS($E$389:$E$422,$C$389:$C$422,$I4)</f>
        <v>855</v>
      </c>
      <c r="P4" s="432">
        <f t="shared" ref="P4:P13" si="8">SUMIFS($E$357:$E$388,$C$357:$C$388,$I4)</f>
        <v>790</v>
      </c>
      <c r="Q4" s="432">
        <f t="shared" ref="Q4:Q13" si="9">SUMIFS($E$318:$E$355,$C$318:$C$355,$I4)</f>
        <v>914.5</v>
      </c>
      <c r="R4" s="432">
        <f t="shared" ref="R4:R13" si="10">SUMIFS($E$282:$E$316,$C$282:$C$316,$I4)</f>
        <v>1455</v>
      </c>
      <c r="S4" s="432">
        <f t="shared" ref="S4:S13" si="11">SUMIFS($E$250:$E$279,$C$250:$C$279,$I4)</f>
        <v>1790.75</v>
      </c>
      <c r="T4" s="432">
        <f t="shared" ref="T4:T13" si="12">SUMIFS($E$227:$E$248,$C$227:$C$248,$I4)</f>
        <v>629</v>
      </c>
      <c r="U4" s="432">
        <f t="shared" ref="U4:U13" si="13">SUMIFS($E$180:$E$225,$C$180:$C$225,$I4)</f>
        <v>1805.5</v>
      </c>
      <c r="V4" s="432">
        <f t="shared" ref="V4:V13" si="14">SUMIFS($E$126:$E$179,$C$126:$C$179,$I4)</f>
        <v>400</v>
      </c>
      <c r="W4" s="431">
        <f t="shared" ref="W4:W13" si="15">SUM(K4:V4)</f>
        <v>15557.75</v>
      </c>
      <c r="X4" s="432">
        <f t="shared" ref="X4:X11" si="16">U4-J4</f>
        <v>305.5</v>
      </c>
      <c r="Y4" s="432">
        <f t="shared" ref="Y4:Y11" si="17">W4-AA4</f>
        <v>-2442.25</v>
      </c>
      <c r="Z4" s="433">
        <f t="shared" ref="Z4:Z11" si="18">Y4/AA4</f>
        <v>-0.13568055555555555</v>
      </c>
      <c r="AA4" s="434">
        <f t="shared" ref="AA4:AA11" si="19">J4*12</f>
        <v>18000</v>
      </c>
      <c r="AB4" s="434">
        <f t="shared" ref="AB4:AB14" si="20">W4/12</f>
        <v>1296.4791666666667</v>
      </c>
      <c r="AD4" s="48" t="s">
        <v>2284</v>
      </c>
      <c r="AE4" s="683">
        <f t="shared" si="0"/>
        <v>86576.47</v>
      </c>
      <c r="AF4" s="443">
        <f t="shared" si="2"/>
        <v>60536.84</v>
      </c>
      <c r="AG4" s="443">
        <f>SUM(K18:M18)</f>
        <v>26039.63</v>
      </c>
      <c r="AH4" s="445">
        <f t="shared" si="1"/>
        <v>0.25562682161804279</v>
      </c>
    </row>
    <row r="5" spans="1:35" ht="13.5" customHeight="1" x14ac:dyDescent="0.35">
      <c r="A5" s="693"/>
      <c r="B5" s="693"/>
      <c r="C5" s="693"/>
      <c r="D5" s="49"/>
      <c r="E5" s="695"/>
      <c r="F5" s="49"/>
      <c r="I5" s="581" t="s">
        <v>1274</v>
      </c>
      <c r="J5" s="431">
        <f>30000/12</f>
        <v>2500</v>
      </c>
      <c r="K5" s="432">
        <f t="shared" si="3"/>
        <v>3606.5</v>
      </c>
      <c r="L5" s="432">
        <f t="shared" si="4"/>
        <v>1298.5999999999999</v>
      </c>
      <c r="M5" s="432">
        <f t="shared" si="5"/>
        <v>1932</v>
      </c>
      <c r="N5" s="432">
        <f t="shared" si="6"/>
        <v>2272.5</v>
      </c>
      <c r="O5" s="432">
        <f t="shared" si="7"/>
        <v>5192</v>
      </c>
      <c r="P5" s="432">
        <f t="shared" si="8"/>
        <v>2458</v>
      </c>
      <c r="Q5" s="432">
        <f t="shared" si="9"/>
        <v>1709</v>
      </c>
      <c r="R5" s="432">
        <f t="shared" si="10"/>
        <v>4214</v>
      </c>
      <c r="S5" s="432">
        <f t="shared" si="11"/>
        <v>1270</v>
      </c>
      <c r="T5" s="432">
        <f t="shared" si="12"/>
        <v>1953</v>
      </c>
      <c r="U5" s="432">
        <f t="shared" si="13"/>
        <v>4055</v>
      </c>
      <c r="V5" s="432">
        <f t="shared" si="14"/>
        <v>1973.5</v>
      </c>
      <c r="W5" s="431">
        <f t="shared" si="15"/>
        <v>31934.1</v>
      </c>
      <c r="X5" s="432">
        <f t="shared" si="16"/>
        <v>1555</v>
      </c>
      <c r="Y5" s="432">
        <f t="shared" si="17"/>
        <v>1934.0999999999985</v>
      </c>
      <c r="Z5" s="433">
        <f t="shared" si="18"/>
        <v>6.4469999999999958E-2</v>
      </c>
      <c r="AA5" s="434">
        <f t="shared" si="19"/>
        <v>30000</v>
      </c>
      <c r="AB5" s="434">
        <f t="shared" si="20"/>
        <v>2661.1749999999997</v>
      </c>
      <c r="AD5" s="48" t="s">
        <v>1576</v>
      </c>
      <c r="AE5" s="683">
        <f t="shared" si="0"/>
        <v>61193.33</v>
      </c>
      <c r="AF5" s="443">
        <f t="shared" si="2"/>
        <v>45062</v>
      </c>
      <c r="AG5" s="443">
        <f>SUM(K19:M19)</f>
        <v>16131.33</v>
      </c>
      <c r="AH5" s="445">
        <f t="shared" si="1"/>
        <v>1.2560472238249522E-2</v>
      </c>
    </row>
    <row r="6" spans="1:35" ht="13.5" customHeight="1" x14ac:dyDescent="0.35">
      <c r="A6" s="693"/>
      <c r="B6" s="693"/>
      <c r="C6" s="693"/>
      <c r="D6" s="49"/>
      <c r="E6" s="695"/>
      <c r="F6" s="49"/>
      <c r="I6" s="581" t="s">
        <v>1276</v>
      </c>
      <c r="J6" s="431">
        <v>1200</v>
      </c>
      <c r="K6" s="432">
        <f t="shared" si="3"/>
        <v>1151.0700000000002</v>
      </c>
      <c r="L6" s="432">
        <f t="shared" si="4"/>
        <v>1217.5</v>
      </c>
      <c r="M6" s="432">
        <f t="shared" si="5"/>
        <v>807.5</v>
      </c>
      <c r="N6" s="432">
        <f t="shared" si="6"/>
        <v>842.5</v>
      </c>
      <c r="O6" s="432">
        <f t="shared" si="7"/>
        <v>1105</v>
      </c>
      <c r="P6" s="432">
        <f t="shared" si="8"/>
        <v>1030</v>
      </c>
      <c r="Q6" s="432">
        <f t="shared" si="9"/>
        <v>1257.5</v>
      </c>
      <c r="R6" s="432">
        <f t="shared" si="10"/>
        <v>2690</v>
      </c>
      <c r="S6" s="432">
        <f t="shared" si="11"/>
        <v>1404.5</v>
      </c>
      <c r="T6" s="432">
        <f t="shared" si="12"/>
        <v>707.5</v>
      </c>
      <c r="U6" s="432">
        <f t="shared" si="13"/>
        <v>1053.75</v>
      </c>
      <c r="V6" s="432">
        <f t="shared" si="14"/>
        <v>571.25</v>
      </c>
      <c r="W6" s="431">
        <f t="shared" si="15"/>
        <v>13838.07</v>
      </c>
      <c r="X6" s="432">
        <f t="shared" si="16"/>
        <v>-146.25</v>
      </c>
      <c r="Y6" s="432">
        <f t="shared" si="17"/>
        <v>-561.93000000000029</v>
      </c>
      <c r="Z6" s="433">
        <f t="shared" si="18"/>
        <v>-3.9022916666666685E-2</v>
      </c>
      <c r="AA6" s="434">
        <f t="shared" si="19"/>
        <v>14400</v>
      </c>
      <c r="AB6" s="434">
        <f t="shared" si="20"/>
        <v>1153.1724999999999</v>
      </c>
      <c r="AD6" s="48" t="s">
        <v>1577</v>
      </c>
      <c r="AE6" s="683">
        <f t="shared" si="0"/>
        <v>57074</v>
      </c>
      <c r="AF6" s="443">
        <f t="shared" si="2"/>
        <v>44496</v>
      </c>
      <c r="AG6" s="443">
        <f>SUM(K20:M20)</f>
        <v>12578</v>
      </c>
      <c r="AH6" s="445">
        <f t="shared" si="1"/>
        <v>0.10681859043509528</v>
      </c>
    </row>
    <row r="7" spans="1:35" ht="13.5" customHeight="1" x14ac:dyDescent="0.35">
      <c r="A7" s="693"/>
      <c r="B7" s="693"/>
      <c r="C7" s="464"/>
      <c r="D7" s="49"/>
      <c r="E7" s="695"/>
      <c r="F7" s="49"/>
      <c r="I7" s="581" t="s">
        <v>1277</v>
      </c>
      <c r="J7" s="431">
        <v>-833</v>
      </c>
      <c r="K7" s="432">
        <f t="shared" si="3"/>
        <v>-936.5</v>
      </c>
      <c r="L7" s="432">
        <f t="shared" si="4"/>
        <v>-1471.6</v>
      </c>
      <c r="M7" s="432">
        <f t="shared" si="5"/>
        <v>-900</v>
      </c>
      <c r="N7" s="432">
        <f t="shared" si="6"/>
        <v>-1870.5</v>
      </c>
      <c r="O7" s="432">
        <f t="shared" si="7"/>
        <v>-1079</v>
      </c>
      <c r="P7" s="432">
        <f t="shared" si="8"/>
        <v>-324</v>
      </c>
      <c r="Q7" s="432">
        <f t="shared" si="9"/>
        <v>-1054.5</v>
      </c>
      <c r="R7" s="432">
        <f t="shared" si="10"/>
        <v>-1440</v>
      </c>
      <c r="S7" s="432">
        <f t="shared" si="11"/>
        <v>-485.75</v>
      </c>
      <c r="T7" s="432">
        <f t="shared" si="12"/>
        <v>0</v>
      </c>
      <c r="U7" s="432">
        <f t="shared" si="13"/>
        <v>-1679</v>
      </c>
      <c r="V7" s="432">
        <f t="shared" si="14"/>
        <v>-117.5</v>
      </c>
      <c r="W7" s="704">
        <f t="shared" si="15"/>
        <v>-11358.35</v>
      </c>
      <c r="X7" s="432">
        <f t="shared" si="16"/>
        <v>-846</v>
      </c>
      <c r="Y7" s="432">
        <f t="shared" si="17"/>
        <v>-1362.3500000000004</v>
      </c>
      <c r="Z7" s="433">
        <f t="shared" si="18"/>
        <v>0.13628951580632256</v>
      </c>
      <c r="AA7" s="434">
        <f t="shared" si="19"/>
        <v>-9996</v>
      </c>
      <c r="AB7" s="434">
        <f t="shared" si="20"/>
        <v>-946.5291666666667</v>
      </c>
      <c r="AD7" s="48" t="s">
        <v>1578</v>
      </c>
      <c r="AE7" s="683">
        <f t="shared" si="0"/>
        <v>54316</v>
      </c>
      <c r="AF7" s="443">
        <f t="shared" si="2"/>
        <v>39743</v>
      </c>
      <c r="AG7" s="443">
        <f>SUM(K21:M21)</f>
        <v>14573</v>
      </c>
      <c r="AH7" s="445">
        <f t="shared" si="1"/>
        <v>0.76363133130362582</v>
      </c>
    </row>
    <row r="8" spans="1:35" ht="13.5" customHeight="1" x14ac:dyDescent="0.35">
      <c r="A8" s="693">
        <v>43579</v>
      </c>
      <c r="B8" s="693" t="s">
        <v>2515</v>
      </c>
      <c r="C8" s="693" t="s">
        <v>123</v>
      </c>
      <c r="D8" s="693"/>
      <c r="E8" s="695">
        <v>99</v>
      </c>
      <c r="F8" s="693" t="s">
        <v>2516</v>
      </c>
      <c r="I8" s="581" t="s">
        <v>1278</v>
      </c>
      <c r="J8" s="431">
        <v>100</v>
      </c>
      <c r="K8" s="432">
        <f t="shared" si="3"/>
        <v>40</v>
      </c>
      <c r="L8" s="432">
        <f t="shared" si="4"/>
        <v>240</v>
      </c>
      <c r="M8" s="432">
        <f t="shared" si="5"/>
        <v>60</v>
      </c>
      <c r="N8" s="432">
        <f t="shared" si="6"/>
        <v>100</v>
      </c>
      <c r="O8" s="432">
        <f t="shared" si="7"/>
        <v>80</v>
      </c>
      <c r="P8" s="432">
        <f t="shared" si="8"/>
        <v>120</v>
      </c>
      <c r="Q8" s="432">
        <f t="shared" si="9"/>
        <v>140</v>
      </c>
      <c r="R8" s="432">
        <f t="shared" si="10"/>
        <v>60</v>
      </c>
      <c r="S8" s="432">
        <f t="shared" si="11"/>
        <v>40</v>
      </c>
      <c r="T8" s="432">
        <f t="shared" si="12"/>
        <v>260</v>
      </c>
      <c r="U8" s="432">
        <f t="shared" si="13"/>
        <v>60</v>
      </c>
      <c r="V8" s="432">
        <f t="shared" si="14"/>
        <v>60</v>
      </c>
      <c r="W8" s="431">
        <f t="shared" si="15"/>
        <v>1260</v>
      </c>
      <c r="X8" s="432">
        <f t="shared" si="16"/>
        <v>-40</v>
      </c>
      <c r="Y8" s="432">
        <f t="shared" si="17"/>
        <v>60</v>
      </c>
      <c r="Z8" s="433">
        <f t="shared" si="18"/>
        <v>0.05</v>
      </c>
      <c r="AA8" s="434">
        <f t="shared" si="19"/>
        <v>1200</v>
      </c>
      <c r="AB8" s="434">
        <f t="shared" si="20"/>
        <v>105</v>
      </c>
      <c r="AD8" s="48" t="s">
        <v>1579</v>
      </c>
      <c r="AE8" s="683">
        <f t="shared" si="0"/>
        <v>20273</v>
      </c>
      <c r="AF8" s="443">
        <f t="shared" si="2"/>
        <v>9394</v>
      </c>
      <c r="AG8" s="443">
        <f>SUM(K22:M22)</f>
        <v>10879</v>
      </c>
      <c r="AH8" s="445"/>
    </row>
    <row r="9" spans="1:35" ht="13.5" customHeight="1" x14ac:dyDescent="0.35">
      <c r="A9" s="463"/>
      <c r="B9" s="464"/>
      <c r="C9" s="464"/>
      <c r="D9" s="49"/>
      <c r="E9" s="695"/>
      <c r="F9" s="49"/>
      <c r="I9" s="582" t="s">
        <v>1279</v>
      </c>
      <c r="J9" s="431">
        <f>10000/12</f>
        <v>833.33333333333337</v>
      </c>
      <c r="K9" s="432">
        <f t="shared" si="3"/>
        <v>645</v>
      </c>
      <c r="L9" s="432">
        <f t="shared" si="4"/>
        <v>65</v>
      </c>
      <c r="M9" s="432">
        <f t="shared" si="5"/>
        <v>580</v>
      </c>
      <c r="N9" s="432">
        <f t="shared" si="6"/>
        <v>1045</v>
      </c>
      <c r="O9" s="432">
        <f t="shared" si="7"/>
        <v>695</v>
      </c>
      <c r="P9" s="432">
        <f t="shared" si="8"/>
        <v>725</v>
      </c>
      <c r="Q9" s="432">
        <f t="shared" si="9"/>
        <v>1545</v>
      </c>
      <c r="R9" s="432">
        <f t="shared" si="10"/>
        <v>480</v>
      </c>
      <c r="S9" s="432">
        <f t="shared" si="11"/>
        <v>1590</v>
      </c>
      <c r="T9" s="432">
        <f t="shared" si="12"/>
        <v>360</v>
      </c>
      <c r="U9" s="432">
        <f t="shared" si="13"/>
        <v>628.5</v>
      </c>
      <c r="V9" s="432">
        <f t="shared" si="14"/>
        <v>955</v>
      </c>
      <c r="W9" s="431">
        <f t="shared" si="15"/>
        <v>9313.5</v>
      </c>
      <c r="X9" s="432">
        <f t="shared" si="16"/>
        <v>-204.83333333333337</v>
      </c>
      <c r="Y9" s="432">
        <f t="shared" si="17"/>
        <v>-686.5</v>
      </c>
      <c r="Z9" s="433">
        <f t="shared" si="18"/>
        <v>-6.8650000000000003E-2</v>
      </c>
      <c r="AA9" s="434">
        <f t="shared" si="19"/>
        <v>10000</v>
      </c>
      <c r="AB9" s="434">
        <f t="shared" si="20"/>
        <v>776.125</v>
      </c>
    </row>
    <row r="10" spans="1:35" ht="13.5" customHeight="1" x14ac:dyDescent="0.35">
      <c r="A10" s="463"/>
      <c r="B10" s="464"/>
      <c r="C10" s="464"/>
      <c r="D10" s="49"/>
      <c r="E10" s="695"/>
      <c r="F10" s="49"/>
      <c r="I10" s="582" t="s">
        <v>2517</v>
      </c>
      <c r="J10" s="431">
        <f>2000/12</f>
        <v>166.66666666666666</v>
      </c>
      <c r="K10" s="432">
        <f t="shared" si="3"/>
        <v>0</v>
      </c>
      <c r="L10" s="432">
        <f t="shared" si="4"/>
        <v>0</v>
      </c>
      <c r="M10" s="432">
        <f t="shared" si="5"/>
        <v>0</v>
      </c>
      <c r="N10" s="432">
        <f t="shared" si="6"/>
        <v>180</v>
      </c>
      <c r="O10" s="432">
        <f t="shared" si="7"/>
        <v>30</v>
      </c>
      <c r="P10" s="432">
        <f t="shared" si="8"/>
        <v>0</v>
      </c>
      <c r="Q10" s="432">
        <f t="shared" si="9"/>
        <v>0</v>
      </c>
      <c r="R10" s="432">
        <f t="shared" si="10"/>
        <v>0</v>
      </c>
      <c r="S10" s="432">
        <f t="shared" si="11"/>
        <v>250</v>
      </c>
      <c r="T10" s="432">
        <f t="shared" si="12"/>
        <v>0</v>
      </c>
      <c r="U10" s="432">
        <f t="shared" si="13"/>
        <v>50</v>
      </c>
      <c r="V10" s="432">
        <f t="shared" si="14"/>
        <v>1075</v>
      </c>
      <c r="W10" s="431">
        <f t="shared" si="15"/>
        <v>1585</v>
      </c>
      <c r="X10" s="432">
        <f t="shared" si="16"/>
        <v>-116.66666666666666</v>
      </c>
      <c r="Y10" s="432">
        <f t="shared" si="17"/>
        <v>-415</v>
      </c>
      <c r="Z10" s="433">
        <f t="shared" si="18"/>
        <v>-0.20749999999999999</v>
      </c>
      <c r="AA10" s="434">
        <f t="shared" si="19"/>
        <v>2000</v>
      </c>
      <c r="AB10" s="434">
        <f t="shared" si="20"/>
        <v>132.08333333333334</v>
      </c>
    </row>
    <row r="11" spans="1:35" ht="13.5" customHeight="1" x14ac:dyDescent="0.35">
      <c r="A11" s="463"/>
      <c r="B11" s="464"/>
      <c r="C11" s="464"/>
      <c r="D11" s="49"/>
      <c r="E11" s="695"/>
      <c r="F11" s="49"/>
      <c r="I11" s="582" t="s">
        <v>2518</v>
      </c>
      <c r="J11" s="431">
        <f>3000/12</f>
        <v>250</v>
      </c>
      <c r="K11" s="432">
        <f t="shared" si="3"/>
        <v>0</v>
      </c>
      <c r="L11" s="432">
        <f t="shared" si="4"/>
        <v>0</v>
      </c>
      <c r="M11" s="432">
        <f t="shared" si="5"/>
        <v>0</v>
      </c>
      <c r="N11" s="432">
        <f t="shared" si="6"/>
        <v>0</v>
      </c>
      <c r="O11" s="432">
        <f t="shared" si="7"/>
        <v>0</v>
      </c>
      <c r="P11" s="432">
        <f t="shared" si="8"/>
        <v>26.34</v>
      </c>
      <c r="Q11" s="432">
        <f t="shared" si="9"/>
        <v>1244.4000000000001</v>
      </c>
      <c r="R11" s="432">
        <f t="shared" si="10"/>
        <v>0</v>
      </c>
      <c r="S11" s="432">
        <f t="shared" si="11"/>
        <v>174.89</v>
      </c>
      <c r="T11" s="432">
        <f t="shared" si="12"/>
        <v>657.48</v>
      </c>
      <c r="U11" s="432">
        <f t="shared" si="13"/>
        <v>0</v>
      </c>
      <c r="V11" s="432">
        <f t="shared" si="14"/>
        <v>428.29</v>
      </c>
      <c r="W11" s="431">
        <f t="shared" si="15"/>
        <v>2531.4</v>
      </c>
      <c r="X11" s="432">
        <f t="shared" si="16"/>
        <v>-250</v>
      </c>
      <c r="Y11" s="432">
        <f t="shared" si="17"/>
        <v>-468.59999999999991</v>
      </c>
      <c r="Z11" s="433">
        <f t="shared" si="18"/>
        <v>-0.15619999999999998</v>
      </c>
      <c r="AA11" s="434">
        <f t="shared" si="19"/>
        <v>3000</v>
      </c>
      <c r="AB11" s="434">
        <f t="shared" si="20"/>
        <v>210.95000000000002</v>
      </c>
    </row>
    <row r="12" spans="1:35" ht="13.5" customHeight="1" x14ac:dyDescent="0.35">
      <c r="A12" s="463"/>
      <c r="B12" s="464"/>
      <c r="C12" s="464"/>
      <c r="D12" s="49"/>
      <c r="E12" s="695"/>
      <c r="F12" s="49"/>
      <c r="I12" s="582" t="s">
        <v>2519</v>
      </c>
      <c r="J12" s="431">
        <f>1200/12</f>
        <v>100</v>
      </c>
      <c r="K12" s="432">
        <f t="shared" si="3"/>
        <v>0</v>
      </c>
      <c r="L12" s="432">
        <f t="shared" si="4"/>
        <v>0</v>
      </c>
      <c r="M12" s="432">
        <f t="shared" si="5"/>
        <v>300</v>
      </c>
      <c r="N12" s="432">
        <f t="shared" si="6"/>
        <v>0</v>
      </c>
      <c r="O12" s="432">
        <f t="shared" si="7"/>
        <v>0</v>
      </c>
      <c r="P12" s="432">
        <f t="shared" si="8"/>
        <v>50</v>
      </c>
      <c r="Q12" s="432">
        <f t="shared" si="9"/>
        <v>0</v>
      </c>
      <c r="R12" s="432">
        <f t="shared" si="10"/>
        <v>0</v>
      </c>
      <c r="S12" s="432">
        <f t="shared" si="11"/>
        <v>0</v>
      </c>
      <c r="T12" s="432">
        <f t="shared" si="12"/>
        <v>0</v>
      </c>
      <c r="U12" s="432">
        <f t="shared" si="13"/>
        <v>0</v>
      </c>
      <c r="V12" s="432">
        <f t="shared" si="14"/>
        <v>75</v>
      </c>
      <c r="W12" s="431">
        <f t="shared" si="15"/>
        <v>425</v>
      </c>
      <c r="X12" s="432"/>
      <c r="Y12" s="432"/>
      <c r="Z12" s="433"/>
      <c r="AA12" s="434"/>
      <c r="AB12" s="434">
        <f t="shared" si="20"/>
        <v>35.416666666666664</v>
      </c>
    </row>
    <row r="13" spans="1:35" ht="13.5" customHeight="1" x14ac:dyDescent="0.35">
      <c r="I13" s="582" t="s">
        <v>2520</v>
      </c>
      <c r="J13" s="431">
        <v>25</v>
      </c>
      <c r="K13" s="432">
        <f t="shared" si="3"/>
        <v>0</v>
      </c>
      <c r="L13" s="432">
        <f t="shared" si="4"/>
        <v>35</v>
      </c>
      <c r="M13" s="432">
        <f t="shared" si="5"/>
        <v>0</v>
      </c>
      <c r="N13" s="432">
        <f t="shared" si="6"/>
        <v>35</v>
      </c>
      <c r="O13" s="432">
        <f t="shared" si="7"/>
        <v>0</v>
      </c>
      <c r="P13" s="432">
        <f t="shared" si="8"/>
        <v>0</v>
      </c>
      <c r="Q13" s="432">
        <f t="shared" si="9"/>
        <v>14.07</v>
      </c>
      <c r="R13" s="432">
        <f t="shared" si="10"/>
        <v>4.8899999999999997</v>
      </c>
      <c r="S13" s="432">
        <f t="shared" si="11"/>
        <v>0</v>
      </c>
      <c r="T13" s="432">
        <f t="shared" si="12"/>
        <v>6.6</v>
      </c>
      <c r="U13" s="432">
        <f t="shared" si="13"/>
        <v>0</v>
      </c>
      <c r="V13" s="432">
        <f t="shared" si="14"/>
        <v>0.9</v>
      </c>
      <c r="W13" s="431">
        <f t="shared" si="15"/>
        <v>96.46</v>
      </c>
      <c r="X13" s="432">
        <f>U13-J13</f>
        <v>-25</v>
      </c>
      <c r="Y13" s="432">
        <f>W13-AA13</f>
        <v>-203.54000000000002</v>
      </c>
      <c r="Z13" s="433">
        <f>Y13/AA13</f>
        <v>-0.67846666666666677</v>
      </c>
      <c r="AA13" s="434">
        <f>J13*12</f>
        <v>300</v>
      </c>
      <c r="AB13" s="434">
        <f t="shared" si="20"/>
        <v>8.0383333333333322</v>
      </c>
    </row>
    <row r="14" spans="1:35" ht="15.75" customHeight="1" x14ac:dyDescent="0.4">
      <c r="A14" s="463"/>
      <c r="B14" s="464"/>
      <c r="C14" s="464"/>
      <c r="F14" s="45"/>
      <c r="I14" s="437" t="s">
        <v>63</v>
      </c>
      <c r="J14" s="778">
        <f t="shared" ref="J14:W14" si="21">SUM(J4:J13)</f>
        <v>5842</v>
      </c>
      <c r="K14" s="439">
        <f t="shared" si="21"/>
        <v>5891.07</v>
      </c>
      <c r="L14" s="439">
        <f t="shared" si="21"/>
        <v>2739.5</v>
      </c>
      <c r="M14" s="439">
        <f t="shared" si="21"/>
        <v>4414.5</v>
      </c>
      <c r="N14" s="439">
        <f t="shared" si="21"/>
        <v>5147.5</v>
      </c>
      <c r="O14" s="439">
        <f t="shared" si="21"/>
        <v>6878</v>
      </c>
      <c r="P14" s="439">
        <f t="shared" si="21"/>
        <v>4875.34</v>
      </c>
      <c r="Q14" s="439">
        <f t="shared" si="21"/>
        <v>5769.9699999999993</v>
      </c>
      <c r="R14" s="439">
        <f t="shared" si="21"/>
        <v>7463.89</v>
      </c>
      <c r="S14" s="439">
        <f t="shared" si="21"/>
        <v>6034.39</v>
      </c>
      <c r="T14" s="439">
        <f t="shared" si="21"/>
        <v>4573.58</v>
      </c>
      <c r="U14" s="439">
        <f t="shared" si="21"/>
        <v>5973.75</v>
      </c>
      <c r="V14" s="439">
        <f t="shared" si="21"/>
        <v>5421.44</v>
      </c>
      <c r="W14" s="438">
        <f t="shared" si="21"/>
        <v>65182.93</v>
      </c>
      <c r="X14" s="432">
        <f>U14-J14</f>
        <v>131.75</v>
      </c>
      <c r="Y14" s="439">
        <f>W14-AA14</f>
        <v>-4921.07</v>
      </c>
      <c r="Z14" s="433">
        <f>Y14/AA14</f>
        <v>-7.0196707748487963E-2</v>
      </c>
      <c r="AA14" s="434">
        <f>J14*12</f>
        <v>70104</v>
      </c>
      <c r="AB14" s="434">
        <f t="shared" si="20"/>
        <v>5431.9108333333334</v>
      </c>
      <c r="AD14" s="469" t="s">
        <v>70</v>
      </c>
      <c r="AE14" s="469" t="s">
        <v>71</v>
      </c>
      <c r="AF14" s="469" t="s">
        <v>72</v>
      </c>
      <c r="AG14" s="469" t="s">
        <v>73</v>
      </c>
      <c r="AH14" s="469" t="s">
        <v>74</v>
      </c>
      <c r="AI14" s="469" t="s">
        <v>75</v>
      </c>
    </row>
    <row r="15" spans="1:35" ht="13.15" customHeight="1" x14ac:dyDescent="0.4">
      <c r="J15" s="441">
        <f>J14*12</f>
        <v>70104</v>
      </c>
      <c r="K15" s="671">
        <f>K14/J14</f>
        <v>1.0083995207120848</v>
      </c>
      <c r="L15" s="671">
        <f>L14/J14</f>
        <v>0.468931872646354</v>
      </c>
      <c r="M15" s="671">
        <f>M14/J14</f>
        <v>0.75564875042793567</v>
      </c>
      <c r="N15" s="671">
        <f>N14/J14</f>
        <v>0.8811194796302636</v>
      </c>
      <c r="O15" s="671">
        <f>O14/J14</f>
        <v>1.1773365285861006</v>
      </c>
      <c r="P15" s="671">
        <f>P14/J14</f>
        <v>0.83453269428277987</v>
      </c>
      <c r="Q15" s="671">
        <f>Q14/J14</f>
        <v>0.9876703183841149</v>
      </c>
      <c r="R15" s="671">
        <f>R14/J14</f>
        <v>1.2776258130777132</v>
      </c>
      <c r="S15" s="671">
        <f>S14/J14</f>
        <v>1.0329322149948648</v>
      </c>
      <c r="T15" s="671">
        <f>T14/J14</f>
        <v>0.78287915097569327</v>
      </c>
      <c r="U15" s="671">
        <f>U14/J14</f>
        <v>1.0225522081478946</v>
      </c>
      <c r="V15" s="671">
        <f>V14/J14</f>
        <v>0.928010955152345</v>
      </c>
      <c r="W15" s="671">
        <f>W14/AA14</f>
        <v>0.92980329225151204</v>
      </c>
      <c r="X15" s="583">
        <f>W14-W18</f>
        <v>-3418.8049999999857</v>
      </c>
      <c r="Y15" s="585">
        <f>X15/W19</f>
        <v>-4.4592234300101147E-2</v>
      </c>
      <c r="AB15" s="445"/>
    </row>
    <row r="17" spans="1:35" ht="13.15" customHeight="1" x14ac:dyDescent="0.4">
      <c r="I17" s="541" t="s">
        <v>109</v>
      </c>
      <c r="J17" s="584" t="s">
        <v>43</v>
      </c>
      <c r="K17" s="558">
        <v>5891.07</v>
      </c>
      <c r="L17" s="558">
        <v>2739.5</v>
      </c>
      <c r="M17" s="558">
        <v>4414.5</v>
      </c>
      <c r="N17" s="558">
        <v>5147.5</v>
      </c>
      <c r="O17" s="558">
        <v>6878</v>
      </c>
      <c r="P17" s="558">
        <v>4875.34</v>
      </c>
      <c r="Q17" s="558">
        <v>5769.97</v>
      </c>
      <c r="R17" s="558">
        <v>7463.89</v>
      </c>
      <c r="S17" s="558">
        <v>6034.39</v>
      </c>
      <c r="T17" s="558">
        <v>4573.58</v>
      </c>
      <c r="U17" s="558">
        <v>5973.75</v>
      </c>
      <c r="V17" s="558">
        <v>5421.4400000000014</v>
      </c>
      <c r="W17" s="431">
        <f t="shared" ref="W17:W23" si="22">SUM(K17:V17)</f>
        <v>65182.93</v>
      </c>
      <c r="X17" s="583">
        <f t="shared" ref="X17:X22" si="23">W17-W18</f>
        <v>-3418.8049999999857</v>
      </c>
      <c r="Y17" s="585">
        <f t="shared" ref="Y17:Y22" si="24">X17/W18</f>
        <v>-4.983554716218163E-2</v>
      </c>
      <c r="AB17" s="445"/>
    </row>
    <row r="18" spans="1:35" ht="13.9" customHeight="1" x14ac:dyDescent="0.4">
      <c r="I18" s="541" t="s">
        <v>115</v>
      </c>
      <c r="J18" s="45" t="s">
        <v>46</v>
      </c>
      <c r="K18" s="558">
        <v>8277.4700000000012</v>
      </c>
      <c r="L18" s="558">
        <v>10607.11</v>
      </c>
      <c r="M18" s="558">
        <v>7155.05</v>
      </c>
      <c r="N18" s="558">
        <v>4371.0150000000003</v>
      </c>
      <c r="O18" s="558">
        <v>4002.63</v>
      </c>
      <c r="P18" s="558">
        <v>3243.6</v>
      </c>
      <c r="Q18" s="558">
        <v>2859.03</v>
      </c>
      <c r="R18" s="558">
        <v>4792.59</v>
      </c>
      <c r="S18" s="558">
        <v>6443.88</v>
      </c>
      <c r="T18" s="558">
        <v>3908.03</v>
      </c>
      <c r="U18" s="558">
        <v>8299.08</v>
      </c>
      <c r="V18" s="558">
        <v>4642.25</v>
      </c>
      <c r="W18" s="431">
        <f t="shared" si="22"/>
        <v>68601.734999999986</v>
      </c>
      <c r="X18" s="583">
        <f t="shared" si="23"/>
        <v>-8066.4350000000122</v>
      </c>
      <c r="Y18" s="585">
        <f t="shared" si="24"/>
        <v>-0.10521230648912075</v>
      </c>
      <c r="AD18" s="470">
        <v>42937</v>
      </c>
      <c r="AE18" s="471" t="s">
        <v>1807</v>
      </c>
      <c r="AF18" s="471" t="s">
        <v>1808</v>
      </c>
      <c r="AG18" s="472">
        <v>146746</v>
      </c>
      <c r="AH18" s="473">
        <v>200</v>
      </c>
      <c r="AI18" s="474" t="s">
        <v>1775</v>
      </c>
    </row>
    <row r="19" spans="1:35" ht="13.9" customHeight="1" x14ac:dyDescent="0.4">
      <c r="A19" s="693"/>
      <c r="B19" s="693"/>
      <c r="C19" s="693"/>
      <c r="D19" s="694"/>
      <c r="E19" s="697"/>
      <c r="F19" s="49"/>
      <c r="I19" s="440" t="s">
        <v>116</v>
      </c>
      <c r="J19" s="45" t="s">
        <v>49</v>
      </c>
      <c r="K19" s="558">
        <v>3203.5</v>
      </c>
      <c r="L19" s="558">
        <v>6685</v>
      </c>
      <c r="M19" s="558">
        <v>6242.83</v>
      </c>
      <c r="N19" s="558">
        <v>6063.17</v>
      </c>
      <c r="O19" s="558">
        <v>5851.71</v>
      </c>
      <c r="P19" s="558">
        <v>5479.93</v>
      </c>
      <c r="Q19" s="558">
        <v>3603.81</v>
      </c>
      <c r="R19" s="558">
        <v>4658.8500000000004</v>
      </c>
      <c r="S19" s="558">
        <v>10821.67</v>
      </c>
      <c r="T19" s="558">
        <v>9224.58</v>
      </c>
      <c r="U19" s="558">
        <v>10504.09</v>
      </c>
      <c r="V19" s="558">
        <v>4329.0300000000007</v>
      </c>
      <c r="W19" s="431">
        <f t="shared" si="22"/>
        <v>76668.17</v>
      </c>
      <c r="X19" s="583">
        <f t="shared" si="23"/>
        <v>19028.169999999998</v>
      </c>
      <c r="Y19" s="585">
        <f t="shared" si="24"/>
        <v>0.3301209229701596</v>
      </c>
      <c r="AA19" s="559" t="s">
        <v>1038</v>
      </c>
      <c r="AB19" s="642">
        <f>SUM(K14:V14)+(AB14*1)</f>
        <v>70614.840833333335</v>
      </c>
      <c r="AD19" s="470">
        <v>42941</v>
      </c>
      <c r="AE19" s="471" t="s">
        <v>1809</v>
      </c>
      <c r="AF19" s="471" t="s">
        <v>1810</v>
      </c>
      <c r="AG19" s="472">
        <v>146833</v>
      </c>
      <c r="AH19" s="473">
        <v>200</v>
      </c>
      <c r="AI19" s="474" t="s">
        <v>1775</v>
      </c>
    </row>
    <row r="20" spans="1:35" ht="13.9" customHeight="1" x14ac:dyDescent="0.4">
      <c r="A20" s="427"/>
      <c r="B20" s="463"/>
      <c r="C20" s="464"/>
      <c r="D20" s="45"/>
      <c r="E20" s="465"/>
      <c r="F20" s="464"/>
      <c r="I20" s="440" t="s">
        <v>117</v>
      </c>
      <c r="J20" s="584" t="s">
        <v>2521</v>
      </c>
      <c r="K20" s="434">
        <v>4537</v>
      </c>
      <c r="L20" s="434">
        <f>4583-264</f>
        <v>4319</v>
      </c>
      <c r="M20" s="558">
        <f>3935-213</f>
        <v>3722</v>
      </c>
      <c r="N20" s="558">
        <f>4947-396</f>
        <v>4551</v>
      </c>
      <c r="O20" s="558">
        <f>3911-293</f>
        <v>3618</v>
      </c>
      <c r="P20" s="558">
        <f>2992-213</f>
        <v>2779</v>
      </c>
      <c r="Q20" s="558">
        <f>2927-218</f>
        <v>2709</v>
      </c>
      <c r="R20" s="558">
        <f>7466-213</f>
        <v>7253</v>
      </c>
      <c r="S20" s="558">
        <f>4218-425</f>
        <v>3793</v>
      </c>
      <c r="T20" s="558">
        <f>10697-213</f>
        <v>10484</v>
      </c>
      <c r="U20" s="558">
        <f>5081-213</f>
        <v>4868</v>
      </c>
      <c r="V20" s="558">
        <f>5220-213</f>
        <v>5007</v>
      </c>
      <c r="W20" s="431">
        <f t="shared" si="22"/>
        <v>57640</v>
      </c>
      <c r="X20" s="583">
        <f t="shared" si="23"/>
        <v>-1429</v>
      </c>
      <c r="Y20" s="585">
        <f t="shared" si="24"/>
        <v>-2.4192046589581677E-2</v>
      </c>
      <c r="Z20" s="445"/>
      <c r="AA20" s="771" t="s">
        <v>2522</v>
      </c>
      <c r="AB20" s="443">
        <f>W14+V25</f>
        <v>71563.381428571432</v>
      </c>
      <c r="AD20" s="470">
        <v>42947</v>
      </c>
      <c r="AE20" s="471" t="s">
        <v>1811</v>
      </c>
      <c r="AF20" s="471" t="s">
        <v>1812</v>
      </c>
      <c r="AG20" s="472">
        <v>146978</v>
      </c>
      <c r="AH20" s="473">
        <v>135</v>
      </c>
      <c r="AI20" s="474" t="s">
        <v>1375</v>
      </c>
    </row>
    <row r="21" spans="1:35" ht="13.9" customHeight="1" x14ac:dyDescent="0.4">
      <c r="A21" s="463"/>
      <c r="B21" s="464"/>
      <c r="C21" s="464"/>
      <c r="E21" s="465"/>
      <c r="F21" s="464"/>
      <c r="I21" s="440" t="s">
        <v>118</v>
      </c>
      <c r="J21" s="45" t="s">
        <v>55</v>
      </c>
      <c r="K21" s="434">
        <v>3710</v>
      </c>
      <c r="L21" s="434">
        <v>3750</v>
      </c>
      <c r="M21" s="558">
        <v>7113</v>
      </c>
      <c r="N21" s="558">
        <f>3928-213</f>
        <v>3715</v>
      </c>
      <c r="O21" s="558">
        <f>2501-213</f>
        <v>2288</v>
      </c>
      <c r="P21" s="558">
        <f>3468-213</f>
        <v>3255</v>
      </c>
      <c r="Q21" s="558">
        <f>1986-224</f>
        <v>1762</v>
      </c>
      <c r="R21" s="558">
        <f>4145-212</f>
        <v>3933</v>
      </c>
      <c r="S21" s="558">
        <f>8518-212</f>
        <v>8306</v>
      </c>
      <c r="T21" s="558">
        <f>5829-424</f>
        <v>5405</v>
      </c>
      <c r="U21" s="558">
        <f>3816-212</f>
        <v>3604</v>
      </c>
      <c r="V21" s="558">
        <f>12440-212</f>
        <v>12228</v>
      </c>
      <c r="W21" s="431">
        <f t="shared" si="22"/>
        <v>59069</v>
      </c>
      <c r="X21" s="583">
        <f t="shared" si="23"/>
        <v>8447</v>
      </c>
      <c r="Y21" s="585">
        <f t="shared" si="24"/>
        <v>0.16686420923709058</v>
      </c>
      <c r="Z21" s="445"/>
      <c r="AA21" s="445"/>
      <c r="AD21" s="470">
        <v>42969</v>
      </c>
      <c r="AE21" s="471" t="s">
        <v>1813</v>
      </c>
      <c r="AF21" s="471" t="s">
        <v>1814</v>
      </c>
      <c r="AG21" s="472">
        <v>147703</v>
      </c>
      <c r="AH21" s="473">
        <v>200</v>
      </c>
      <c r="AI21" s="474" t="s">
        <v>1775</v>
      </c>
    </row>
    <row r="22" spans="1:35" ht="13.9" customHeight="1" x14ac:dyDescent="0.4">
      <c r="A22" s="463"/>
      <c r="B22" s="464"/>
      <c r="C22" s="464"/>
      <c r="D22" s="463"/>
      <c r="E22" s="465"/>
      <c r="F22" s="462"/>
      <c r="I22" s="440" t="s">
        <v>120</v>
      </c>
      <c r="J22" s="45" t="s">
        <v>58</v>
      </c>
      <c r="K22" s="434">
        <f>4439-1260</f>
        <v>3179</v>
      </c>
      <c r="L22" s="434">
        <f>3071-197</f>
        <v>2874</v>
      </c>
      <c r="M22" s="558">
        <f>4958-132</f>
        <v>4826</v>
      </c>
      <c r="N22" s="558">
        <f>3585-132</f>
        <v>3453</v>
      </c>
      <c r="O22" s="558">
        <f>5008-33</f>
        <v>4975</v>
      </c>
      <c r="P22" s="558">
        <v>3386</v>
      </c>
      <c r="Q22" s="558">
        <v>3633</v>
      </c>
      <c r="R22" s="558">
        <v>3855</v>
      </c>
      <c r="S22" s="558">
        <v>6440</v>
      </c>
      <c r="T22" s="558">
        <v>3536</v>
      </c>
      <c r="U22" s="558">
        <v>2851</v>
      </c>
      <c r="V22" s="558">
        <v>7614</v>
      </c>
      <c r="W22" s="431">
        <f t="shared" si="22"/>
        <v>50622</v>
      </c>
      <c r="X22" s="583">
        <f t="shared" si="23"/>
        <v>41228</v>
      </c>
      <c r="Y22" s="585">
        <f t="shared" si="24"/>
        <v>4.3887587822014051</v>
      </c>
      <c r="AD22" s="470">
        <v>42970</v>
      </c>
      <c r="AE22" s="471" t="s">
        <v>1815</v>
      </c>
      <c r="AF22" s="471" t="s">
        <v>1816</v>
      </c>
      <c r="AG22" s="472">
        <v>147671</v>
      </c>
      <c r="AH22" s="473">
        <v>200</v>
      </c>
      <c r="AI22" s="474" t="s">
        <v>1775</v>
      </c>
    </row>
    <row r="23" spans="1:35" ht="13.9" customHeight="1" x14ac:dyDescent="0.4">
      <c r="I23" s="541" t="s">
        <v>121</v>
      </c>
      <c r="J23" s="45" t="s">
        <v>61</v>
      </c>
      <c r="U23" s="558">
        <f>3346-338</f>
        <v>3008</v>
      </c>
      <c r="V23" s="558">
        <f>6776-390</f>
        <v>6386</v>
      </c>
      <c r="W23" s="431">
        <f t="shared" si="22"/>
        <v>9394</v>
      </c>
      <c r="AD23" s="470">
        <v>42970</v>
      </c>
      <c r="AE23" s="471" t="s">
        <v>1817</v>
      </c>
      <c r="AF23" s="471" t="s">
        <v>1818</v>
      </c>
      <c r="AG23" s="472">
        <v>147844</v>
      </c>
      <c r="AH23" s="473">
        <v>200</v>
      </c>
      <c r="AI23" s="474" t="s">
        <v>1819</v>
      </c>
    </row>
    <row r="24" spans="1:35" ht="13.9" customHeight="1" x14ac:dyDescent="0.4">
      <c r="A24" s="463"/>
      <c r="B24" s="464"/>
      <c r="C24" s="464"/>
      <c r="E24" s="465"/>
      <c r="F24" s="45"/>
      <c r="I24" s="446" t="s">
        <v>82</v>
      </c>
      <c r="J24" s="441"/>
      <c r="K24" s="671">
        <f t="shared" ref="K24:V24" si="25">IFERROR((K14-K17)/K17,0)</f>
        <v>0</v>
      </c>
      <c r="L24" s="671">
        <f t="shared" si="25"/>
        <v>0</v>
      </c>
      <c r="M24" s="671">
        <f t="shared" si="25"/>
        <v>0</v>
      </c>
      <c r="N24" s="671">
        <f t="shared" si="25"/>
        <v>0</v>
      </c>
      <c r="O24" s="671">
        <f t="shared" si="25"/>
        <v>0</v>
      </c>
      <c r="P24" s="671">
        <f t="shared" si="25"/>
        <v>0</v>
      </c>
      <c r="Q24" s="671">
        <f t="shared" si="25"/>
        <v>-1.5762555122001123E-16</v>
      </c>
      <c r="R24" s="671">
        <f t="shared" si="25"/>
        <v>0</v>
      </c>
      <c r="S24" s="671">
        <f t="shared" si="25"/>
        <v>0</v>
      </c>
      <c r="T24" s="671">
        <f t="shared" si="25"/>
        <v>0</v>
      </c>
      <c r="U24" s="671">
        <f t="shared" si="25"/>
        <v>0</v>
      </c>
      <c r="V24" s="671">
        <f t="shared" si="25"/>
        <v>-3.3551775977339156E-16</v>
      </c>
      <c r="W24" s="671">
        <f>IFERROR((W14-W19)/W19,0)</f>
        <v>-0.1498045407892219</v>
      </c>
      <c r="Y24" s="688">
        <f>W14-K18-L18-M18-N18-O18-P18-Q18-R18-S18-T18-U18-V18</f>
        <v>-3418.8050000000039</v>
      </c>
      <c r="Z24" s="433">
        <f>Y24/(K18+L18+M18+N18+O18+P18+Q18+R18+S18+T18+U18+V18)</f>
        <v>-4.9835547162181901E-2</v>
      </c>
      <c r="AD24" s="470">
        <v>42976</v>
      </c>
      <c r="AE24" s="471" t="s">
        <v>1820</v>
      </c>
      <c r="AF24" s="471" t="s">
        <v>1821</v>
      </c>
      <c r="AG24" s="472">
        <v>148062</v>
      </c>
      <c r="AH24" s="473">
        <v>65</v>
      </c>
      <c r="AI24" s="474" t="s">
        <v>1375</v>
      </c>
    </row>
    <row r="25" spans="1:35" ht="15" customHeight="1" x14ac:dyDescent="0.4">
      <c r="A25" s="463"/>
      <c r="B25" s="464"/>
      <c r="C25" s="464"/>
      <c r="D25" s="463"/>
      <c r="E25" s="465"/>
      <c r="F25" s="464"/>
      <c r="I25" s="447" t="s">
        <v>123</v>
      </c>
      <c r="J25" s="448">
        <f ca="1">SUMIF($C1:E77,I25,$E1:$E55)</f>
        <v>4384</v>
      </c>
      <c r="K25" s="558">
        <f t="shared" ref="K25:V25" si="26">AVERAGE(K17:K22,K14)</f>
        <v>4955.5871428571427</v>
      </c>
      <c r="L25" s="558">
        <f t="shared" si="26"/>
        <v>4816.3014285714289</v>
      </c>
      <c r="M25" s="558">
        <f t="shared" si="26"/>
        <v>5412.5542857142855</v>
      </c>
      <c r="N25" s="558">
        <f t="shared" si="26"/>
        <v>4635.4549999999999</v>
      </c>
      <c r="O25" s="558">
        <f t="shared" si="26"/>
        <v>4927.3342857142852</v>
      </c>
      <c r="P25" s="558">
        <f t="shared" si="26"/>
        <v>3984.8871428571433</v>
      </c>
      <c r="Q25" s="558">
        <f t="shared" si="26"/>
        <v>3729.54</v>
      </c>
      <c r="R25" s="558">
        <f t="shared" si="26"/>
        <v>5631.46</v>
      </c>
      <c r="S25" s="558">
        <f t="shared" si="26"/>
        <v>6839.0471428571427</v>
      </c>
      <c r="T25" s="558">
        <f t="shared" si="26"/>
        <v>5957.8242857142859</v>
      </c>
      <c r="U25" s="558">
        <f t="shared" si="26"/>
        <v>6010.5242857142857</v>
      </c>
      <c r="V25" s="558">
        <f t="shared" si="26"/>
        <v>6380.4514285714295</v>
      </c>
      <c r="W25" s="449">
        <f>SUM(K25:V25)</f>
        <v>63280.966428571432</v>
      </c>
      <c r="X25" s="449" t="s">
        <v>1039</v>
      </c>
      <c r="AD25" s="470">
        <v>42978</v>
      </c>
      <c r="AE25" s="471" t="s">
        <v>1822</v>
      </c>
      <c r="AF25" s="471" t="s">
        <v>1823</v>
      </c>
      <c r="AG25" s="472">
        <v>148222</v>
      </c>
      <c r="AH25" s="473">
        <v>200</v>
      </c>
      <c r="AI25" s="474" t="s">
        <v>1775</v>
      </c>
    </row>
    <row r="26" spans="1:35" ht="15" customHeight="1" x14ac:dyDescent="0.4">
      <c r="A26" s="463">
        <v>43605</v>
      </c>
      <c r="B26" s="464" t="s">
        <v>2285</v>
      </c>
      <c r="C26" s="464" t="s">
        <v>123</v>
      </c>
      <c r="D26" s="463">
        <v>43605</v>
      </c>
      <c r="E26" s="465">
        <v>250</v>
      </c>
      <c r="F26" s="45" t="s">
        <v>2286</v>
      </c>
      <c r="I26" s="450" t="s">
        <v>65</v>
      </c>
      <c r="J26" s="451">
        <f ca="1">SUMIF($C1:E55,I26,$E1:$E55)</f>
        <v>1045</v>
      </c>
      <c r="L26" s="449"/>
      <c r="M26" s="449"/>
      <c r="N26" s="449"/>
      <c r="O26" s="449"/>
      <c r="P26" s="449"/>
      <c r="Q26" s="449"/>
      <c r="R26" s="449"/>
      <c r="S26" s="449"/>
      <c r="T26" s="449"/>
      <c r="U26" s="449"/>
      <c r="V26" s="449"/>
      <c r="W26" s="449"/>
      <c r="X26" s="449"/>
      <c r="AD26" s="470">
        <v>42978</v>
      </c>
      <c r="AE26" s="471" t="s">
        <v>1824</v>
      </c>
      <c r="AF26" s="471" t="s">
        <v>1825</v>
      </c>
      <c r="AG26" s="472">
        <v>148235</v>
      </c>
      <c r="AH26" s="473">
        <v>200</v>
      </c>
      <c r="AI26" s="474" t="s">
        <v>1775</v>
      </c>
    </row>
    <row r="27" spans="1:35" ht="15.4" customHeight="1" thickBot="1" x14ac:dyDescent="0.45">
      <c r="A27" s="463"/>
      <c r="B27" s="464"/>
      <c r="C27" s="464"/>
      <c r="D27" s="463"/>
      <c r="E27" s="465"/>
      <c r="F27" s="45"/>
      <c r="I27" s="452" t="s">
        <v>1289</v>
      </c>
      <c r="J27" s="453">
        <f ca="1">SUM(J25:J26)</f>
        <v>5429</v>
      </c>
      <c r="K27" s="454"/>
      <c r="L27" s="454"/>
      <c r="M27" s="454"/>
      <c r="N27" s="454"/>
      <c r="O27" s="454"/>
      <c r="P27" s="454"/>
      <c r="Q27" s="454"/>
      <c r="R27" s="454"/>
      <c r="S27" s="454"/>
      <c r="T27" s="454"/>
      <c r="U27" s="795" t="s">
        <v>132</v>
      </c>
      <c r="V27" s="796"/>
      <c r="W27" s="688">
        <f>SUM(W17:W23)+W14</f>
        <v>452360.76499999996</v>
      </c>
      <c r="X27" s="454"/>
      <c r="AD27" s="470">
        <v>42978</v>
      </c>
      <c r="AE27" s="471" t="s">
        <v>1826</v>
      </c>
      <c r="AF27" s="471" t="s">
        <v>1827</v>
      </c>
      <c r="AG27" s="472">
        <v>148256</v>
      </c>
      <c r="AH27" s="473">
        <v>41</v>
      </c>
      <c r="AI27" s="474" t="s">
        <v>1375</v>
      </c>
    </row>
    <row r="28" spans="1:35" ht="13.9" customHeight="1" thickBot="1" x14ac:dyDescent="0.4">
      <c r="A28" s="463">
        <v>43772</v>
      </c>
      <c r="B28" s="464" t="s">
        <v>2287</v>
      </c>
      <c r="C28" s="464" t="s">
        <v>123</v>
      </c>
      <c r="D28" s="463"/>
      <c r="E28" s="465">
        <v>500</v>
      </c>
      <c r="F28" s="45" t="s">
        <v>2288</v>
      </c>
      <c r="J28" s="454"/>
      <c r="K28" s="454"/>
      <c r="L28" s="454"/>
      <c r="M28" s="454"/>
      <c r="N28" s="454"/>
      <c r="O28" s="454"/>
      <c r="P28" s="454"/>
      <c r="Q28" s="454"/>
      <c r="R28" s="454"/>
      <c r="S28" s="454"/>
      <c r="T28" s="454"/>
      <c r="U28" s="795" t="s">
        <v>133</v>
      </c>
      <c r="V28" s="796"/>
      <c r="W28" s="558">
        <f>W27/7</f>
        <v>64622.966428571424</v>
      </c>
      <c r="X28" s="454"/>
      <c r="AD28" s="470">
        <v>42982</v>
      </c>
      <c r="AE28" s="471" t="s">
        <v>1828</v>
      </c>
      <c r="AF28" s="471" t="s">
        <v>1829</v>
      </c>
      <c r="AG28" s="472">
        <v>148035</v>
      </c>
      <c r="AH28" s="476">
        <v>200</v>
      </c>
      <c r="AI28" s="474" t="s">
        <v>1775</v>
      </c>
    </row>
    <row r="29" spans="1:35" ht="13.9" customHeight="1" x14ac:dyDescent="0.4">
      <c r="A29" s="463">
        <v>43768</v>
      </c>
      <c r="B29" s="464" t="s">
        <v>2289</v>
      </c>
      <c r="C29" s="464" t="s">
        <v>123</v>
      </c>
      <c r="D29" s="463"/>
      <c r="E29" s="465">
        <v>250</v>
      </c>
      <c r="F29" s="45" t="s">
        <v>1180</v>
      </c>
      <c r="I29" s="455" t="s">
        <v>134</v>
      </c>
      <c r="J29" s="456">
        <f>W14</f>
        <v>65182.93</v>
      </c>
      <c r="K29" s="454">
        <f>SUM(E126:E1300)-J29</f>
        <v>0</v>
      </c>
      <c r="L29" s="454"/>
      <c r="M29" s="454"/>
      <c r="N29" s="454"/>
      <c r="O29" s="454"/>
      <c r="P29" s="454"/>
      <c r="Q29" s="454"/>
      <c r="R29" s="454"/>
      <c r="S29" s="454"/>
      <c r="T29" s="454"/>
      <c r="U29" s="454"/>
      <c r="V29" s="454"/>
      <c r="W29" s="454"/>
      <c r="X29" s="454"/>
      <c r="AD29" s="470">
        <v>42998</v>
      </c>
      <c r="AE29" s="526" t="s">
        <v>1830</v>
      </c>
      <c r="AF29" s="471" t="s">
        <v>1831</v>
      </c>
      <c r="AG29" s="472" t="s">
        <v>1832</v>
      </c>
      <c r="AH29" s="476">
        <v>200</v>
      </c>
      <c r="AI29" s="49" t="s">
        <v>1775</v>
      </c>
    </row>
    <row r="30" spans="1:35" ht="14.25" customHeight="1" thickBot="1" x14ac:dyDescent="0.45">
      <c r="A30" s="463"/>
      <c r="B30" s="464"/>
      <c r="C30" s="464"/>
      <c r="D30" s="463"/>
      <c r="E30" s="465"/>
      <c r="F30" s="45"/>
      <c r="I30" s="457" t="s">
        <v>135</v>
      </c>
      <c r="J30" s="458">
        <f>J29-AA14</f>
        <v>-4921.07</v>
      </c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454"/>
      <c r="V30" s="454"/>
      <c r="W30" s="454"/>
      <c r="X30" s="454"/>
      <c r="AD30" s="470">
        <v>42998</v>
      </c>
      <c r="AE30" s="471" t="s">
        <v>1833</v>
      </c>
      <c r="AF30" s="471" t="s">
        <v>1834</v>
      </c>
      <c r="AG30" s="472" t="s">
        <v>1835</v>
      </c>
      <c r="AH30" s="476">
        <v>200</v>
      </c>
      <c r="AI30" s="474" t="s">
        <v>1836</v>
      </c>
    </row>
    <row r="31" spans="1:35" ht="13.5" customHeight="1" x14ac:dyDescent="0.35">
      <c r="A31" s="463"/>
      <c r="B31" s="464"/>
      <c r="C31" s="464"/>
      <c r="E31" s="465"/>
      <c r="F31" s="49"/>
      <c r="J31" s="454"/>
      <c r="K31" s="454"/>
      <c r="L31" s="454"/>
      <c r="M31" s="454"/>
      <c r="N31" s="454"/>
      <c r="O31" s="454"/>
      <c r="P31" s="454"/>
      <c r="Q31" s="454"/>
      <c r="R31" s="454"/>
      <c r="S31" s="454"/>
      <c r="T31" s="454"/>
      <c r="U31" s="454"/>
      <c r="V31" s="454"/>
      <c r="W31" s="454"/>
      <c r="X31" s="454"/>
      <c r="AD31" s="470">
        <v>43018</v>
      </c>
      <c r="AE31" s="474" t="s">
        <v>1837</v>
      </c>
      <c r="AF31" s="474" t="s">
        <v>1838</v>
      </c>
      <c r="AG31" s="477" t="s">
        <v>1839</v>
      </c>
      <c r="AH31" s="476">
        <v>200</v>
      </c>
      <c r="AI31" s="474" t="s">
        <v>1775</v>
      </c>
    </row>
    <row r="32" spans="1:35" ht="13.5" customHeight="1" x14ac:dyDescent="0.35">
      <c r="A32" s="463"/>
      <c r="B32" s="464"/>
      <c r="C32" s="464"/>
      <c r="E32" s="465"/>
      <c r="F32" s="49"/>
      <c r="J32" s="454"/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  <c r="V32" s="454"/>
      <c r="W32" s="454"/>
      <c r="X32" s="454"/>
      <c r="AD32" s="470">
        <v>43018</v>
      </c>
      <c r="AE32" s="474" t="s">
        <v>1840</v>
      </c>
      <c r="AF32" s="474" t="s">
        <v>1841</v>
      </c>
      <c r="AG32" s="477"/>
      <c r="AH32" s="540">
        <v>200</v>
      </c>
      <c r="AI32" s="474" t="s">
        <v>1775</v>
      </c>
    </row>
    <row r="33" spans="1:35" ht="13.9" customHeight="1" x14ac:dyDescent="0.4">
      <c r="A33" s="463"/>
      <c r="B33" s="464"/>
      <c r="C33" s="464"/>
      <c r="D33" s="463"/>
      <c r="E33" s="465"/>
      <c r="F33" s="49"/>
      <c r="G33" s="287"/>
      <c r="I33" s="420" t="s">
        <v>140</v>
      </c>
      <c r="J33" s="557" t="s">
        <v>2523</v>
      </c>
      <c r="K33" s="577" t="s">
        <v>142</v>
      </c>
      <c r="L33" s="577" t="s">
        <v>143</v>
      </c>
      <c r="M33" s="577" t="s">
        <v>144</v>
      </c>
      <c r="N33" s="577" t="s">
        <v>145</v>
      </c>
      <c r="O33" s="577" t="s">
        <v>146</v>
      </c>
      <c r="P33" s="577" t="s">
        <v>147</v>
      </c>
      <c r="Q33" s="577" t="s">
        <v>148</v>
      </c>
      <c r="R33" s="577" t="s">
        <v>149</v>
      </c>
      <c r="S33" s="577" t="s">
        <v>150</v>
      </c>
      <c r="T33" s="577" t="s">
        <v>151</v>
      </c>
      <c r="U33" s="577" t="s">
        <v>152</v>
      </c>
      <c r="V33" s="577" t="s">
        <v>153</v>
      </c>
      <c r="W33" s="423" t="s">
        <v>19</v>
      </c>
      <c r="Y33" s="579" t="s">
        <v>21</v>
      </c>
      <c r="AD33" s="470">
        <v>43018</v>
      </c>
      <c r="AE33" s="474" t="s">
        <v>1843</v>
      </c>
      <c r="AF33" s="474" t="s">
        <v>1844</v>
      </c>
      <c r="AG33" s="477"/>
      <c r="AH33" s="476">
        <v>200</v>
      </c>
      <c r="AI33" s="474" t="s">
        <v>1775</v>
      </c>
    </row>
    <row r="34" spans="1:35" ht="13.5" customHeight="1" x14ac:dyDescent="0.35">
      <c r="A34" s="463"/>
      <c r="B34" s="464"/>
      <c r="C34" s="464"/>
      <c r="E34" s="465"/>
      <c r="F34" s="49"/>
      <c r="G34" s="287"/>
      <c r="I34" s="581" t="s">
        <v>28</v>
      </c>
      <c r="J34" s="431"/>
      <c r="K34" s="432">
        <f>K4-'Sales 2018'!K4</f>
        <v>-3154.75</v>
      </c>
      <c r="L34" s="432">
        <f>L4-'Sales 2018'!L4</f>
        <v>-5326</v>
      </c>
      <c r="M34" s="432">
        <f>M4-'Sales 2018'!M4</f>
        <v>-848.34999999999991</v>
      </c>
      <c r="N34" s="432">
        <f>N4-'Sales 2018'!N4</f>
        <v>1094</v>
      </c>
      <c r="O34" s="432">
        <f>O4-'Sales 2018'!O4</f>
        <v>601</v>
      </c>
      <c r="P34" s="432">
        <f>P4-'Sales 2018'!P4</f>
        <v>-392</v>
      </c>
      <c r="Q34" s="432">
        <f>Q4-'Sales 2018'!Q4</f>
        <v>-412.5</v>
      </c>
      <c r="R34" s="432">
        <f>R4-'Sales 2018'!R4</f>
        <v>663</v>
      </c>
      <c r="S34" s="432">
        <f>S4-'Sales 2018'!S4</f>
        <v>539</v>
      </c>
      <c r="T34" s="432">
        <f>T4-'Sales 2018'!T4</f>
        <v>139</v>
      </c>
      <c r="U34" s="432">
        <f>U4-'Sales 2018'!U4</f>
        <v>-931</v>
      </c>
      <c r="V34" s="432">
        <f>V4-'Sales 2018'!V4</f>
        <v>-453</v>
      </c>
      <c r="W34" s="788">
        <f t="shared" ref="W34:W40" si="27">SUM(K34:V34)</f>
        <v>-8481.6</v>
      </c>
      <c r="X34" s="445">
        <f>W34/'Sales 2018'!W4</f>
        <v>-0.35282151971663128</v>
      </c>
      <c r="Y34" s="790">
        <f>SUM(K34:V34)</f>
        <v>-8481.6</v>
      </c>
      <c r="Z34" s="445"/>
      <c r="AD34" s="470">
        <v>43018</v>
      </c>
      <c r="AE34" s="426" t="s">
        <v>1845</v>
      </c>
      <c r="AF34" s="474" t="s">
        <v>1846</v>
      </c>
      <c r="AG34" s="477" t="s">
        <v>1847</v>
      </c>
      <c r="AH34" s="476">
        <v>200</v>
      </c>
      <c r="AI34" s="474" t="s">
        <v>1775</v>
      </c>
    </row>
    <row r="35" spans="1:35" x14ac:dyDescent="0.35">
      <c r="G35" s="287"/>
      <c r="I35" s="581" t="s">
        <v>1274</v>
      </c>
      <c r="J35" s="431"/>
      <c r="K35" s="432">
        <f>K5-'Sales 2018'!K5</f>
        <v>1024.5999999999995</v>
      </c>
      <c r="L35" s="432">
        <f>L5-'Sales 2018'!L5</f>
        <v>-1948.4</v>
      </c>
      <c r="M35" s="432">
        <f>M5-'Sales 2018'!M5</f>
        <v>-2060.5</v>
      </c>
      <c r="N35" s="432">
        <f>N5-'Sales 2018'!N5</f>
        <v>-1302.5</v>
      </c>
      <c r="O35" s="432">
        <f>O5-'Sales 2018'!O5</f>
        <v>2392</v>
      </c>
      <c r="P35" s="432">
        <f>P5-'Sales 2018'!P5</f>
        <v>1568</v>
      </c>
      <c r="Q35" s="432">
        <f>Q5-'Sales 2018'!Q5</f>
        <v>1006.5</v>
      </c>
      <c r="R35" s="432">
        <f>R5-'Sales 2018'!R5</f>
        <v>1709</v>
      </c>
      <c r="S35" s="432">
        <f>S5-'Sales 2018'!S5</f>
        <v>-2491</v>
      </c>
      <c r="T35" s="432">
        <f>T5-'Sales 2018'!T5</f>
        <v>-682</v>
      </c>
      <c r="U35" s="432">
        <f>U5-'Sales 2018'!U5</f>
        <v>504.44999999999982</v>
      </c>
      <c r="V35" s="432">
        <f>V5-'Sales 2018'!V5</f>
        <v>93.5</v>
      </c>
      <c r="W35" s="788">
        <f t="shared" si="27"/>
        <v>-186.35000000000127</v>
      </c>
      <c r="X35" s="445">
        <f>W35/'Sales 2018'!W5</f>
        <v>-5.8015999153187853E-3</v>
      </c>
      <c r="Y35" s="790">
        <f t="shared" ref="Y35:Y41" si="28">SUM(K35:U35)</f>
        <v>-279.85000000000127</v>
      </c>
      <c r="Z35" s="445"/>
      <c r="AD35" s="470">
        <v>43024</v>
      </c>
      <c r="AE35" s="426" t="s">
        <v>1848</v>
      </c>
      <c r="AF35" s="426" t="s">
        <v>1849</v>
      </c>
      <c r="AG35" s="477" t="s">
        <v>1850</v>
      </c>
      <c r="AH35" s="476">
        <v>200</v>
      </c>
      <c r="AI35" s="474" t="s">
        <v>1775</v>
      </c>
    </row>
    <row r="36" spans="1:35" x14ac:dyDescent="0.35">
      <c r="I36" s="581" t="s">
        <v>1276</v>
      </c>
      <c r="J36" s="431"/>
      <c r="K36" s="432">
        <f>K6-'Sales 2018'!K6</f>
        <v>943.46000000000015</v>
      </c>
      <c r="L36" s="432">
        <f>L6-'Sales 2018'!L6</f>
        <v>730.13</v>
      </c>
      <c r="M36" s="432">
        <f>M6-'Sales 2018'!M6</f>
        <v>539.5</v>
      </c>
      <c r="N36" s="432">
        <f>N6-'Sales 2018'!N6</f>
        <v>-251.13000000000011</v>
      </c>
      <c r="O36" s="432">
        <f>O6-'Sales 2018'!O6</f>
        <v>1011.37</v>
      </c>
      <c r="P36" s="432">
        <f>P6-'Sales 2018'!P6</f>
        <v>681.37</v>
      </c>
      <c r="Q36" s="432">
        <f>Q6-'Sales 2018'!Q6</f>
        <v>613.87</v>
      </c>
      <c r="R36" s="432">
        <f>R6-'Sales 2018'!R6</f>
        <v>1896.87</v>
      </c>
      <c r="S36" s="432">
        <f>S6-'Sales 2018'!S6</f>
        <v>535.87</v>
      </c>
      <c r="T36" s="432">
        <f>T6-'Sales 2018'!T6</f>
        <v>213.87</v>
      </c>
      <c r="U36" s="432">
        <f>U6-'Sales 2018'!U6</f>
        <v>-307.38000000000011</v>
      </c>
      <c r="V36" s="432">
        <f>V6-'Sales 2018'!V6</f>
        <v>-289.88</v>
      </c>
      <c r="W36" s="788">
        <f t="shared" si="27"/>
        <v>6317.9199999999992</v>
      </c>
      <c r="X36" s="445">
        <f>W36/'Sales 2018'!W6</f>
        <v>0.84013217821453012</v>
      </c>
      <c r="Y36" s="790">
        <f t="shared" si="28"/>
        <v>6607.7999999999993</v>
      </c>
      <c r="Z36" s="445"/>
      <c r="AD36" s="470">
        <v>43025</v>
      </c>
      <c r="AE36" s="426" t="s">
        <v>1851</v>
      </c>
      <c r="AF36" s="426" t="s">
        <v>1852</v>
      </c>
      <c r="AH36" s="476">
        <v>200</v>
      </c>
      <c r="AI36" s="426" t="s">
        <v>1853</v>
      </c>
    </row>
    <row r="37" spans="1:35" ht="13.5" customHeight="1" x14ac:dyDescent="0.35">
      <c r="A37" s="463">
        <v>43647</v>
      </c>
      <c r="B37" s="464" t="s">
        <v>1805</v>
      </c>
      <c r="C37" s="464" t="s">
        <v>123</v>
      </c>
      <c r="E37" s="465">
        <v>995</v>
      </c>
      <c r="F37" s="49" t="s">
        <v>2524</v>
      </c>
      <c r="I37" s="581" t="s">
        <v>1277</v>
      </c>
      <c r="J37" s="431"/>
      <c r="K37" s="432">
        <f>K7-'Sales 2018'!K7</f>
        <v>-493.25</v>
      </c>
      <c r="L37" s="432">
        <f>L7-'Sales 2018'!L7</f>
        <v>-1020.5999999999999</v>
      </c>
      <c r="M37" s="432">
        <f>M7-'Sales 2018'!M7</f>
        <v>-15</v>
      </c>
      <c r="N37" s="432">
        <f>N7-'Sales 2018'!N7</f>
        <v>25.5</v>
      </c>
      <c r="O37" s="432">
        <f>O7-'Sales 2018'!O7</f>
        <v>-354</v>
      </c>
      <c r="P37" s="432">
        <f>P7-'Sales 2018'!P7</f>
        <v>-324</v>
      </c>
      <c r="Q37" s="432">
        <f>Q7-'Sales 2018'!Q7</f>
        <v>-697</v>
      </c>
      <c r="R37" s="432">
        <f>R7-'Sales 2018'!R7</f>
        <v>-1440</v>
      </c>
      <c r="S37" s="432">
        <f>S7-'Sales 2018'!S7</f>
        <v>-485.75</v>
      </c>
      <c r="T37" s="432">
        <f>T7-'Sales 2018'!T7</f>
        <v>0</v>
      </c>
      <c r="U37" s="432">
        <f>U7-'Sales 2018'!U7</f>
        <v>-1208</v>
      </c>
      <c r="V37" s="432">
        <f>V7-'Sales 2018'!V7</f>
        <v>-5</v>
      </c>
      <c r="W37" s="788">
        <f t="shared" si="27"/>
        <v>-6017.1</v>
      </c>
      <c r="X37" s="445">
        <f>W37/'Sales 2018'!W7</f>
        <v>1.1265340510180202</v>
      </c>
      <c r="Y37" s="790">
        <f t="shared" si="28"/>
        <v>-6012.1</v>
      </c>
      <c r="Z37" s="445"/>
      <c r="AD37" s="470">
        <v>43027</v>
      </c>
      <c r="AE37" s="426" t="s">
        <v>1854</v>
      </c>
      <c r="AF37" s="426" t="s">
        <v>1855</v>
      </c>
      <c r="AG37" s="478" t="s">
        <v>1856</v>
      </c>
      <c r="AH37" s="476">
        <v>150</v>
      </c>
      <c r="AI37" s="474" t="s">
        <v>1775</v>
      </c>
    </row>
    <row r="38" spans="1:35" ht="13.5" customHeight="1" x14ac:dyDescent="0.35">
      <c r="A38" s="463"/>
      <c r="B38" s="464"/>
      <c r="C38" s="464"/>
      <c r="E38" s="465"/>
      <c r="F38" s="464"/>
      <c r="I38" s="581" t="s">
        <v>1278</v>
      </c>
      <c r="J38" s="431"/>
      <c r="K38" s="432">
        <f>K8-'Sales 2018'!K8</f>
        <v>-20</v>
      </c>
      <c r="L38" s="432">
        <f>L8-'Sales 2018'!L8</f>
        <v>-40</v>
      </c>
      <c r="M38" s="432">
        <f>M8-'Sales 2018'!M8</f>
        <v>-20</v>
      </c>
      <c r="N38" s="432">
        <f>N8-'Sales 2018'!N8</f>
        <v>20</v>
      </c>
      <c r="O38" s="432">
        <f>O8-'Sales 2018'!O8</f>
        <v>-40</v>
      </c>
      <c r="P38" s="432">
        <f>P8-'Sales 2018'!P8</f>
        <v>40</v>
      </c>
      <c r="Q38" s="432">
        <f>Q8-'Sales 2018'!Q8</f>
        <v>60</v>
      </c>
      <c r="R38" s="432">
        <f>R8-'Sales 2018'!R8</f>
        <v>-220</v>
      </c>
      <c r="S38" s="432">
        <f>S8-'Sales 2018'!S8</f>
        <v>-20</v>
      </c>
      <c r="T38" s="432">
        <f>T8-'Sales 2018'!T8</f>
        <v>220</v>
      </c>
      <c r="U38" s="432">
        <f>U8-'Sales 2018'!U8</f>
        <v>20</v>
      </c>
      <c r="V38" s="432">
        <f>V8-'Sales 2018'!V8</f>
        <v>20</v>
      </c>
      <c r="W38" s="788">
        <f t="shared" si="27"/>
        <v>20</v>
      </c>
      <c r="X38" s="445">
        <f>W38/'Sales 2018'!W8</f>
        <v>1.6129032258064516E-2</v>
      </c>
      <c r="Y38" s="790">
        <f t="shared" si="28"/>
        <v>0</v>
      </c>
      <c r="Z38" s="445"/>
      <c r="AD38" s="470"/>
      <c r="AG38" s="478"/>
      <c r="AH38" s="476"/>
      <c r="AI38" s="474"/>
    </row>
    <row r="39" spans="1:35" ht="13.5" customHeight="1" x14ac:dyDescent="0.35">
      <c r="A39" s="427"/>
      <c r="B39" s="427"/>
      <c r="C39" s="427"/>
      <c r="E39" s="751"/>
      <c r="F39" s="763"/>
      <c r="I39" s="582" t="s">
        <v>1279</v>
      </c>
      <c r="J39" s="431"/>
      <c r="K39" s="432">
        <f>K9-'Sales 2018'!K9</f>
        <v>185</v>
      </c>
      <c r="L39" s="432">
        <f>L9-'Sales 2018'!L9</f>
        <v>-120</v>
      </c>
      <c r="M39" s="432">
        <f>M9-'Sales 2018'!M9</f>
        <v>460</v>
      </c>
      <c r="N39" s="432">
        <f>N9-'Sales 2018'!N9</f>
        <v>980</v>
      </c>
      <c r="O39" s="432">
        <f>O9-'Sales 2018'!O9</f>
        <v>185</v>
      </c>
      <c r="P39" s="432">
        <f>P9-'Sales 2018'!P9</f>
        <v>485</v>
      </c>
      <c r="Q39" s="432">
        <f>Q9-'Sales 2018'!Q9</f>
        <v>1091</v>
      </c>
      <c r="R39" s="432">
        <f>R9-'Sales 2018'!R9</f>
        <v>158</v>
      </c>
      <c r="S39" s="432">
        <f>S9-'Sales 2018'!S9</f>
        <v>1110</v>
      </c>
      <c r="T39" s="432">
        <f>T9-'Sales 2018'!T9</f>
        <v>120</v>
      </c>
      <c r="U39" s="432">
        <f>U9-'Sales 2018'!U9</f>
        <v>-121.5</v>
      </c>
      <c r="V39" s="432">
        <f>V9-'Sales 2018'!V9</f>
        <v>595</v>
      </c>
      <c r="W39" s="788">
        <f t="shared" si="27"/>
        <v>5127.5</v>
      </c>
      <c r="X39" s="445">
        <f>W39/'Sales 2018'!W9</f>
        <v>1.2249163879598661</v>
      </c>
      <c r="Y39" s="790">
        <f t="shared" si="28"/>
        <v>4532.5</v>
      </c>
      <c r="Z39" s="445"/>
      <c r="AD39" s="470">
        <v>43049</v>
      </c>
      <c r="AE39" s="45" t="s">
        <v>1857</v>
      </c>
      <c r="AF39" s="45" t="s">
        <v>1858</v>
      </c>
      <c r="AG39" s="48" t="s">
        <v>1859</v>
      </c>
      <c r="AH39" s="476">
        <v>200</v>
      </c>
      <c r="AI39" s="474" t="s">
        <v>1775</v>
      </c>
    </row>
    <row r="40" spans="1:35" ht="13.9" customHeight="1" thickBot="1" x14ac:dyDescent="0.4">
      <c r="A40" s="427"/>
      <c r="B40" s="427"/>
      <c r="C40" s="427"/>
      <c r="E40" s="751"/>
      <c r="F40" s="763"/>
      <c r="I40" s="582" t="s">
        <v>2525</v>
      </c>
      <c r="J40" s="431"/>
      <c r="K40" s="432">
        <f>K13-'Sales 2018'!K10</f>
        <v>-871.46</v>
      </c>
      <c r="L40" s="432">
        <f>L13-'Sales 2018'!L10</f>
        <v>-142.74</v>
      </c>
      <c r="M40" s="432">
        <f>M13-'Sales 2018'!M10</f>
        <v>-1096.2</v>
      </c>
      <c r="N40" s="432">
        <f>N13-'Sales 2018'!N10</f>
        <v>30.615000000000002</v>
      </c>
      <c r="O40" s="432">
        <f>O13-'Sales 2018'!O10</f>
        <v>-950</v>
      </c>
      <c r="P40" s="432">
        <f>P13-'Sales 2018'!P10</f>
        <v>-502.97</v>
      </c>
      <c r="Q40" s="432">
        <f>Q13-'Sales 2018'!Q10</f>
        <v>4.67</v>
      </c>
      <c r="R40" s="432">
        <f>R13-'Sales 2018'!R10</f>
        <v>-95.570000000000007</v>
      </c>
      <c r="S40" s="432">
        <f>S13-'Sales 2018'!S10</f>
        <v>-22.5</v>
      </c>
      <c r="T40" s="432">
        <f>T13-'Sales 2018'!T10</f>
        <v>-2.8000000000000007</v>
      </c>
      <c r="U40" s="432">
        <f>U13-'Sales 2018'!U10</f>
        <v>-331.9</v>
      </c>
      <c r="V40" s="432">
        <f>V13-'Sales 2018'!V10</f>
        <v>-759.72</v>
      </c>
      <c r="W40" s="788">
        <f t="shared" si="27"/>
        <v>-4740.5750000000007</v>
      </c>
      <c r="X40" s="445">
        <f>W40/'Sales 2018'!W10</f>
        <v>-0.98005803141800707</v>
      </c>
      <c r="Y40" s="790">
        <f t="shared" si="28"/>
        <v>-3980.8550000000005</v>
      </c>
      <c r="Z40" s="445"/>
      <c r="AD40" s="470">
        <v>43054</v>
      </c>
      <c r="AE40" s="426" t="s">
        <v>1862</v>
      </c>
      <c r="AF40" s="426" t="s">
        <v>1863</v>
      </c>
      <c r="AG40" s="48" t="s">
        <v>1864</v>
      </c>
      <c r="AH40" s="476">
        <v>200</v>
      </c>
      <c r="AI40" s="474" t="s">
        <v>1775</v>
      </c>
    </row>
    <row r="41" spans="1:35" ht="14.65" customHeight="1" thickTop="1" thickBot="1" x14ac:dyDescent="0.45">
      <c r="A41" s="427"/>
      <c r="B41" s="427"/>
      <c r="C41" s="427"/>
      <c r="E41" s="751"/>
      <c r="F41" s="427"/>
      <c r="I41" s="437" t="s">
        <v>63</v>
      </c>
      <c r="J41" s="438"/>
      <c r="K41" s="587">
        <f t="shared" ref="K41:W41" si="29">SUM(K34:K40)</f>
        <v>-2386.4000000000005</v>
      </c>
      <c r="L41" s="587">
        <f t="shared" si="29"/>
        <v>-7867.6099999999988</v>
      </c>
      <c r="M41" s="587">
        <f t="shared" si="29"/>
        <v>-3040.55</v>
      </c>
      <c r="N41" s="587">
        <f t="shared" si="29"/>
        <v>596.4849999999999</v>
      </c>
      <c r="O41" s="587">
        <f t="shared" si="29"/>
        <v>2845.37</v>
      </c>
      <c r="P41" s="587">
        <f t="shared" si="29"/>
        <v>1555.3999999999999</v>
      </c>
      <c r="Q41" s="587">
        <f t="shared" si="29"/>
        <v>1666.54</v>
      </c>
      <c r="R41" s="587">
        <f t="shared" si="29"/>
        <v>2671.2999999999997</v>
      </c>
      <c r="S41" s="587">
        <f t="shared" si="29"/>
        <v>-834.38000000000011</v>
      </c>
      <c r="T41" s="587">
        <f t="shared" si="29"/>
        <v>8.0700000000000038</v>
      </c>
      <c r="U41" s="587">
        <f t="shared" si="29"/>
        <v>-2375.3300000000004</v>
      </c>
      <c r="V41" s="587">
        <f t="shared" si="29"/>
        <v>-799.1</v>
      </c>
      <c r="W41" s="789">
        <f t="shared" si="29"/>
        <v>-7960.2050000000017</v>
      </c>
      <c r="X41" s="445">
        <f>W41/'Sales 2018'!W11</f>
        <v>-0.11603503905549913</v>
      </c>
      <c r="Y41" s="790">
        <f t="shared" si="28"/>
        <v>-7161.1049999999996</v>
      </c>
      <c r="Z41" s="445"/>
      <c r="AD41" s="470">
        <v>43057</v>
      </c>
      <c r="AE41" s="45" t="s">
        <v>1865</v>
      </c>
      <c r="AF41" s="45" t="s">
        <v>1866</v>
      </c>
      <c r="AG41" s="48" t="s">
        <v>1867</v>
      </c>
      <c r="AH41" s="476">
        <v>135</v>
      </c>
      <c r="AI41" s="45" t="s">
        <v>1141</v>
      </c>
    </row>
    <row r="42" spans="1:35" ht="13.9" customHeight="1" thickTop="1" x14ac:dyDescent="0.35">
      <c r="A42" s="427"/>
      <c r="B42" s="427"/>
      <c r="C42" s="427"/>
      <c r="D42" s="427"/>
      <c r="E42" s="751"/>
      <c r="F42" s="427"/>
      <c r="G42" s="427"/>
      <c r="AD42" s="470">
        <v>43066</v>
      </c>
      <c r="AE42" s="426" t="s">
        <v>1868</v>
      </c>
      <c r="AF42" s="426" t="s">
        <v>1869</v>
      </c>
      <c r="AG42" s="48" t="s">
        <v>1870</v>
      </c>
      <c r="AH42" s="476">
        <v>200</v>
      </c>
      <c r="AI42" s="48" t="s">
        <v>1871</v>
      </c>
    </row>
    <row r="43" spans="1:35" ht="15" customHeight="1" x14ac:dyDescent="0.4">
      <c r="A43" s="427">
        <v>43862</v>
      </c>
      <c r="B43" s="427" t="s">
        <v>732</v>
      </c>
      <c r="C43" s="427" t="s">
        <v>65</v>
      </c>
      <c r="E43" s="751">
        <v>795</v>
      </c>
      <c r="F43" s="763" t="s">
        <v>2526</v>
      </c>
      <c r="I43" s="420" t="s">
        <v>140</v>
      </c>
      <c r="J43" s="557" t="s">
        <v>154</v>
      </c>
      <c r="K43" s="577" t="s">
        <v>142</v>
      </c>
      <c r="L43" s="577" t="s">
        <v>143</v>
      </c>
      <c r="M43" s="577" t="s">
        <v>144</v>
      </c>
      <c r="N43" s="577" t="s">
        <v>145</v>
      </c>
      <c r="O43" s="577" t="s">
        <v>146</v>
      </c>
      <c r="P43" s="577" t="s">
        <v>147</v>
      </c>
      <c r="Q43" s="577" t="s">
        <v>148</v>
      </c>
      <c r="R43" s="577" t="s">
        <v>149</v>
      </c>
      <c r="S43" s="577" t="s">
        <v>150</v>
      </c>
      <c r="T43" s="577" t="s">
        <v>151</v>
      </c>
      <c r="U43" s="577" t="s">
        <v>152</v>
      </c>
      <c r="V43" s="577" t="s">
        <v>153</v>
      </c>
      <c r="W43" s="577" t="s">
        <v>19</v>
      </c>
      <c r="AD43" s="470">
        <v>43066</v>
      </c>
      <c r="AE43" s="426" t="s">
        <v>1872</v>
      </c>
      <c r="AF43" s="426" t="s">
        <v>1873</v>
      </c>
      <c r="AG43" s="48" t="s">
        <v>1874</v>
      </c>
      <c r="AH43" s="476">
        <v>150</v>
      </c>
      <c r="AI43" s="45" t="s">
        <v>1875</v>
      </c>
    </row>
    <row r="44" spans="1:35" ht="13.5" customHeight="1" x14ac:dyDescent="0.35">
      <c r="A44" s="427">
        <v>43787</v>
      </c>
      <c r="B44" s="427" t="s">
        <v>2290</v>
      </c>
      <c r="C44" s="427" t="s">
        <v>65</v>
      </c>
      <c r="E44" s="751">
        <v>150</v>
      </c>
      <c r="F44" s="763" t="s">
        <v>2527</v>
      </c>
      <c r="I44" s="581" t="s">
        <v>28</v>
      </c>
      <c r="J44" s="431"/>
      <c r="K44" s="432">
        <f t="shared" ref="K44:K50" si="30">COUNTIF($C$583:$C$621,$I44)</f>
        <v>11</v>
      </c>
      <c r="L44" s="432">
        <f t="shared" ref="L44:L50" si="31">COUNTIF($C$536:$C$581,$I44)</f>
        <v>10</v>
      </c>
      <c r="M44" s="432">
        <f t="shared" ref="M44:M50" si="32">COUNTIF($C$486:$C$533,$I44)</f>
        <v>13</v>
      </c>
      <c r="N44" s="432">
        <f t="shared" ref="N44:N50" si="33">COUNTIF($C$425:$C$485,$I44)</f>
        <v>13</v>
      </c>
      <c r="O44" s="432">
        <f t="shared" ref="O44:O50" si="34">COUNTIF($C$389:$C$422,$I44)</f>
        <v>5</v>
      </c>
      <c r="P44" s="432">
        <f t="shared" ref="P44:P50" si="35">COUNTIF($C$357:$C$387,$I44)</f>
        <v>4</v>
      </c>
      <c r="Q44" s="432">
        <f t="shared" ref="Q44:Q50" si="36">COUNTIF($C$318:$C$355,$I44)</f>
        <v>5</v>
      </c>
      <c r="R44" s="432">
        <f t="shared" ref="R44:R50" si="37">COUNTIF($C$282:$C$316,$I44)</f>
        <v>8</v>
      </c>
      <c r="S44" s="432">
        <f t="shared" ref="S44:S50" si="38">COUNTIF($C$250:$C$280,$I44)</f>
        <v>7</v>
      </c>
      <c r="T44" s="432">
        <f t="shared" ref="T44:T50" si="39">COUNTIF($C$227:$C$247,$I44)</f>
        <v>4</v>
      </c>
      <c r="U44" s="432">
        <f t="shared" ref="U44:U50" si="40">COUNTIF($C$180:$C$225,$I44)</f>
        <v>10</v>
      </c>
      <c r="V44" s="432">
        <f t="shared" ref="V44:V50" si="41">COUNTIF($C$126:$C$179,$I44)</f>
        <v>5</v>
      </c>
      <c r="W44" s="431">
        <f t="shared" ref="W44:W50" si="42">SUM(K44:V44)</f>
        <v>95</v>
      </c>
      <c r="AD44" s="470">
        <v>43066</v>
      </c>
      <c r="AE44" s="426" t="s">
        <v>1876</v>
      </c>
      <c r="AF44" s="45" t="s">
        <v>1877</v>
      </c>
      <c r="AG44" s="48" t="s">
        <v>1878</v>
      </c>
      <c r="AH44" s="476">
        <v>200</v>
      </c>
      <c r="AI44" s="474" t="s">
        <v>1775</v>
      </c>
    </row>
    <row r="45" spans="1:35" ht="13.5" customHeight="1" x14ac:dyDescent="0.35">
      <c r="A45" s="427">
        <v>43787</v>
      </c>
      <c r="B45" s="427" t="s">
        <v>2290</v>
      </c>
      <c r="C45" s="427" t="s">
        <v>65</v>
      </c>
      <c r="E45" s="751">
        <v>100</v>
      </c>
      <c r="F45" s="763" t="s">
        <v>2291</v>
      </c>
      <c r="G45" s="427"/>
      <c r="I45" s="581" t="s">
        <v>1274</v>
      </c>
      <c r="J45" s="431"/>
      <c r="K45" s="432">
        <f t="shared" si="30"/>
        <v>19</v>
      </c>
      <c r="L45" s="432">
        <f t="shared" si="31"/>
        <v>17</v>
      </c>
      <c r="M45" s="432">
        <f t="shared" si="32"/>
        <v>23</v>
      </c>
      <c r="N45" s="432">
        <f t="shared" si="33"/>
        <v>22</v>
      </c>
      <c r="O45" s="432">
        <f t="shared" si="34"/>
        <v>21</v>
      </c>
      <c r="P45" s="432">
        <f t="shared" si="35"/>
        <v>16</v>
      </c>
      <c r="Q45" s="432">
        <f t="shared" si="36"/>
        <v>6</v>
      </c>
      <c r="R45" s="432">
        <f t="shared" si="37"/>
        <v>16</v>
      </c>
      <c r="S45" s="432">
        <f t="shared" si="38"/>
        <v>9</v>
      </c>
      <c r="T45" s="432">
        <f t="shared" si="39"/>
        <v>10</v>
      </c>
      <c r="U45" s="432">
        <f t="shared" si="40"/>
        <v>23</v>
      </c>
      <c r="V45" s="432">
        <f t="shared" si="41"/>
        <v>19</v>
      </c>
      <c r="W45" s="431">
        <f t="shared" si="42"/>
        <v>201</v>
      </c>
      <c r="AD45" s="470">
        <v>43068</v>
      </c>
      <c r="AE45" s="426" t="s">
        <v>1879</v>
      </c>
      <c r="AF45" s="426" t="s">
        <v>1880</v>
      </c>
      <c r="AG45" s="48" t="s">
        <v>1881</v>
      </c>
      <c r="AH45" s="476">
        <v>200</v>
      </c>
      <c r="AI45" s="45" t="s">
        <v>1775</v>
      </c>
    </row>
    <row r="46" spans="1:35" ht="13.5" customHeight="1" x14ac:dyDescent="0.35">
      <c r="A46" s="781"/>
      <c r="B46" s="781"/>
      <c r="C46" s="427"/>
      <c r="D46" s="295"/>
      <c r="E46" s="782"/>
      <c r="F46" s="781"/>
      <c r="I46" s="581" t="s">
        <v>1276</v>
      </c>
      <c r="J46" s="431"/>
      <c r="K46" s="432">
        <f t="shared" si="30"/>
        <v>2</v>
      </c>
      <c r="L46" s="432">
        <f t="shared" si="31"/>
        <v>4</v>
      </c>
      <c r="M46" s="432">
        <f t="shared" si="32"/>
        <v>1</v>
      </c>
      <c r="N46" s="432">
        <f t="shared" si="33"/>
        <v>3</v>
      </c>
      <c r="O46" s="432">
        <f t="shared" si="34"/>
        <v>1</v>
      </c>
      <c r="P46" s="432">
        <f t="shared" si="35"/>
        <v>1</v>
      </c>
      <c r="Q46" s="432">
        <f t="shared" si="36"/>
        <v>4</v>
      </c>
      <c r="R46" s="432">
        <f t="shared" si="37"/>
        <v>2</v>
      </c>
      <c r="S46" s="432">
        <f t="shared" si="38"/>
        <v>2</v>
      </c>
      <c r="T46" s="432">
        <f t="shared" si="39"/>
        <v>1</v>
      </c>
      <c r="U46" s="432">
        <f t="shared" si="40"/>
        <v>2</v>
      </c>
      <c r="V46" s="432">
        <f t="shared" si="41"/>
        <v>1</v>
      </c>
      <c r="W46" s="431">
        <f t="shared" si="42"/>
        <v>24</v>
      </c>
      <c r="AD46" s="470"/>
      <c r="AG46" s="48"/>
      <c r="AI46" s="45"/>
    </row>
    <row r="47" spans="1:35" ht="13.5" customHeight="1" x14ac:dyDescent="0.35">
      <c r="A47" s="463"/>
      <c r="B47" s="464"/>
      <c r="C47" s="464"/>
      <c r="E47" s="465"/>
      <c r="F47" s="464"/>
      <c r="I47" s="581" t="s">
        <v>1277</v>
      </c>
      <c r="J47" s="431"/>
      <c r="K47" s="432">
        <f t="shared" si="30"/>
        <v>4</v>
      </c>
      <c r="L47" s="432">
        <f t="shared" si="31"/>
        <v>10</v>
      </c>
      <c r="M47" s="432">
        <f t="shared" si="32"/>
        <v>5</v>
      </c>
      <c r="N47" s="432">
        <f t="shared" si="33"/>
        <v>9</v>
      </c>
      <c r="O47" s="432">
        <f t="shared" si="34"/>
        <v>2</v>
      </c>
      <c r="P47" s="432">
        <f t="shared" si="35"/>
        <v>3</v>
      </c>
      <c r="Q47" s="432">
        <f t="shared" si="36"/>
        <v>5</v>
      </c>
      <c r="R47" s="432">
        <f t="shared" si="37"/>
        <v>4</v>
      </c>
      <c r="S47" s="432">
        <f t="shared" si="38"/>
        <v>2</v>
      </c>
      <c r="T47" s="432">
        <f t="shared" si="39"/>
        <v>0</v>
      </c>
      <c r="U47" s="432">
        <f t="shared" si="40"/>
        <v>5</v>
      </c>
      <c r="V47" s="432">
        <f t="shared" si="41"/>
        <v>2</v>
      </c>
      <c r="W47" s="431">
        <f t="shared" si="42"/>
        <v>51</v>
      </c>
      <c r="AD47" s="548">
        <v>43069</v>
      </c>
      <c r="AE47" s="426" t="s">
        <v>1882</v>
      </c>
      <c r="AF47" s="426" t="s">
        <v>1883</v>
      </c>
      <c r="AG47" s="48" t="s">
        <v>1884</v>
      </c>
      <c r="AH47" s="476">
        <v>200</v>
      </c>
      <c r="AI47" s="45" t="s">
        <v>1775</v>
      </c>
    </row>
    <row r="48" spans="1:35" ht="13.5" customHeight="1" x14ac:dyDescent="0.35">
      <c r="A48" s="463"/>
      <c r="B48" s="464" t="s">
        <v>2528</v>
      </c>
      <c r="C48" s="464" t="s">
        <v>123</v>
      </c>
      <c r="E48" s="465">
        <f>395+250</f>
        <v>645</v>
      </c>
      <c r="F48" s="462" t="s">
        <v>2529</v>
      </c>
      <c r="I48" s="581" t="s">
        <v>1278</v>
      </c>
      <c r="J48" s="431"/>
      <c r="K48" s="432">
        <f t="shared" si="30"/>
        <v>1</v>
      </c>
      <c r="L48" s="432">
        <f t="shared" si="31"/>
        <v>3</v>
      </c>
      <c r="M48" s="432">
        <f t="shared" si="32"/>
        <v>3</v>
      </c>
      <c r="N48" s="432">
        <f t="shared" si="33"/>
        <v>3</v>
      </c>
      <c r="O48" s="432">
        <f t="shared" si="34"/>
        <v>1</v>
      </c>
      <c r="P48" s="432">
        <f t="shared" si="35"/>
        <v>2</v>
      </c>
      <c r="Q48" s="432">
        <f t="shared" si="36"/>
        <v>3</v>
      </c>
      <c r="R48" s="432">
        <f t="shared" si="37"/>
        <v>1</v>
      </c>
      <c r="S48" s="432">
        <f t="shared" si="38"/>
        <v>1</v>
      </c>
      <c r="T48" s="432">
        <f t="shared" si="39"/>
        <v>2</v>
      </c>
      <c r="U48" s="432">
        <f t="shared" si="40"/>
        <v>1</v>
      </c>
      <c r="V48" s="432">
        <f t="shared" si="41"/>
        <v>1</v>
      </c>
      <c r="W48" s="431">
        <f t="shared" si="42"/>
        <v>22</v>
      </c>
      <c r="AD48" s="470">
        <v>43081</v>
      </c>
      <c r="AE48" s="426" t="s">
        <v>676</v>
      </c>
      <c r="AF48" s="45" t="s">
        <v>1885</v>
      </c>
      <c r="AG48" s="48" t="s">
        <v>1886</v>
      </c>
      <c r="AH48" s="476">
        <v>200</v>
      </c>
      <c r="AI48" s="49" t="s">
        <v>1267</v>
      </c>
    </row>
    <row r="49" spans="1:35" ht="13.5" customHeight="1" x14ac:dyDescent="0.35">
      <c r="A49" s="463"/>
      <c r="B49" s="464"/>
      <c r="C49" s="464"/>
      <c r="D49" s="463"/>
      <c r="E49" s="465"/>
      <c r="F49" s="462"/>
      <c r="I49" s="582" t="s">
        <v>1279</v>
      </c>
      <c r="J49" s="431"/>
      <c r="K49" s="432">
        <f t="shared" si="30"/>
        <v>2</v>
      </c>
      <c r="L49" s="432">
        <f t="shared" si="31"/>
        <v>1</v>
      </c>
      <c r="M49" s="432">
        <f t="shared" si="32"/>
        <v>2</v>
      </c>
      <c r="N49" s="432">
        <f t="shared" si="33"/>
        <v>5</v>
      </c>
      <c r="O49" s="432">
        <f t="shared" si="34"/>
        <v>3</v>
      </c>
      <c r="P49" s="432">
        <f t="shared" si="35"/>
        <v>3</v>
      </c>
      <c r="Q49" s="432">
        <f t="shared" si="36"/>
        <v>10</v>
      </c>
      <c r="R49" s="432">
        <f t="shared" si="37"/>
        <v>2</v>
      </c>
      <c r="S49" s="432">
        <f t="shared" si="38"/>
        <v>5</v>
      </c>
      <c r="T49" s="432">
        <f t="shared" si="39"/>
        <v>1</v>
      </c>
      <c r="U49" s="432">
        <f t="shared" si="40"/>
        <v>4</v>
      </c>
      <c r="V49" s="432">
        <f t="shared" si="41"/>
        <v>6</v>
      </c>
      <c r="W49" s="431">
        <f t="shared" si="42"/>
        <v>44</v>
      </c>
      <c r="AD49" s="470">
        <v>43090</v>
      </c>
      <c r="AE49" s="45" t="s">
        <v>1887</v>
      </c>
      <c r="AF49" s="45" t="s">
        <v>1888</v>
      </c>
      <c r="AG49" s="48" t="s">
        <v>1889</v>
      </c>
      <c r="AH49" s="476">
        <v>50</v>
      </c>
      <c r="AI49" s="49" t="s">
        <v>1141</v>
      </c>
    </row>
    <row r="50" spans="1:35" ht="13.5" customHeight="1" x14ac:dyDescent="0.35">
      <c r="A50" s="427"/>
      <c r="B50" s="427"/>
      <c r="C50" s="427"/>
      <c r="E50" s="751"/>
      <c r="F50" s="763"/>
      <c r="I50" s="582" t="s">
        <v>2525</v>
      </c>
      <c r="J50" s="431"/>
      <c r="K50" s="432">
        <f t="shared" si="30"/>
        <v>0</v>
      </c>
      <c r="L50" s="432">
        <f t="shared" si="31"/>
        <v>0</v>
      </c>
      <c r="M50" s="432">
        <f t="shared" si="32"/>
        <v>0</v>
      </c>
      <c r="N50" s="432">
        <f t="shared" si="33"/>
        <v>0</v>
      </c>
      <c r="O50" s="432">
        <f t="shared" si="34"/>
        <v>0</v>
      </c>
      <c r="P50" s="432">
        <f t="shared" si="35"/>
        <v>0</v>
      </c>
      <c r="Q50" s="432">
        <f t="shared" si="36"/>
        <v>0</v>
      </c>
      <c r="R50" s="432">
        <f t="shared" si="37"/>
        <v>0</v>
      </c>
      <c r="S50" s="432">
        <f t="shared" si="38"/>
        <v>0</v>
      </c>
      <c r="T50" s="432">
        <f t="shared" si="39"/>
        <v>0</v>
      </c>
      <c r="U50" s="432">
        <f t="shared" si="40"/>
        <v>0</v>
      </c>
      <c r="V50" s="432">
        <f t="shared" si="41"/>
        <v>0</v>
      </c>
      <c r="W50" s="431">
        <f t="shared" si="42"/>
        <v>0</v>
      </c>
      <c r="AD50" s="470">
        <v>43091</v>
      </c>
      <c r="AE50" s="45" t="s">
        <v>1681</v>
      </c>
      <c r="AF50" s="45" t="s">
        <v>1890</v>
      </c>
      <c r="AG50" s="48" t="s">
        <v>1891</v>
      </c>
      <c r="AH50" s="476">
        <v>200</v>
      </c>
      <c r="AI50" s="49" t="s">
        <v>496</v>
      </c>
    </row>
    <row r="51" spans="1:35" ht="13.9" customHeight="1" x14ac:dyDescent="0.4">
      <c r="A51" s="463">
        <v>43689</v>
      </c>
      <c r="B51" s="464" t="s">
        <v>2487</v>
      </c>
      <c r="C51" s="464" t="s">
        <v>123</v>
      </c>
      <c r="E51" s="465">
        <v>995</v>
      </c>
      <c r="F51" s="462" t="s">
        <v>2526</v>
      </c>
      <c r="I51" s="437" t="s">
        <v>63</v>
      </c>
      <c r="J51" s="438"/>
      <c r="K51" s="439">
        <f t="shared" ref="K51:W51" si="43">SUM(K44:K50)</f>
        <v>39</v>
      </c>
      <c r="L51" s="439">
        <f t="shared" si="43"/>
        <v>45</v>
      </c>
      <c r="M51" s="439">
        <f t="shared" si="43"/>
        <v>47</v>
      </c>
      <c r="N51" s="439">
        <f t="shared" si="43"/>
        <v>55</v>
      </c>
      <c r="O51" s="439">
        <f t="shared" si="43"/>
        <v>33</v>
      </c>
      <c r="P51" s="439">
        <f t="shared" si="43"/>
        <v>29</v>
      </c>
      <c r="Q51" s="439">
        <f t="shared" si="43"/>
        <v>33</v>
      </c>
      <c r="R51" s="439">
        <f t="shared" si="43"/>
        <v>33</v>
      </c>
      <c r="S51" s="439">
        <f t="shared" si="43"/>
        <v>26</v>
      </c>
      <c r="T51" s="439">
        <f t="shared" si="43"/>
        <v>18</v>
      </c>
      <c r="U51" s="439">
        <f t="shared" si="43"/>
        <v>45</v>
      </c>
      <c r="V51" s="439">
        <f t="shared" si="43"/>
        <v>34</v>
      </c>
      <c r="W51" s="438">
        <f t="shared" si="43"/>
        <v>437</v>
      </c>
      <c r="AD51" s="470">
        <v>43109</v>
      </c>
      <c r="AE51" s="426" t="s">
        <v>1892</v>
      </c>
      <c r="AF51" s="45" t="s">
        <v>1893</v>
      </c>
      <c r="AG51" s="48" t="s">
        <v>1894</v>
      </c>
      <c r="AH51" s="476">
        <v>200</v>
      </c>
      <c r="AI51" s="49" t="s">
        <v>1775</v>
      </c>
    </row>
    <row r="52" spans="1:35" ht="13.5" customHeight="1" x14ac:dyDescent="0.35">
      <c r="A52" s="463">
        <v>43686</v>
      </c>
      <c r="B52" s="464" t="s">
        <v>2530</v>
      </c>
      <c r="C52" s="464" t="s">
        <v>123</v>
      </c>
      <c r="E52" s="465">
        <v>650</v>
      </c>
      <c r="F52" s="462" t="s">
        <v>91</v>
      </c>
      <c r="AD52" s="470">
        <v>43116</v>
      </c>
      <c r="AE52" s="426" t="s">
        <v>1895</v>
      </c>
      <c r="AF52" s="45" t="s">
        <v>1896</v>
      </c>
      <c r="AG52" s="48" t="s">
        <v>1897</v>
      </c>
      <c r="AH52" s="476">
        <v>200</v>
      </c>
      <c r="AI52" s="49" t="s">
        <v>1775</v>
      </c>
    </row>
    <row r="53" spans="1:35" ht="13.9" customHeight="1" x14ac:dyDescent="0.4">
      <c r="A53" s="463"/>
      <c r="B53" s="464"/>
      <c r="C53" s="464"/>
      <c r="E53" s="465"/>
      <c r="F53" s="462"/>
      <c r="G53" s="45"/>
      <c r="I53" s="420" t="s">
        <v>140</v>
      </c>
      <c r="J53" s="557" t="s">
        <v>155</v>
      </c>
      <c r="K53" s="577" t="s">
        <v>142</v>
      </c>
      <c r="L53" s="577" t="s">
        <v>143</v>
      </c>
      <c r="M53" s="577" t="s">
        <v>144</v>
      </c>
      <c r="N53" s="577" t="s">
        <v>145</v>
      </c>
      <c r="O53" s="577" t="s">
        <v>146</v>
      </c>
      <c r="P53" s="577" t="s">
        <v>147</v>
      </c>
      <c r="Q53" s="577" t="s">
        <v>148</v>
      </c>
      <c r="R53" s="577" t="s">
        <v>149</v>
      </c>
      <c r="S53" s="577" t="s">
        <v>150</v>
      </c>
      <c r="T53" s="577" t="s">
        <v>151</v>
      </c>
      <c r="U53" s="577" t="s">
        <v>152</v>
      </c>
      <c r="V53" s="577" t="s">
        <v>153</v>
      </c>
      <c r="W53" s="577" t="s">
        <v>19</v>
      </c>
      <c r="AD53" s="470">
        <v>43129</v>
      </c>
      <c r="AE53" s="45" t="s">
        <v>1898</v>
      </c>
      <c r="AF53" s="45" t="s">
        <v>1899</v>
      </c>
      <c r="AG53" s="48" t="s">
        <v>1900</v>
      </c>
      <c r="AH53" s="257">
        <v>-159</v>
      </c>
      <c r="AI53" s="474"/>
    </row>
    <row r="54" spans="1:35" ht="13.5" customHeight="1" x14ac:dyDescent="0.35">
      <c r="A54" s="463"/>
      <c r="B54" s="464"/>
      <c r="C54" s="464"/>
      <c r="D54" s="45"/>
      <c r="E54" s="695"/>
      <c r="F54" s="462"/>
      <c r="I54" s="581" t="s">
        <v>28</v>
      </c>
      <c r="J54" s="431"/>
      <c r="K54" s="432">
        <f t="shared" ref="K54:W54" si="44">IFERROR(K4/K44,0)</f>
        <v>125.90909090909091</v>
      </c>
      <c r="L54" s="432">
        <f t="shared" si="44"/>
        <v>135.5</v>
      </c>
      <c r="M54" s="432">
        <f t="shared" si="44"/>
        <v>125.76923076923077</v>
      </c>
      <c r="N54" s="432">
        <f t="shared" si="44"/>
        <v>195.61538461538461</v>
      </c>
      <c r="O54" s="432">
        <f t="shared" si="44"/>
        <v>171</v>
      </c>
      <c r="P54" s="432">
        <f t="shared" si="44"/>
        <v>197.5</v>
      </c>
      <c r="Q54" s="432">
        <f t="shared" si="44"/>
        <v>182.9</v>
      </c>
      <c r="R54" s="432">
        <f t="shared" si="44"/>
        <v>181.875</v>
      </c>
      <c r="S54" s="432">
        <f t="shared" si="44"/>
        <v>255.82142857142858</v>
      </c>
      <c r="T54" s="432">
        <f t="shared" si="44"/>
        <v>157.25</v>
      </c>
      <c r="U54" s="432">
        <f t="shared" si="44"/>
        <v>180.55</v>
      </c>
      <c r="V54" s="432">
        <f t="shared" si="44"/>
        <v>80</v>
      </c>
      <c r="W54" s="431">
        <f t="shared" si="44"/>
        <v>163.76578947368421</v>
      </c>
      <c r="AD54" s="470">
        <v>43140</v>
      </c>
      <c r="AE54" s="45" t="s">
        <v>1901</v>
      </c>
      <c r="AF54" s="426" t="s">
        <v>1902</v>
      </c>
      <c r="AG54" s="48" t="s">
        <v>1903</v>
      </c>
      <c r="AH54" s="476">
        <v>200</v>
      </c>
      <c r="AI54" s="45" t="s">
        <v>1267</v>
      </c>
    </row>
    <row r="55" spans="1:35" ht="14.65" customHeight="1" x14ac:dyDescent="0.35">
      <c r="A55" s="463"/>
      <c r="B55" s="464"/>
      <c r="C55" s="780"/>
      <c r="E55" s="465"/>
      <c r="F55" s="462"/>
      <c r="G55" s="45"/>
      <c r="I55" s="581" t="s">
        <v>1274</v>
      </c>
      <c r="J55" s="431"/>
      <c r="K55" s="432">
        <f t="shared" ref="K55:W55" si="45">IFERROR(K5/K45,0)</f>
        <v>189.81578947368422</v>
      </c>
      <c r="L55" s="432">
        <f t="shared" si="45"/>
        <v>76.388235294117635</v>
      </c>
      <c r="M55" s="432">
        <f t="shared" si="45"/>
        <v>84</v>
      </c>
      <c r="N55" s="432">
        <f t="shared" si="45"/>
        <v>103.29545454545455</v>
      </c>
      <c r="O55" s="432">
        <f t="shared" si="45"/>
        <v>247.23809523809524</v>
      </c>
      <c r="P55" s="432">
        <f t="shared" si="45"/>
        <v>153.625</v>
      </c>
      <c r="Q55" s="432">
        <f t="shared" si="45"/>
        <v>284.83333333333331</v>
      </c>
      <c r="R55" s="432">
        <f t="shared" si="45"/>
        <v>263.375</v>
      </c>
      <c r="S55" s="432">
        <f t="shared" si="45"/>
        <v>141.11111111111111</v>
      </c>
      <c r="T55" s="432">
        <f t="shared" si="45"/>
        <v>195.3</v>
      </c>
      <c r="U55" s="432">
        <f t="shared" si="45"/>
        <v>176.30434782608697</v>
      </c>
      <c r="V55" s="432">
        <f t="shared" si="45"/>
        <v>103.86842105263158</v>
      </c>
      <c r="W55" s="431">
        <f t="shared" si="45"/>
        <v>158.87611940298507</v>
      </c>
      <c r="AD55" s="470">
        <v>43144</v>
      </c>
      <c r="AE55" s="426" t="s">
        <v>1904</v>
      </c>
      <c r="AF55" s="426" t="s">
        <v>1905</v>
      </c>
      <c r="AG55" s="48" t="s">
        <v>1906</v>
      </c>
      <c r="AH55" s="476">
        <v>200</v>
      </c>
      <c r="AI55" s="45" t="s">
        <v>1267</v>
      </c>
    </row>
    <row r="56" spans="1:35" ht="13.5" customHeight="1" x14ac:dyDescent="0.35">
      <c r="A56" s="463"/>
      <c r="B56" s="464"/>
      <c r="C56" s="464"/>
      <c r="D56" s="463"/>
      <c r="E56" s="465"/>
      <c r="F56" s="462"/>
      <c r="I56" s="581" t="s">
        <v>1276</v>
      </c>
      <c r="J56" s="431"/>
      <c r="K56" s="432">
        <f t="shared" ref="K56:W56" si="46">IFERROR(K6/K46,0)</f>
        <v>575.53500000000008</v>
      </c>
      <c r="L56" s="432">
        <f t="shared" si="46"/>
        <v>304.375</v>
      </c>
      <c r="M56" s="432">
        <f t="shared" si="46"/>
        <v>807.5</v>
      </c>
      <c r="N56" s="432">
        <f t="shared" si="46"/>
        <v>280.83333333333331</v>
      </c>
      <c r="O56" s="432">
        <f t="shared" si="46"/>
        <v>1105</v>
      </c>
      <c r="P56" s="432">
        <f t="shared" si="46"/>
        <v>1030</v>
      </c>
      <c r="Q56" s="432">
        <f t="shared" si="46"/>
        <v>314.375</v>
      </c>
      <c r="R56" s="432">
        <f t="shared" si="46"/>
        <v>1345</v>
      </c>
      <c r="S56" s="432">
        <f t="shared" si="46"/>
        <v>702.25</v>
      </c>
      <c r="T56" s="432">
        <f t="shared" si="46"/>
        <v>707.5</v>
      </c>
      <c r="U56" s="432">
        <f t="shared" si="46"/>
        <v>526.875</v>
      </c>
      <c r="V56" s="432">
        <f t="shared" si="46"/>
        <v>571.25</v>
      </c>
      <c r="W56" s="431">
        <f t="shared" si="46"/>
        <v>576.58624999999995</v>
      </c>
      <c r="AD56" s="470">
        <v>43144</v>
      </c>
      <c r="AE56" s="426" t="s">
        <v>1907</v>
      </c>
      <c r="AF56" s="45" t="s">
        <v>1908</v>
      </c>
      <c r="AG56" s="48" t="s">
        <v>1909</v>
      </c>
      <c r="AH56" s="476">
        <v>200</v>
      </c>
      <c r="AI56" s="45" t="s">
        <v>1267</v>
      </c>
    </row>
    <row r="57" spans="1:35" ht="13.5" customHeight="1" x14ac:dyDescent="0.35">
      <c r="A57" s="427"/>
      <c r="B57" s="427"/>
      <c r="C57" s="427"/>
      <c r="E57" s="751"/>
      <c r="F57" s="763"/>
      <c r="I57" s="581" t="s">
        <v>1277</v>
      </c>
      <c r="J57" s="431"/>
      <c r="K57" s="432">
        <f t="shared" ref="K57:W57" si="47">IFERROR(K7/K47,0)</f>
        <v>-234.125</v>
      </c>
      <c r="L57" s="432">
        <f t="shared" si="47"/>
        <v>-147.16</v>
      </c>
      <c r="M57" s="432">
        <f t="shared" si="47"/>
        <v>-180</v>
      </c>
      <c r="N57" s="432">
        <f t="shared" si="47"/>
        <v>-207.83333333333334</v>
      </c>
      <c r="O57" s="432">
        <f t="shared" si="47"/>
        <v>-539.5</v>
      </c>
      <c r="P57" s="432">
        <f t="shared" si="47"/>
        <v>-108</v>
      </c>
      <c r="Q57" s="432">
        <f t="shared" si="47"/>
        <v>-210.9</v>
      </c>
      <c r="R57" s="432">
        <f t="shared" si="47"/>
        <v>-360</v>
      </c>
      <c r="S57" s="432">
        <f t="shared" si="47"/>
        <v>-242.875</v>
      </c>
      <c r="T57" s="432">
        <f t="shared" si="47"/>
        <v>0</v>
      </c>
      <c r="U57" s="432">
        <f t="shared" si="47"/>
        <v>-335.8</v>
      </c>
      <c r="V57" s="432">
        <f t="shared" si="47"/>
        <v>-58.75</v>
      </c>
      <c r="W57" s="431">
        <f t="shared" si="47"/>
        <v>-222.71274509803922</v>
      </c>
      <c r="AD57" s="470">
        <v>43145</v>
      </c>
      <c r="AE57" s="426" t="s">
        <v>1910</v>
      </c>
      <c r="AF57" s="45" t="s">
        <v>1911</v>
      </c>
      <c r="AG57" s="48" t="s">
        <v>1912</v>
      </c>
      <c r="AH57" s="476">
        <v>200</v>
      </c>
      <c r="AI57" s="45" t="s">
        <v>1775</v>
      </c>
    </row>
    <row r="58" spans="1:35" ht="13.5" customHeight="1" x14ac:dyDescent="0.35">
      <c r="A58" s="427"/>
      <c r="B58" s="427"/>
      <c r="C58" s="427"/>
      <c r="E58" s="751"/>
      <c r="F58" s="763"/>
      <c r="I58" s="581" t="s">
        <v>1278</v>
      </c>
      <c r="J58" s="431"/>
      <c r="K58" s="432">
        <f t="shared" ref="K58:W58" si="48">IFERROR(K8/K48,0)</f>
        <v>40</v>
      </c>
      <c r="L58" s="432">
        <f t="shared" si="48"/>
        <v>80</v>
      </c>
      <c r="M58" s="432">
        <f t="shared" si="48"/>
        <v>20</v>
      </c>
      <c r="N58" s="432">
        <f t="shared" si="48"/>
        <v>33.333333333333336</v>
      </c>
      <c r="O58" s="432">
        <f t="shared" si="48"/>
        <v>80</v>
      </c>
      <c r="P58" s="432">
        <f t="shared" si="48"/>
        <v>60</v>
      </c>
      <c r="Q58" s="432">
        <f t="shared" si="48"/>
        <v>46.666666666666664</v>
      </c>
      <c r="R58" s="432">
        <f t="shared" si="48"/>
        <v>60</v>
      </c>
      <c r="S58" s="432">
        <f t="shared" si="48"/>
        <v>40</v>
      </c>
      <c r="T58" s="432">
        <f t="shared" si="48"/>
        <v>130</v>
      </c>
      <c r="U58" s="432">
        <f t="shared" si="48"/>
        <v>60</v>
      </c>
      <c r="V58" s="432">
        <f t="shared" si="48"/>
        <v>60</v>
      </c>
      <c r="W58" s="431">
        <f t="shared" si="48"/>
        <v>57.272727272727273</v>
      </c>
      <c r="AD58" s="470">
        <v>43151</v>
      </c>
      <c r="AE58" s="45" t="s">
        <v>1913</v>
      </c>
      <c r="AF58" s="426" t="s">
        <v>1914</v>
      </c>
      <c r="AG58" s="48" t="s">
        <v>1915</v>
      </c>
      <c r="AH58" s="476">
        <v>200</v>
      </c>
      <c r="AI58" s="45" t="s">
        <v>1267</v>
      </c>
    </row>
    <row r="59" spans="1:35" ht="13.5" customHeight="1" x14ac:dyDescent="0.35">
      <c r="A59" s="463"/>
      <c r="B59" s="464"/>
      <c r="C59" s="464"/>
      <c r="E59" s="465"/>
      <c r="F59" s="45"/>
      <c r="I59" s="582" t="s">
        <v>1279</v>
      </c>
      <c r="J59" s="431"/>
      <c r="K59" s="432">
        <f t="shared" ref="K59:W59" si="49">IFERROR(K9/K49,0)</f>
        <v>322.5</v>
      </c>
      <c r="L59" s="432">
        <f t="shared" si="49"/>
        <v>65</v>
      </c>
      <c r="M59" s="432">
        <f t="shared" si="49"/>
        <v>290</v>
      </c>
      <c r="N59" s="432">
        <f t="shared" si="49"/>
        <v>209</v>
      </c>
      <c r="O59" s="432">
        <f t="shared" si="49"/>
        <v>231.66666666666666</v>
      </c>
      <c r="P59" s="432">
        <f t="shared" si="49"/>
        <v>241.66666666666666</v>
      </c>
      <c r="Q59" s="432">
        <f t="shared" si="49"/>
        <v>154.5</v>
      </c>
      <c r="R59" s="432">
        <f t="shared" si="49"/>
        <v>240</v>
      </c>
      <c r="S59" s="432">
        <f t="shared" si="49"/>
        <v>318</v>
      </c>
      <c r="T59" s="432">
        <f t="shared" si="49"/>
        <v>360</v>
      </c>
      <c r="U59" s="432">
        <f t="shared" si="49"/>
        <v>157.125</v>
      </c>
      <c r="V59" s="432">
        <f t="shared" si="49"/>
        <v>159.16666666666666</v>
      </c>
      <c r="W59" s="431">
        <f t="shared" si="49"/>
        <v>211.67045454545453</v>
      </c>
      <c r="AD59" s="470">
        <v>43152</v>
      </c>
      <c r="AE59" s="45" t="s">
        <v>1854</v>
      </c>
      <c r="AF59" s="426" t="s">
        <v>1916</v>
      </c>
      <c r="AG59" s="48" t="s">
        <v>1917</v>
      </c>
      <c r="AH59" s="476">
        <v>200</v>
      </c>
      <c r="AI59" s="45" t="s">
        <v>1267</v>
      </c>
    </row>
    <row r="60" spans="1:35" x14ac:dyDescent="0.35">
      <c r="I60" s="582" t="s">
        <v>2525</v>
      </c>
      <c r="J60" s="431"/>
      <c r="K60" s="432">
        <f t="shared" ref="K60:W60" si="50">IFERROR(K13/K50,0)</f>
        <v>0</v>
      </c>
      <c r="L60" s="432">
        <f t="shared" si="50"/>
        <v>0</v>
      </c>
      <c r="M60" s="432">
        <f t="shared" si="50"/>
        <v>0</v>
      </c>
      <c r="N60" s="432">
        <f t="shared" si="50"/>
        <v>0</v>
      </c>
      <c r="O60" s="432">
        <f t="shared" si="50"/>
        <v>0</v>
      </c>
      <c r="P60" s="432">
        <f t="shared" si="50"/>
        <v>0</v>
      </c>
      <c r="Q60" s="432">
        <f t="shared" si="50"/>
        <v>0</v>
      </c>
      <c r="R60" s="432">
        <f t="shared" si="50"/>
        <v>0</v>
      </c>
      <c r="S60" s="432">
        <f t="shared" si="50"/>
        <v>0</v>
      </c>
      <c r="T60" s="432">
        <f t="shared" si="50"/>
        <v>0</v>
      </c>
      <c r="U60" s="432">
        <f t="shared" si="50"/>
        <v>0</v>
      </c>
      <c r="V60" s="432">
        <f t="shared" si="50"/>
        <v>0</v>
      </c>
      <c r="W60" s="431">
        <f t="shared" si="50"/>
        <v>0</v>
      </c>
      <c r="AD60" s="470">
        <v>43152</v>
      </c>
      <c r="AE60" s="426" t="s">
        <v>1918</v>
      </c>
      <c r="AF60" s="426" t="s">
        <v>1919</v>
      </c>
      <c r="AG60" s="48" t="s">
        <v>1920</v>
      </c>
      <c r="AH60" s="476">
        <v>200</v>
      </c>
      <c r="AI60" s="45" t="s">
        <v>1775</v>
      </c>
    </row>
    <row r="61" spans="1:35" ht="13.9" customHeight="1" x14ac:dyDescent="0.4">
      <c r="A61" s="463"/>
      <c r="B61" s="464"/>
      <c r="C61" s="464"/>
      <c r="E61" s="465"/>
      <c r="I61" s="437" t="s">
        <v>63</v>
      </c>
      <c r="J61" s="438"/>
      <c r="K61" s="554">
        <f t="shared" ref="K61:W61" si="51">IFERROR(K14/K51,0)</f>
        <v>151.05307692307693</v>
      </c>
      <c r="L61" s="554">
        <f t="shared" si="51"/>
        <v>60.87777777777778</v>
      </c>
      <c r="M61" s="554">
        <f t="shared" si="51"/>
        <v>93.925531914893611</v>
      </c>
      <c r="N61" s="554">
        <f t="shared" si="51"/>
        <v>93.590909090909093</v>
      </c>
      <c r="O61" s="554">
        <f t="shared" si="51"/>
        <v>208.42424242424244</v>
      </c>
      <c r="P61" s="554">
        <f t="shared" si="51"/>
        <v>168.11517241379312</v>
      </c>
      <c r="Q61" s="554">
        <f t="shared" si="51"/>
        <v>174.84757575757573</v>
      </c>
      <c r="R61" s="554">
        <f t="shared" si="51"/>
        <v>226.17848484848486</v>
      </c>
      <c r="S61" s="554">
        <f t="shared" si="51"/>
        <v>232.09192307692308</v>
      </c>
      <c r="T61" s="554">
        <f t="shared" si="51"/>
        <v>254.08777777777777</v>
      </c>
      <c r="U61" s="554">
        <f t="shared" si="51"/>
        <v>132.75</v>
      </c>
      <c r="V61" s="554">
        <f t="shared" si="51"/>
        <v>159.45411764705881</v>
      </c>
      <c r="W61" s="438">
        <f t="shared" si="51"/>
        <v>149.1600228832952</v>
      </c>
      <c r="AD61" s="470">
        <v>43167</v>
      </c>
      <c r="AE61" s="426" t="s">
        <v>1921</v>
      </c>
      <c r="AF61" s="45" t="s">
        <v>1922</v>
      </c>
      <c r="AG61" s="48" t="s">
        <v>1923</v>
      </c>
      <c r="AH61" s="476">
        <v>30</v>
      </c>
      <c r="AI61" s="45" t="s">
        <v>1924</v>
      </c>
    </row>
    <row r="62" spans="1:35" x14ac:dyDescent="0.35">
      <c r="AD62" s="470">
        <v>43190</v>
      </c>
      <c r="AE62" s="45" t="s">
        <v>1925</v>
      </c>
      <c r="AF62" s="45" t="s">
        <v>1926</v>
      </c>
      <c r="AG62" s="48" t="s">
        <v>1927</v>
      </c>
      <c r="AH62" s="476">
        <v>125</v>
      </c>
      <c r="AI62" s="45" t="s">
        <v>1928</v>
      </c>
    </row>
    <row r="63" spans="1:35" x14ac:dyDescent="0.35">
      <c r="AD63" s="470">
        <v>43249</v>
      </c>
      <c r="AE63" s="45" t="s">
        <v>1191</v>
      </c>
      <c r="AF63" s="426" t="s">
        <v>1929</v>
      </c>
      <c r="AG63" s="48" t="s">
        <v>1930</v>
      </c>
      <c r="AH63" s="476">
        <v>200</v>
      </c>
      <c r="AI63" s="45" t="s">
        <v>1931</v>
      </c>
    </row>
    <row r="64" spans="1:35" ht="13.15" customHeight="1" x14ac:dyDescent="0.4">
      <c r="I64" s="420" t="s">
        <v>140</v>
      </c>
      <c r="J64" s="557" t="s">
        <v>1596</v>
      </c>
      <c r="K64" s="577" t="s">
        <v>142</v>
      </c>
      <c r="L64" s="577" t="s">
        <v>143</v>
      </c>
      <c r="M64" s="577" t="s">
        <v>144</v>
      </c>
      <c r="N64" s="577" t="s">
        <v>145</v>
      </c>
      <c r="O64" s="577" t="s">
        <v>146</v>
      </c>
      <c r="P64" s="577" t="s">
        <v>147</v>
      </c>
      <c r="Q64" s="577" t="s">
        <v>148</v>
      </c>
      <c r="R64" s="577" t="s">
        <v>149</v>
      </c>
      <c r="S64" s="577" t="s">
        <v>150</v>
      </c>
      <c r="T64" s="577" t="s">
        <v>151</v>
      </c>
      <c r="U64" s="577" t="s">
        <v>152</v>
      </c>
      <c r="V64" s="577" t="s">
        <v>153</v>
      </c>
      <c r="W64" s="577" t="s">
        <v>19</v>
      </c>
      <c r="X64" s="559" t="s">
        <v>76</v>
      </c>
      <c r="Y64" s="560" t="s">
        <v>23</v>
      </c>
      <c r="Z64" s="560" t="s">
        <v>21</v>
      </c>
      <c r="AD64" s="470">
        <v>43343</v>
      </c>
      <c r="AE64" s="45" t="s">
        <v>1932</v>
      </c>
      <c r="AF64" s="426" t="s">
        <v>1933</v>
      </c>
      <c r="AG64" s="48" t="s">
        <v>1934</v>
      </c>
      <c r="AH64" s="476">
        <v>200</v>
      </c>
      <c r="AI64" s="45" t="s">
        <v>1531</v>
      </c>
    </row>
    <row r="65" spans="9:35" x14ac:dyDescent="0.35">
      <c r="I65" s="581" t="s">
        <v>28</v>
      </c>
      <c r="J65" s="432">
        <f t="shared" ref="J65:V65" si="52">J4*60%</f>
        <v>900</v>
      </c>
      <c r="K65" s="432">
        <f t="shared" si="52"/>
        <v>831</v>
      </c>
      <c r="L65" s="432">
        <f t="shared" si="52"/>
        <v>813</v>
      </c>
      <c r="M65" s="432">
        <f t="shared" si="52"/>
        <v>981</v>
      </c>
      <c r="N65" s="432">
        <f t="shared" si="52"/>
        <v>1525.8</v>
      </c>
      <c r="O65" s="432">
        <f t="shared" si="52"/>
        <v>513</v>
      </c>
      <c r="P65" s="432">
        <f t="shared" si="52"/>
        <v>474</v>
      </c>
      <c r="Q65" s="432">
        <f t="shared" si="52"/>
        <v>548.69999999999993</v>
      </c>
      <c r="R65" s="432">
        <f t="shared" si="52"/>
        <v>873</v>
      </c>
      <c r="S65" s="432">
        <f t="shared" si="52"/>
        <v>1074.45</v>
      </c>
      <c r="T65" s="432">
        <f t="shared" si="52"/>
        <v>377.4</v>
      </c>
      <c r="U65" s="432">
        <f t="shared" si="52"/>
        <v>1083.3</v>
      </c>
      <c r="V65" s="432">
        <f t="shared" si="52"/>
        <v>240</v>
      </c>
      <c r="W65" s="431">
        <f t="shared" ref="W65:W71" si="53">SUM(K65:V65)</f>
        <v>9334.65</v>
      </c>
      <c r="X65" s="445">
        <f>IFERROR(W65/W4,0)</f>
        <v>0.6</v>
      </c>
      <c r="Y65" s="558">
        <f>J65*12</f>
        <v>10800</v>
      </c>
      <c r="Z65" s="434">
        <f>W65-Y65</f>
        <v>-1465.3500000000004</v>
      </c>
      <c r="AD65" s="470">
        <v>43392</v>
      </c>
      <c r="AE65" s="45" t="s">
        <v>1935</v>
      </c>
      <c r="AF65" s="426" t="s">
        <v>1936</v>
      </c>
      <c r="AG65" s="48" t="s">
        <v>1937</v>
      </c>
      <c r="AH65" s="476">
        <v>200</v>
      </c>
      <c r="AI65" s="45" t="s">
        <v>1938</v>
      </c>
    </row>
    <row r="66" spans="9:35" x14ac:dyDescent="0.35">
      <c r="I66" s="581" t="s">
        <v>1274</v>
      </c>
      <c r="J66" s="432">
        <f>J5*45%</f>
        <v>1125</v>
      </c>
      <c r="K66" s="432">
        <f t="shared" ref="K66:V66" si="54">K5*60%</f>
        <v>2163.9</v>
      </c>
      <c r="L66" s="432">
        <f t="shared" si="54"/>
        <v>779.16</v>
      </c>
      <c r="M66" s="432">
        <f t="shared" si="54"/>
        <v>1159.2</v>
      </c>
      <c r="N66" s="432">
        <f t="shared" si="54"/>
        <v>1363.5</v>
      </c>
      <c r="O66" s="432">
        <f t="shared" si="54"/>
        <v>3115.2</v>
      </c>
      <c r="P66" s="432">
        <f t="shared" si="54"/>
        <v>1474.8</v>
      </c>
      <c r="Q66" s="432">
        <f t="shared" si="54"/>
        <v>1025.3999999999999</v>
      </c>
      <c r="R66" s="432">
        <f t="shared" si="54"/>
        <v>2528.4</v>
      </c>
      <c r="S66" s="432">
        <f t="shared" si="54"/>
        <v>762</v>
      </c>
      <c r="T66" s="432">
        <f t="shared" si="54"/>
        <v>1171.8</v>
      </c>
      <c r="U66" s="432">
        <f t="shared" si="54"/>
        <v>2433</v>
      </c>
      <c r="V66" s="432">
        <f t="shared" si="54"/>
        <v>1184.0999999999999</v>
      </c>
      <c r="W66" s="431">
        <f t="shared" si="53"/>
        <v>19160.459999999995</v>
      </c>
      <c r="X66" s="445">
        <f>IFERROR(W66/W5,0)</f>
        <v>0.59999999999999987</v>
      </c>
      <c r="Y66" s="558">
        <f>J66*12</f>
        <v>13500</v>
      </c>
      <c r="Z66" s="434">
        <f>W66-Y66</f>
        <v>5660.4599999999955</v>
      </c>
      <c r="AD66" s="470">
        <v>43424</v>
      </c>
      <c r="AE66" s="45" t="s">
        <v>1939</v>
      </c>
      <c r="AF66" s="426" t="s">
        <v>1940</v>
      </c>
      <c r="AG66" s="48" t="s">
        <v>1941</v>
      </c>
      <c r="AH66" s="476">
        <v>250</v>
      </c>
      <c r="AI66" s="45" t="s">
        <v>1942</v>
      </c>
    </row>
    <row r="67" spans="9:35" x14ac:dyDescent="0.35">
      <c r="I67" s="581" t="s">
        <v>1276</v>
      </c>
      <c r="J67" s="432">
        <f>J6*40%</f>
        <v>480</v>
      </c>
      <c r="K67" s="432">
        <f t="shared" ref="K67:V67" si="55">K6*60%</f>
        <v>690.64200000000005</v>
      </c>
      <c r="L67" s="432">
        <f t="shared" si="55"/>
        <v>730.5</v>
      </c>
      <c r="M67" s="432">
        <f t="shared" si="55"/>
        <v>484.5</v>
      </c>
      <c r="N67" s="432">
        <f t="shared" si="55"/>
        <v>505.5</v>
      </c>
      <c r="O67" s="432">
        <f t="shared" si="55"/>
        <v>663</v>
      </c>
      <c r="P67" s="432">
        <f t="shared" si="55"/>
        <v>618</v>
      </c>
      <c r="Q67" s="432">
        <f t="shared" si="55"/>
        <v>754.5</v>
      </c>
      <c r="R67" s="432">
        <f t="shared" si="55"/>
        <v>1614</v>
      </c>
      <c r="S67" s="432">
        <f t="shared" si="55"/>
        <v>842.69999999999993</v>
      </c>
      <c r="T67" s="432">
        <f t="shared" si="55"/>
        <v>424.5</v>
      </c>
      <c r="U67" s="432">
        <f t="shared" si="55"/>
        <v>632.25</v>
      </c>
      <c r="V67" s="432">
        <f t="shared" si="55"/>
        <v>342.75</v>
      </c>
      <c r="W67" s="431">
        <f t="shared" si="53"/>
        <v>8302.8420000000006</v>
      </c>
      <c r="X67" s="445">
        <f>IFERROR(W67/W7,0)</f>
        <v>-0.73099015261899836</v>
      </c>
      <c r="Y67" s="558">
        <f>J67*12</f>
        <v>5760</v>
      </c>
      <c r="Z67" s="434">
        <f>W67-Y67</f>
        <v>2542.8420000000006</v>
      </c>
      <c r="AD67" s="470">
        <v>43438</v>
      </c>
      <c r="AE67" s="426" t="s">
        <v>1943</v>
      </c>
      <c r="AF67" s="426" t="s">
        <v>1944</v>
      </c>
      <c r="AG67" s="48" t="s">
        <v>1945</v>
      </c>
      <c r="AH67" s="426">
        <v>200</v>
      </c>
      <c r="AI67" s="45" t="s">
        <v>1946</v>
      </c>
    </row>
    <row r="68" spans="9:35" x14ac:dyDescent="0.35">
      <c r="I68" s="581" t="s">
        <v>1277</v>
      </c>
      <c r="J68" s="432"/>
      <c r="K68" s="432">
        <f t="shared" ref="K68:V68" si="56">K7*60%</f>
        <v>-561.9</v>
      </c>
      <c r="L68" s="432">
        <f t="shared" si="56"/>
        <v>-882.95999999999992</v>
      </c>
      <c r="M68" s="432">
        <f t="shared" si="56"/>
        <v>-540</v>
      </c>
      <c r="N68" s="432">
        <f t="shared" si="56"/>
        <v>-1122.3</v>
      </c>
      <c r="O68" s="432">
        <f t="shared" si="56"/>
        <v>-647.4</v>
      </c>
      <c r="P68" s="432">
        <f t="shared" si="56"/>
        <v>-194.4</v>
      </c>
      <c r="Q68" s="432">
        <f t="shared" si="56"/>
        <v>-632.69999999999993</v>
      </c>
      <c r="R68" s="432">
        <f t="shared" si="56"/>
        <v>-864</v>
      </c>
      <c r="S68" s="432">
        <f t="shared" si="56"/>
        <v>-291.45</v>
      </c>
      <c r="T68" s="432">
        <f t="shared" si="56"/>
        <v>0</v>
      </c>
      <c r="U68" s="432">
        <f t="shared" si="56"/>
        <v>-1007.4</v>
      </c>
      <c r="V68" s="432">
        <f t="shared" si="56"/>
        <v>-70.5</v>
      </c>
      <c r="W68" s="431">
        <f t="shared" si="53"/>
        <v>-6815.0099999999993</v>
      </c>
      <c r="X68" s="445"/>
      <c r="Y68" s="558"/>
      <c r="Z68" s="434"/>
      <c r="AD68" s="470">
        <v>43507</v>
      </c>
      <c r="AE68" s="426" t="s">
        <v>1947</v>
      </c>
      <c r="AF68" s="45" t="s">
        <v>1948</v>
      </c>
      <c r="AG68" s="48" t="s">
        <v>1949</v>
      </c>
      <c r="AH68" s="476">
        <v>250</v>
      </c>
      <c r="AI68" s="45" t="s">
        <v>1489</v>
      </c>
    </row>
    <row r="69" spans="9:35" x14ac:dyDescent="0.35">
      <c r="I69" s="581" t="s">
        <v>1278</v>
      </c>
      <c r="J69" s="432">
        <f>J8*75%</f>
        <v>75</v>
      </c>
      <c r="K69" s="432">
        <f t="shared" ref="K69:V69" si="57">K8*60%</f>
        <v>24</v>
      </c>
      <c r="L69" s="432">
        <f t="shared" si="57"/>
        <v>144</v>
      </c>
      <c r="M69" s="432">
        <f t="shared" si="57"/>
        <v>36</v>
      </c>
      <c r="N69" s="432">
        <f t="shared" si="57"/>
        <v>60</v>
      </c>
      <c r="O69" s="432">
        <f t="shared" si="57"/>
        <v>48</v>
      </c>
      <c r="P69" s="432">
        <f t="shared" si="57"/>
        <v>72</v>
      </c>
      <c r="Q69" s="432">
        <f t="shared" si="57"/>
        <v>84</v>
      </c>
      <c r="R69" s="432">
        <f t="shared" si="57"/>
        <v>36</v>
      </c>
      <c r="S69" s="432">
        <f t="shared" si="57"/>
        <v>24</v>
      </c>
      <c r="T69" s="432">
        <f t="shared" si="57"/>
        <v>156</v>
      </c>
      <c r="U69" s="432">
        <f t="shared" si="57"/>
        <v>36</v>
      </c>
      <c r="V69" s="432">
        <f t="shared" si="57"/>
        <v>36</v>
      </c>
      <c r="W69" s="431">
        <f t="shared" si="53"/>
        <v>756</v>
      </c>
      <c r="X69" s="445">
        <f>IFERROR(W69/W8,0)</f>
        <v>0.6</v>
      </c>
      <c r="Y69" s="558">
        <f>J69*12</f>
        <v>900</v>
      </c>
      <c r="Z69" s="434">
        <f>W69-Y69</f>
        <v>-144</v>
      </c>
      <c r="AD69" s="470">
        <v>43560</v>
      </c>
      <c r="AE69" s="426" t="s">
        <v>1943</v>
      </c>
      <c r="AF69" s="45" t="s">
        <v>1950</v>
      </c>
      <c r="AG69" s="45" t="s">
        <v>1900</v>
      </c>
      <c r="AH69" s="257">
        <v>-159</v>
      </c>
    </row>
    <row r="70" spans="9:35" x14ac:dyDescent="0.35">
      <c r="I70" s="582" t="s">
        <v>1279</v>
      </c>
      <c r="J70" s="432">
        <f>J9*75%</f>
        <v>625</v>
      </c>
      <c r="K70" s="432">
        <f t="shared" ref="K70:V70" si="58">K9*60%</f>
        <v>387</v>
      </c>
      <c r="L70" s="432">
        <f t="shared" si="58"/>
        <v>39</v>
      </c>
      <c r="M70" s="432">
        <f t="shared" si="58"/>
        <v>348</v>
      </c>
      <c r="N70" s="432">
        <f t="shared" si="58"/>
        <v>627</v>
      </c>
      <c r="O70" s="432">
        <f t="shared" si="58"/>
        <v>417</v>
      </c>
      <c r="P70" s="432">
        <f t="shared" si="58"/>
        <v>435</v>
      </c>
      <c r="Q70" s="432">
        <f t="shared" si="58"/>
        <v>927</v>
      </c>
      <c r="R70" s="432">
        <f t="shared" si="58"/>
        <v>288</v>
      </c>
      <c r="S70" s="432">
        <f t="shared" si="58"/>
        <v>954</v>
      </c>
      <c r="T70" s="432">
        <f t="shared" si="58"/>
        <v>216</v>
      </c>
      <c r="U70" s="432">
        <f t="shared" si="58"/>
        <v>377.09999999999997</v>
      </c>
      <c r="V70" s="432">
        <f t="shared" si="58"/>
        <v>573</v>
      </c>
      <c r="W70" s="431">
        <f t="shared" si="53"/>
        <v>5588.1</v>
      </c>
      <c r="X70" s="445">
        <f>IFERROR(W70/W9,0)</f>
        <v>0.60000000000000009</v>
      </c>
      <c r="Y70" s="558">
        <f>J70*12</f>
        <v>7500</v>
      </c>
      <c r="Z70" s="434">
        <f>W70-Y70</f>
        <v>-1911.8999999999996</v>
      </c>
      <c r="AD70" s="470">
        <v>43592</v>
      </c>
      <c r="AE70" s="45" t="s">
        <v>1681</v>
      </c>
      <c r="AF70" s="45" t="s">
        <v>1951</v>
      </c>
      <c r="AG70" s="48" t="s">
        <v>1952</v>
      </c>
      <c r="AH70" s="476">
        <v>75</v>
      </c>
      <c r="AI70" s="45" t="s">
        <v>224</v>
      </c>
    </row>
    <row r="71" spans="9:35" x14ac:dyDescent="0.35">
      <c r="I71" s="582" t="s">
        <v>2525</v>
      </c>
      <c r="J71" s="432">
        <f>J13*15%</f>
        <v>3.75</v>
      </c>
      <c r="K71" s="432">
        <f t="shared" ref="K71:V71" si="59">K13*60%</f>
        <v>0</v>
      </c>
      <c r="L71" s="432">
        <f t="shared" si="59"/>
        <v>21</v>
      </c>
      <c r="M71" s="432">
        <f t="shared" si="59"/>
        <v>0</v>
      </c>
      <c r="N71" s="432">
        <f t="shared" si="59"/>
        <v>21</v>
      </c>
      <c r="O71" s="432">
        <f t="shared" si="59"/>
        <v>0</v>
      </c>
      <c r="P71" s="432">
        <f t="shared" si="59"/>
        <v>0</v>
      </c>
      <c r="Q71" s="432">
        <f t="shared" si="59"/>
        <v>8.4420000000000002</v>
      </c>
      <c r="R71" s="432">
        <f t="shared" si="59"/>
        <v>2.9339999999999997</v>
      </c>
      <c r="S71" s="432">
        <f t="shared" si="59"/>
        <v>0</v>
      </c>
      <c r="T71" s="432">
        <f t="shared" si="59"/>
        <v>3.9599999999999995</v>
      </c>
      <c r="U71" s="432">
        <f t="shared" si="59"/>
        <v>0</v>
      </c>
      <c r="V71" s="432">
        <f t="shared" si="59"/>
        <v>0.54</v>
      </c>
      <c r="W71" s="431">
        <f t="shared" si="53"/>
        <v>57.875999999999998</v>
      </c>
      <c r="X71" s="445">
        <f>IFERROR(W71/W13,0)</f>
        <v>0.6</v>
      </c>
      <c r="Y71" s="558">
        <f>J71*12</f>
        <v>45</v>
      </c>
      <c r="Z71" s="434">
        <f>W71-Y71</f>
        <v>12.875999999999998</v>
      </c>
      <c r="AD71" s="470">
        <v>43754</v>
      </c>
      <c r="AE71" s="45" t="s">
        <v>676</v>
      </c>
      <c r="AF71" s="426" t="s">
        <v>1953</v>
      </c>
      <c r="AG71" s="48" t="s">
        <v>1954</v>
      </c>
      <c r="AH71" s="476">
        <v>100</v>
      </c>
      <c r="AI71" s="45" t="s">
        <v>1141</v>
      </c>
    </row>
    <row r="72" spans="9:35" ht="13.15" customHeight="1" x14ac:dyDescent="0.4">
      <c r="I72" s="437" t="s">
        <v>63</v>
      </c>
      <c r="J72" s="438">
        <f t="shared" ref="J72:W72" si="60">SUM(J65:J71)</f>
        <v>3208.75</v>
      </c>
      <c r="K72" s="439">
        <f t="shared" si="60"/>
        <v>3534.6420000000003</v>
      </c>
      <c r="L72" s="439">
        <f t="shared" si="60"/>
        <v>1643.6999999999998</v>
      </c>
      <c r="M72" s="439">
        <f t="shared" si="60"/>
        <v>2468.6999999999998</v>
      </c>
      <c r="N72" s="439">
        <f t="shared" si="60"/>
        <v>2980.5</v>
      </c>
      <c r="O72" s="439">
        <f t="shared" si="60"/>
        <v>4108.7999999999993</v>
      </c>
      <c r="P72" s="439">
        <f t="shared" si="60"/>
        <v>2879.4</v>
      </c>
      <c r="Q72" s="439">
        <f t="shared" si="60"/>
        <v>2715.3420000000001</v>
      </c>
      <c r="R72" s="439">
        <f t="shared" si="60"/>
        <v>4478.3339999999998</v>
      </c>
      <c r="S72" s="439">
        <f t="shared" si="60"/>
        <v>3365.7000000000003</v>
      </c>
      <c r="T72" s="439">
        <f t="shared" si="60"/>
        <v>2349.66</v>
      </c>
      <c r="U72" s="439">
        <f t="shared" si="60"/>
        <v>3554.25</v>
      </c>
      <c r="V72" s="439">
        <f t="shared" si="60"/>
        <v>2305.89</v>
      </c>
      <c r="W72" s="438">
        <f t="shared" si="60"/>
        <v>36384.917999999991</v>
      </c>
      <c r="X72" s="445">
        <f>IFERROR(W72/W14,0)</f>
        <v>0.55819703103251095</v>
      </c>
      <c r="Y72" s="558">
        <f>J72*12</f>
        <v>38505</v>
      </c>
      <c r="Z72" s="434">
        <f>W72-Y72</f>
        <v>-2120.0820000000094</v>
      </c>
      <c r="AD72" s="470">
        <v>43759</v>
      </c>
      <c r="AE72" s="45" t="s">
        <v>1955</v>
      </c>
      <c r="AF72" s="45" t="s">
        <v>1956</v>
      </c>
      <c r="AG72" s="48" t="s">
        <v>1957</v>
      </c>
      <c r="AH72" s="476">
        <v>75</v>
      </c>
      <c r="AI72" s="45" t="s">
        <v>1141</v>
      </c>
    </row>
    <row r="73" spans="9:35" x14ac:dyDescent="0.35">
      <c r="AD73" s="470">
        <v>43762</v>
      </c>
      <c r="AE73" s="426" t="s">
        <v>1958</v>
      </c>
      <c r="AF73" s="426" t="s">
        <v>1959</v>
      </c>
      <c r="AG73" s="48" t="s">
        <v>1960</v>
      </c>
      <c r="AH73" s="476">
        <v>250</v>
      </c>
      <c r="AI73" s="45" t="s">
        <v>1141</v>
      </c>
    </row>
    <row r="74" spans="9:35" ht="13.15" customHeight="1" x14ac:dyDescent="0.4">
      <c r="I74" s="566" t="s">
        <v>157</v>
      </c>
      <c r="K74" s="577" t="s">
        <v>142</v>
      </c>
      <c r="L74" s="577" t="s">
        <v>143</v>
      </c>
      <c r="M74" s="577" t="s">
        <v>144</v>
      </c>
      <c r="N74" s="577" t="s">
        <v>145</v>
      </c>
      <c r="O74" s="577" t="s">
        <v>146</v>
      </c>
      <c r="P74" s="577" t="s">
        <v>147</v>
      </c>
      <c r="Q74" s="577" t="s">
        <v>148</v>
      </c>
      <c r="R74" s="577" t="s">
        <v>149</v>
      </c>
      <c r="S74" s="577" t="s">
        <v>150</v>
      </c>
      <c r="T74" s="577" t="s">
        <v>151</v>
      </c>
      <c r="U74" s="577" t="s">
        <v>152</v>
      </c>
      <c r="V74" s="577" t="s">
        <v>153</v>
      </c>
      <c r="W74" s="577" t="s">
        <v>19</v>
      </c>
      <c r="X74" s="423" t="s">
        <v>158</v>
      </c>
      <c r="Y74" s="423" t="s">
        <v>22</v>
      </c>
      <c r="AD74" s="470">
        <v>43769</v>
      </c>
      <c r="AE74" s="45" t="s">
        <v>1961</v>
      </c>
      <c r="AF74" s="426" t="s">
        <v>1962</v>
      </c>
      <c r="AG74" s="48" t="s">
        <v>1963</v>
      </c>
      <c r="AH74" s="476">
        <v>200</v>
      </c>
      <c r="AI74" s="45" t="s">
        <v>142</v>
      </c>
    </row>
    <row r="75" spans="9:35" x14ac:dyDescent="0.35">
      <c r="I75" s="426" t="s">
        <v>159</v>
      </c>
      <c r="K75" s="432">
        <f>SUMIF(D$583:$D$621,$I75,$E$583:$E$621)</f>
        <v>1570</v>
      </c>
      <c r="L75" s="432">
        <f ca="1">SUMIF($D$536:E$581,$I75,$E$536:$E$581)</f>
        <v>838</v>
      </c>
      <c r="M75" s="432">
        <f>SUMIF($D$486:D$533,$I75,$E$486:$E$533)</f>
        <v>2237</v>
      </c>
      <c r="N75" s="432">
        <f>SUMIF($D$425:D$485,$I75,$E$425:$E$485)</f>
        <v>2985.5</v>
      </c>
      <c r="O75" s="432">
        <f>SUMIF($D$389:D$422,$I75,$E$389:$E$422)</f>
        <v>3189</v>
      </c>
      <c r="P75" s="432">
        <f>SUMIF($D$357:D$387,$I75,$E$357:$E$387)</f>
        <v>2370</v>
      </c>
      <c r="Q75" s="432">
        <f ca="1">SUMIF($D$318:E$355,$I75,$E$318:$E$355)</f>
        <v>1183.0700000000002</v>
      </c>
      <c r="R75" s="432">
        <f ca="1">SUMIF($D$282:F$315,$I75,$E$282:$E$315)</f>
        <v>4464</v>
      </c>
      <c r="S75" s="432">
        <f ca="1">SUMIF($D$250:G$280,$I75,$E$250:$E$280)</f>
        <v>3980</v>
      </c>
      <c r="T75" s="432">
        <f ca="1">SUMIF($D$227:G$247,$I75,$E$227:$E$247)</f>
        <v>2589.6</v>
      </c>
      <c r="U75" s="432">
        <f ca="1">SUMIF($D$180:E$225,$I75,$E$180:$E$225)</f>
        <v>3518.75</v>
      </c>
      <c r="V75" s="432">
        <f ca="1">SUMIF($D$126:E$179,$I75,$E$126:$E$179)</f>
        <v>2721</v>
      </c>
      <c r="W75" s="432">
        <f t="shared" ref="W75:W82" ca="1" si="61">SUM(K75:V75)</f>
        <v>31645.919999999998</v>
      </c>
      <c r="X75" s="460">
        <f t="shared" ref="X75:X82" ca="1" si="62">L75/$L$83</f>
        <v>0.30589523635699944</v>
      </c>
      <c r="Y75" s="460">
        <f ca="1">W75/W83</f>
        <v>0.48549397825473628</v>
      </c>
      <c r="AD75" s="470">
        <v>43787</v>
      </c>
      <c r="AE75" s="45" t="s">
        <v>1964</v>
      </c>
      <c r="AF75" s="45" t="s">
        <v>1965</v>
      </c>
      <c r="AG75" s="48" t="s">
        <v>1966</v>
      </c>
      <c r="AH75" s="426">
        <v>150</v>
      </c>
    </row>
    <row r="76" spans="9:35" x14ac:dyDescent="0.35">
      <c r="I76" s="426" t="s">
        <v>160</v>
      </c>
      <c r="K76" s="432">
        <f>SUMIF(D$583:$D$621,$I76,$E$583:$E$621)</f>
        <v>755</v>
      </c>
      <c r="L76" s="432">
        <f ca="1">SUMIF($D$536:E$581,$I76,$E$536:$E$581)</f>
        <v>514</v>
      </c>
      <c r="M76" s="432">
        <f>SUMIF($D$486:D$533,$I76,$E$486:$E$533)</f>
        <v>360</v>
      </c>
      <c r="N76" s="432">
        <f>SUMIF($D$425:D$485,$I76,$E$425:$E$485)</f>
        <v>1089</v>
      </c>
      <c r="O76" s="432">
        <f>SUMIF($D$389:D$422,$I76,$E$389:$E$422)</f>
        <v>2259</v>
      </c>
      <c r="P76" s="432">
        <f>SUMIF($D$357:D$387,$I76,$E$357:$E$387)</f>
        <v>940.34</v>
      </c>
      <c r="Q76" s="432">
        <f ca="1">SUMIF($D$318:E$355,$I76,$E$318:$E$355)</f>
        <v>1697.98</v>
      </c>
      <c r="R76" s="432">
        <f ca="1">SUMIF($D$282:F$315,$I76,$E$282:$E$315)</f>
        <v>1749.8899999999999</v>
      </c>
      <c r="S76" s="432">
        <f ca="1">SUMIF($D$250:G$280,$I76,$E$250:$E$280)</f>
        <v>409.89</v>
      </c>
      <c r="T76" s="432">
        <f ca="1">SUMIF($D$227:G$247,$I76,$E$227:$E$247)</f>
        <v>559</v>
      </c>
      <c r="U76" s="432">
        <f ca="1">SUMIF($D$180:E$225,$I76,$E$180:$E$225)</f>
        <v>750</v>
      </c>
      <c r="V76" s="432">
        <f ca="1">SUMIF($D$126:E$179,$I76,$E$126:$E$179)</f>
        <v>859.19</v>
      </c>
      <c r="W76" s="432">
        <f t="shared" ca="1" si="61"/>
        <v>11943.289999999999</v>
      </c>
      <c r="X76" s="460">
        <f t="shared" ca="1" si="62"/>
        <v>0.18762547910202593</v>
      </c>
      <c r="Y76" s="460">
        <f ca="1">W76/W83</f>
        <v>0.18322726517510027</v>
      </c>
    </row>
    <row r="77" spans="9:35" x14ac:dyDescent="0.35">
      <c r="I77" s="426" t="s">
        <v>161</v>
      </c>
      <c r="K77" s="432">
        <f>SUMIF(D$583:$D$621,$I77,$E$583:$E$621)</f>
        <v>666.07</v>
      </c>
      <c r="L77" s="432">
        <f ca="1">SUMIF($D$536:E$581,$I77,$E$536:$E$581)</f>
        <v>600</v>
      </c>
      <c r="M77" s="432">
        <f>SUMIF($D$486:D$533,$I77,$E$486:$E$533)</f>
        <v>827.5</v>
      </c>
      <c r="N77" s="432">
        <f>SUMIF($D$425:D$485,$I77,$E$425:$E$485)</f>
        <v>640</v>
      </c>
      <c r="O77" s="432">
        <f>SUMIF($D$389:D$422,$I77,$E$389:$E$422)</f>
        <v>1185</v>
      </c>
      <c r="P77" s="432">
        <f>SUMIF($D$357:D$387,$I77,$E$357:$E$387)</f>
        <v>1090</v>
      </c>
      <c r="Q77" s="432">
        <f ca="1">SUMIF($D$318:E$355,$I77,$E$318:$E$355)</f>
        <v>872.5</v>
      </c>
      <c r="R77" s="432">
        <f ca="1">SUMIF($D$282:F$315,$I77,$E$282:$E$315)</f>
        <v>1250</v>
      </c>
      <c r="S77" s="432">
        <f ca="1">SUMIF($D$250:G$280,$I77,$E$250:$E$280)</f>
        <v>747.5</v>
      </c>
      <c r="T77" s="432">
        <f ca="1">SUMIF($D$227:G$247,$I77,$E$227:$E$247)</f>
        <v>767.5</v>
      </c>
      <c r="U77" s="432">
        <f ca="1">SUMIF($D$180:E$225,$I77,$E$180:$E$225)</f>
        <v>1070</v>
      </c>
      <c r="V77" s="432">
        <f ca="1">SUMIF($D$126:E$179,$I77,$E$126:$E$179)</f>
        <v>631.25</v>
      </c>
      <c r="W77" s="432">
        <f t="shared" ca="1" si="61"/>
        <v>10347.32</v>
      </c>
      <c r="X77" s="460">
        <f t="shared" ca="1" si="62"/>
        <v>0.21901806899069173</v>
      </c>
      <c r="Y77" s="460">
        <f ca="1">W77/W83</f>
        <v>0.15874278741382136</v>
      </c>
    </row>
    <row r="78" spans="9:35" x14ac:dyDescent="0.35">
      <c r="I78" s="426" t="s">
        <v>162</v>
      </c>
      <c r="K78" s="432">
        <f>SUMIF(D$583:$D$621,$I78,$E$583:$E$621)</f>
        <v>2365</v>
      </c>
      <c r="L78" s="432">
        <f ca="1">SUMIF($D$536:E$581,$I78,$E$536:$E$581)</f>
        <v>787.5</v>
      </c>
      <c r="M78" s="432">
        <f>SUMIF($D$486:D$533,$I78,$E$486:$E$533)</f>
        <v>970</v>
      </c>
      <c r="N78" s="432">
        <f>SUMIF($D$425:D$485,$I78,$E$425:$E$485)</f>
        <v>324</v>
      </c>
      <c r="O78" s="432">
        <f>SUMIF($D$389:D$422,$I78,$E$389:$E$422)</f>
        <v>245</v>
      </c>
      <c r="P78" s="432">
        <f>SUMIF($D$357:D$387,$I78,$E$357:$E$387)</f>
        <v>75</v>
      </c>
      <c r="Q78" s="432">
        <f ca="1">SUMIF($D$318:E$355,$I78,$E$318:$E$355)</f>
        <v>1946.42</v>
      </c>
      <c r="R78" s="432">
        <f ca="1">SUMIF($D$282:F$315,$I78,$E$282:$E$315)</f>
        <v>0</v>
      </c>
      <c r="S78" s="432">
        <f ca="1">SUMIF($D$250:G$280,$I78,$E$250:$E$280)</f>
        <v>697</v>
      </c>
      <c r="T78" s="432">
        <f ca="1">SUMIF($D$227:G$247,$I78,$E$227:$E$247)</f>
        <v>657.48</v>
      </c>
      <c r="U78" s="432">
        <f ca="1">SUMIF($D$180:E$225,$I78,$E$180:$E$225)</f>
        <v>625</v>
      </c>
      <c r="V78" s="432">
        <f ca="1">SUMIF($D$126:E$179,$I78,$E$126:$E$179)</f>
        <v>1210</v>
      </c>
      <c r="W78" s="432">
        <f t="shared" ca="1" si="61"/>
        <v>9902.4</v>
      </c>
      <c r="X78" s="460">
        <f t="shared" ca="1" si="62"/>
        <v>0.28746121555028292</v>
      </c>
      <c r="Y78" s="460">
        <f ca="1">W78/W83</f>
        <v>0.15191707399467927</v>
      </c>
    </row>
    <row r="79" spans="9:35" ht="13.15" customHeight="1" x14ac:dyDescent="0.4">
      <c r="I79" s="426" t="s">
        <v>163</v>
      </c>
      <c r="K79" s="432">
        <f>SUMIF(D$583:$D$621,$I79,$E$583:$E$621)</f>
        <v>0</v>
      </c>
      <c r="L79" s="432">
        <f ca="1">SUMIF($D$536:E$581,$I79,$E$536:$E$581)</f>
        <v>0</v>
      </c>
      <c r="M79" s="432">
        <f>SUMIF($D$486:D$533,$I79,$E$486:$E$533)</f>
        <v>0</v>
      </c>
      <c r="N79" s="432">
        <f>SUMIF($D$425:D$485,$I79,$E$425:$E$485)</f>
        <v>0</v>
      </c>
      <c r="O79" s="432">
        <f>SUMIF($D$389:D$422,$I79,$E$389:$E$422)</f>
        <v>0</v>
      </c>
      <c r="P79" s="432">
        <f>SUMIF($D$357:D$387,$I79,$E$357:$E$387)</f>
        <v>0</v>
      </c>
      <c r="Q79" s="432">
        <f ca="1">SUMIF($D$318:E$355,$I79,$E$318:$E$355)</f>
        <v>0</v>
      </c>
      <c r="R79" s="432">
        <f ca="1">SUMIF($D$282:F$315,$I79,$E$282:$E$315)</f>
        <v>0</v>
      </c>
      <c r="S79" s="432">
        <f ca="1">SUMIF($D$250:G$280,$I79,$E$250:$E$280)</f>
        <v>0</v>
      </c>
      <c r="T79" s="432">
        <f ca="1">SUMIF($D$227:G$247,$I79,$E$227:$E$247)</f>
        <v>0</v>
      </c>
      <c r="U79" s="432">
        <f ca="1">SUMIF($D$180:E$225,$I79,$E$180:$E$225)</f>
        <v>0</v>
      </c>
      <c r="V79" s="432">
        <f ca="1">SUMIF($D$126:E$179,$I79,$E$126:$E$179)</f>
        <v>0</v>
      </c>
      <c r="W79" s="432">
        <f t="shared" ca="1" si="61"/>
        <v>0</v>
      </c>
      <c r="X79" s="460">
        <f t="shared" ca="1" si="62"/>
        <v>0</v>
      </c>
      <c r="Y79" s="460">
        <f ca="1">W79/W83</f>
        <v>0</v>
      </c>
      <c r="AH79" s="610">
        <f>SUM(AH15:AH78)</f>
        <v>9313</v>
      </c>
    </row>
    <row r="80" spans="9:35" x14ac:dyDescent="0.35">
      <c r="I80" s="426" t="s">
        <v>164</v>
      </c>
      <c r="K80" s="432">
        <f>SUMIF(D$583:$D$621,$I80,$E$583:$E$621)</f>
        <v>535</v>
      </c>
      <c r="L80" s="432">
        <f ca="1">SUMIF($D$536:E$581,$I80,$E$536:$E$581)</f>
        <v>0</v>
      </c>
      <c r="M80" s="432">
        <f>SUMIF($D$486:D$533,$I80,$E$486:$E$533)</f>
        <v>20</v>
      </c>
      <c r="N80" s="432">
        <f>SUMIF($D$425:D$485,$I80,$E$425:$E$485)</f>
        <v>109</v>
      </c>
      <c r="O80" s="432">
        <f>SUMIF($D$389:D$422,$I80,$E$389:$E$422)</f>
        <v>0</v>
      </c>
      <c r="P80" s="432">
        <f>SUMIF($D$357:D$387,$I80,$E$357:$E$387)</f>
        <v>400</v>
      </c>
      <c r="Q80" s="432">
        <f ca="1">SUMIF($D$318:E$355,$I80,$E$318:$E$355)</f>
        <v>70</v>
      </c>
      <c r="R80" s="432">
        <f ca="1">SUMIF($D$282:F$315,$I80,$E$282:$E$315)</f>
        <v>0</v>
      </c>
      <c r="S80" s="432">
        <f ca="1">SUMIF($D$250:G$280,$I80,$E$250:$E$280)</f>
        <v>200</v>
      </c>
      <c r="T80" s="432">
        <f ca="1">SUMIF($D$227:G$247,$I80,$E$227:$E$247)</f>
        <v>0</v>
      </c>
      <c r="U80" s="432">
        <f ca="1">SUMIF($D$180:E$225,$I80,$E$180:$E$225)</f>
        <v>10</v>
      </c>
      <c r="V80" s="432">
        <f ca="1">SUMIF($D$126:E$179,$I80,$E$126:$E$179)</f>
        <v>0</v>
      </c>
      <c r="W80" s="432">
        <f t="shared" ca="1" si="61"/>
        <v>1344</v>
      </c>
      <c r="X80" s="460">
        <f t="shared" ca="1" si="62"/>
        <v>0</v>
      </c>
      <c r="Y80" s="460">
        <f ca="1">W80/W83</f>
        <v>2.0618895161662723E-2</v>
      </c>
    </row>
    <row r="81" spans="9:25" x14ac:dyDescent="0.35">
      <c r="I81" s="45" t="s">
        <v>166</v>
      </c>
      <c r="K81" s="432">
        <f>SUMIF(D$583:$D$621,$I81,$E$583:$E$621)</f>
        <v>0</v>
      </c>
      <c r="L81" s="432">
        <f ca="1">SUMIF($D$536:E$581,$I81,$E$536:$E$581)</f>
        <v>0</v>
      </c>
      <c r="M81" s="432">
        <f>SUMIF($D$486:D$533,$I81,$E$486:$E$533)</f>
        <v>0</v>
      </c>
      <c r="N81" s="432">
        <f>SUMIF($D$425:D$485,$I81,$E$425:$E$485)</f>
        <v>0</v>
      </c>
      <c r="O81" s="432">
        <f>SUMIF($D$389:D$422,$I81,$E$389:$E$422)</f>
        <v>0</v>
      </c>
      <c r="P81" s="432">
        <f>SUMIF($D$357:D$387,$I81,$E$357:$E$387)</f>
        <v>0</v>
      </c>
      <c r="Q81" s="432">
        <f ca="1">SUMIF($D$318:E$355,$I81,$E$318:$E$355)</f>
        <v>0</v>
      </c>
      <c r="R81" s="432">
        <f ca="1">SUMIF($D$282:F$315,$I81,$E$282:$E$315)</f>
        <v>0</v>
      </c>
      <c r="S81" s="432">
        <f ca="1">SUMIF($D$250:G$280,$I81,$E$250:$E$280)</f>
        <v>0</v>
      </c>
      <c r="T81" s="432">
        <f ca="1">SUMIF($D$227:G$247,$I81,$E$227:$E$247)</f>
        <v>0</v>
      </c>
      <c r="U81" s="432">
        <f ca="1">SUMIF($D$180:E$225,$I81,$E$180:$E$225)</f>
        <v>0</v>
      </c>
      <c r="V81" s="432">
        <f ca="1">SUMIF($D$126:E$179,$I81,$E$126:$E$179)</f>
        <v>0</v>
      </c>
      <c r="W81" s="432">
        <f t="shared" ca="1" si="61"/>
        <v>0</v>
      </c>
      <c r="X81" s="460">
        <f t="shared" ca="1" si="62"/>
        <v>0</v>
      </c>
      <c r="Y81" s="460">
        <f ca="1">W81/W83</f>
        <v>0</v>
      </c>
    </row>
    <row r="82" spans="9:25" x14ac:dyDescent="0.35">
      <c r="I82" s="426" t="s">
        <v>2297</v>
      </c>
      <c r="K82" s="432">
        <f>SUMIF(D$583:$D$621,$I82,$E$583:$E$621)</f>
        <v>0</v>
      </c>
      <c r="L82" s="432">
        <f ca="1">SUMIF($D$536:E$581,$I82,$E$536:$E$581)</f>
        <v>0</v>
      </c>
      <c r="M82" s="432">
        <f>SUMIF($D$486:D$533,$I82,$E$486:$E$533)</f>
        <v>0</v>
      </c>
      <c r="N82" s="432">
        <f>SUMIF($D$425:D$485,$I82,$E$425:$E$485)</f>
        <v>0</v>
      </c>
      <c r="O82" s="432">
        <f>SUMIF($D$389:D$422,$I82,$E$389:$E$422)</f>
        <v>0</v>
      </c>
      <c r="P82" s="432">
        <f>SUMIF($D$357:D$387,$I82,$E$357:$E$387)</f>
        <v>0</v>
      </c>
      <c r="Q82" s="432">
        <f ca="1">SUMIF($D$318:E$355,$I82,$E$318:$E$355)</f>
        <v>0</v>
      </c>
      <c r="R82" s="432">
        <f ca="1">SUMIF($D$282:F$315,$I82,$E$282:$E$315)</f>
        <v>0</v>
      </c>
      <c r="S82" s="432">
        <f ca="1">SUMIF($D$250:G$280,$I82,$E$250:$E$280)</f>
        <v>0</v>
      </c>
      <c r="T82" s="432">
        <f ca="1">SUMIF($D$227:G$247,$I82,$E$227:$E$247)</f>
        <v>0</v>
      </c>
      <c r="U82" s="432">
        <f ca="1">SUMIF($D$180:E$225,$I82,$E$180:$E$225)</f>
        <v>0</v>
      </c>
      <c r="V82" s="432">
        <f ca="1">SUMIF($D$126:E$179,$I82,$E$126:$E$179)</f>
        <v>0</v>
      </c>
      <c r="W82" s="432">
        <f t="shared" ca="1" si="61"/>
        <v>0</v>
      </c>
      <c r="X82" s="460">
        <f t="shared" ca="1" si="62"/>
        <v>0</v>
      </c>
      <c r="Y82" s="460">
        <f ca="1">W82/W83</f>
        <v>0</v>
      </c>
    </row>
    <row r="83" spans="9:25" ht="13.15" customHeight="1" x14ac:dyDescent="0.4">
      <c r="I83" s="454"/>
      <c r="K83" s="444">
        <f t="shared" ref="K83:W83" si="63">SUM(K75:K82)</f>
        <v>5891.07</v>
      </c>
      <c r="L83" s="444">
        <f t="shared" ca="1" si="63"/>
        <v>2739.5</v>
      </c>
      <c r="M83" s="444">
        <f t="shared" si="63"/>
        <v>4414.5</v>
      </c>
      <c r="N83" s="444">
        <f t="shared" si="63"/>
        <v>5147.5</v>
      </c>
      <c r="O83" s="444">
        <f t="shared" si="63"/>
        <v>6878</v>
      </c>
      <c r="P83" s="444">
        <f t="shared" si="63"/>
        <v>4875.34</v>
      </c>
      <c r="Q83" s="444">
        <f t="shared" ca="1" si="63"/>
        <v>5769.97</v>
      </c>
      <c r="R83" s="444">
        <f t="shared" ca="1" si="63"/>
        <v>7463.8899999999994</v>
      </c>
      <c r="S83" s="444">
        <f t="shared" ca="1" si="63"/>
        <v>6034.39</v>
      </c>
      <c r="T83" s="444">
        <f t="shared" ca="1" si="63"/>
        <v>4573.58</v>
      </c>
      <c r="U83" s="444">
        <f t="shared" ca="1" si="63"/>
        <v>5973.75</v>
      </c>
      <c r="V83" s="444">
        <f t="shared" ca="1" si="63"/>
        <v>5421.4400000000005</v>
      </c>
      <c r="W83" s="444">
        <f t="shared" ca="1" si="63"/>
        <v>65182.93</v>
      </c>
      <c r="X83" s="454"/>
      <c r="Y83" s="466"/>
    </row>
    <row r="84" spans="9:25" x14ac:dyDescent="0.35">
      <c r="I84" s="454"/>
      <c r="K84" s="434">
        <f t="shared" ref="K84:S84" si="64">K83-K14</f>
        <v>0</v>
      </c>
      <c r="L84" s="434">
        <f t="shared" ca="1" si="64"/>
        <v>0</v>
      </c>
      <c r="M84" s="434">
        <f t="shared" si="64"/>
        <v>0</v>
      </c>
      <c r="N84" s="434">
        <f t="shared" si="64"/>
        <v>0</v>
      </c>
      <c r="O84" s="434">
        <f t="shared" si="64"/>
        <v>0</v>
      </c>
      <c r="P84" s="434">
        <f t="shared" si="64"/>
        <v>0</v>
      </c>
      <c r="Q84" s="434">
        <f t="shared" ca="1" si="64"/>
        <v>0</v>
      </c>
      <c r="R84" s="434">
        <f t="shared" ca="1" si="64"/>
        <v>0</v>
      </c>
      <c r="S84" s="434">
        <f t="shared" ca="1" si="64"/>
        <v>0</v>
      </c>
      <c r="T84" s="434"/>
      <c r="U84" s="434"/>
      <c r="V84" s="434"/>
      <c r="W84" s="434"/>
      <c r="X84" s="454"/>
    </row>
    <row r="85" spans="9:25" ht="13.15" customHeight="1" x14ac:dyDescent="0.4">
      <c r="I85" s="556" t="s">
        <v>168</v>
      </c>
      <c r="K85" s="454"/>
      <c r="L85" s="454"/>
      <c r="M85" s="454"/>
      <c r="N85" s="454"/>
      <c r="O85" s="454"/>
      <c r="P85" s="454"/>
      <c r="Q85" s="454"/>
      <c r="R85" s="454"/>
      <c r="S85" s="454"/>
      <c r="T85" s="454"/>
      <c r="U85" s="454"/>
      <c r="V85" s="454"/>
      <c r="W85" s="454"/>
      <c r="X85" s="454"/>
    </row>
    <row r="86" spans="9:25" ht="13.15" customHeight="1" x14ac:dyDescent="0.4">
      <c r="I86" s="613" t="s">
        <v>1310</v>
      </c>
      <c r="K86" s="454">
        <f t="shared" ref="K86:V86" si="65">K75*1.8%</f>
        <v>28.26</v>
      </c>
      <c r="L86" s="454">
        <f t="shared" ca="1" si="65"/>
        <v>15.084000000000001</v>
      </c>
      <c r="M86" s="454">
        <f t="shared" si="65"/>
        <v>40.266000000000005</v>
      </c>
      <c r="N86" s="454">
        <f t="shared" si="65"/>
        <v>53.739000000000004</v>
      </c>
      <c r="O86" s="454">
        <f t="shared" si="65"/>
        <v>57.402000000000008</v>
      </c>
      <c r="P86" s="454">
        <f t="shared" si="65"/>
        <v>42.660000000000004</v>
      </c>
      <c r="Q86" s="454">
        <f t="shared" ca="1" si="65"/>
        <v>21.295260000000006</v>
      </c>
      <c r="R86" s="454">
        <f t="shared" ca="1" si="65"/>
        <v>80.352000000000004</v>
      </c>
      <c r="S86" s="454">
        <f t="shared" ca="1" si="65"/>
        <v>71.640000000000015</v>
      </c>
      <c r="T86" s="454">
        <f t="shared" ca="1" si="65"/>
        <v>46.612800000000007</v>
      </c>
      <c r="U86" s="454">
        <f t="shared" ca="1" si="65"/>
        <v>63.337500000000006</v>
      </c>
      <c r="V86" s="454">
        <f t="shared" ca="1" si="65"/>
        <v>48.978000000000009</v>
      </c>
      <c r="W86" s="432">
        <f t="shared" ref="W86:W91" ca="1" si="66">SUM(K86:V86)</f>
        <v>569.62655999999993</v>
      </c>
      <c r="X86" s="454"/>
      <c r="Y86" s="466"/>
    </row>
    <row r="87" spans="9:25" ht="13.15" customHeight="1" x14ac:dyDescent="0.4">
      <c r="I87" s="613" t="s">
        <v>170</v>
      </c>
      <c r="K87" s="454">
        <f t="shared" ref="K87:V87" si="67">K76*3.5%</f>
        <v>26.425000000000004</v>
      </c>
      <c r="L87" s="454">
        <f t="shared" ca="1" si="67"/>
        <v>17.990000000000002</v>
      </c>
      <c r="M87" s="454">
        <f t="shared" si="67"/>
        <v>12.600000000000001</v>
      </c>
      <c r="N87" s="454">
        <f t="shared" si="67"/>
        <v>38.115000000000002</v>
      </c>
      <c r="O87" s="454">
        <f t="shared" si="67"/>
        <v>79.065000000000012</v>
      </c>
      <c r="P87" s="454">
        <f t="shared" si="67"/>
        <v>32.911900000000003</v>
      </c>
      <c r="Q87" s="454">
        <f t="shared" ca="1" si="67"/>
        <v>59.429300000000005</v>
      </c>
      <c r="R87" s="454">
        <f t="shared" ca="1" si="67"/>
        <v>61.24615</v>
      </c>
      <c r="S87" s="454">
        <f t="shared" ca="1" si="67"/>
        <v>14.346150000000002</v>
      </c>
      <c r="T87" s="454">
        <f t="shared" ca="1" si="67"/>
        <v>19.565000000000001</v>
      </c>
      <c r="U87" s="454">
        <f t="shared" ca="1" si="67"/>
        <v>26.250000000000004</v>
      </c>
      <c r="V87" s="454">
        <f t="shared" ca="1" si="67"/>
        <v>30.071650000000005</v>
      </c>
      <c r="W87" s="432">
        <f t="shared" ca="1" si="66"/>
        <v>418.01515000000006</v>
      </c>
      <c r="X87" s="454"/>
      <c r="Y87" s="466"/>
    </row>
    <row r="88" spans="9:25" ht="13.15" customHeight="1" x14ac:dyDescent="0.4">
      <c r="I88" s="454" t="s">
        <v>2297</v>
      </c>
      <c r="K88" s="454">
        <f t="shared" ref="K88:V88" si="68">K82*3.5%</f>
        <v>0</v>
      </c>
      <c r="L88" s="454">
        <f t="shared" ca="1" si="68"/>
        <v>0</v>
      </c>
      <c r="M88" s="454">
        <f t="shared" si="68"/>
        <v>0</v>
      </c>
      <c r="N88" s="454">
        <f t="shared" si="68"/>
        <v>0</v>
      </c>
      <c r="O88" s="454">
        <f t="shared" si="68"/>
        <v>0</v>
      </c>
      <c r="P88" s="454">
        <f t="shared" si="68"/>
        <v>0</v>
      </c>
      <c r="Q88" s="454">
        <f t="shared" ca="1" si="68"/>
        <v>0</v>
      </c>
      <c r="R88" s="454">
        <f t="shared" ca="1" si="68"/>
        <v>0</v>
      </c>
      <c r="S88" s="454">
        <f t="shared" ca="1" si="68"/>
        <v>0</v>
      </c>
      <c r="T88" s="454">
        <f t="shared" ca="1" si="68"/>
        <v>0</v>
      </c>
      <c r="U88" s="454">
        <f t="shared" ca="1" si="68"/>
        <v>0</v>
      </c>
      <c r="V88" s="454">
        <f t="shared" ca="1" si="68"/>
        <v>0</v>
      </c>
      <c r="W88" s="432">
        <f t="shared" ca="1" si="66"/>
        <v>0</v>
      </c>
      <c r="X88" s="454"/>
      <c r="Y88" s="466"/>
    </row>
    <row r="89" spans="9:25" ht="13.15" customHeight="1" x14ac:dyDescent="0.4">
      <c r="I89" s="444" t="s">
        <v>171</v>
      </c>
      <c r="K89" s="444">
        <f t="shared" ref="K89:V89" si="69">SUM(K85:K88)</f>
        <v>54.685000000000002</v>
      </c>
      <c r="L89" s="444">
        <f t="shared" ca="1" si="69"/>
        <v>33.074000000000005</v>
      </c>
      <c r="M89" s="444">
        <f t="shared" si="69"/>
        <v>52.866000000000007</v>
      </c>
      <c r="N89" s="444">
        <f t="shared" si="69"/>
        <v>91.854000000000013</v>
      </c>
      <c r="O89" s="444">
        <f t="shared" si="69"/>
        <v>136.46700000000001</v>
      </c>
      <c r="P89" s="444">
        <f t="shared" si="69"/>
        <v>75.571899999999999</v>
      </c>
      <c r="Q89" s="444">
        <f t="shared" ca="1" si="69"/>
        <v>80.724560000000011</v>
      </c>
      <c r="R89" s="444">
        <f t="shared" ca="1" si="69"/>
        <v>141.59815</v>
      </c>
      <c r="S89" s="444">
        <f t="shared" ca="1" si="69"/>
        <v>85.986150000000009</v>
      </c>
      <c r="T89" s="444">
        <f t="shared" ca="1" si="69"/>
        <v>66.177800000000005</v>
      </c>
      <c r="U89" s="444">
        <f t="shared" ca="1" si="69"/>
        <v>89.587500000000006</v>
      </c>
      <c r="V89" s="444">
        <f t="shared" ca="1" si="69"/>
        <v>79.049650000000014</v>
      </c>
      <c r="W89" s="554">
        <f t="shared" ca="1" si="66"/>
        <v>987.64171000000022</v>
      </c>
      <c r="X89" s="454"/>
      <c r="Y89" s="466"/>
    </row>
    <row r="90" spans="9:25" ht="13.15" customHeight="1" x14ac:dyDescent="0.4">
      <c r="I90" s="454"/>
      <c r="K90" s="454"/>
      <c r="L90" s="454"/>
      <c r="M90" s="454"/>
      <c r="N90" s="454"/>
      <c r="O90" s="454"/>
      <c r="P90" s="454"/>
      <c r="Q90" s="454"/>
      <c r="R90" s="454"/>
      <c r="S90" s="454"/>
      <c r="T90" s="454"/>
      <c r="U90" s="454"/>
      <c r="V90" s="454"/>
      <c r="W90" s="432">
        <f t="shared" si="66"/>
        <v>0</v>
      </c>
      <c r="X90" s="454"/>
      <c r="Y90" s="466"/>
    </row>
    <row r="91" spans="9:25" ht="13.15" customHeight="1" x14ac:dyDescent="0.4">
      <c r="I91" s="561" t="s">
        <v>172</v>
      </c>
      <c r="K91" s="444">
        <f t="shared" ref="K91:V91" si="70">K83-K89</f>
        <v>5836.3849999999993</v>
      </c>
      <c r="L91" s="444">
        <f t="shared" ca="1" si="70"/>
        <v>2706.4259999999999</v>
      </c>
      <c r="M91" s="444">
        <f t="shared" si="70"/>
        <v>4361.634</v>
      </c>
      <c r="N91" s="444">
        <f t="shared" si="70"/>
        <v>5055.6459999999997</v>
      </c>
      <c r="O91" s="444">
        <f t="shared" si="70"/>
        <v>6741.5330000000004</v>
      </c>
      <c r="P91" s="444">
        <f t="shared" si="70"/>
        <v>4799.7681000000002</v>
      </c>
      <c r="Q91" s="444">
        <f t="shared" ca="1" si="70"/>
        <v>5689.2454400000006</v>
      </c>
      <c r="R91" s="444">
        <f t="shared" ca="1" si="70"/>
        <v>7322.2918499999996</v>
      </c>
      <c r="S91" s="444">
        <f t="shared" ca="1" si="70"/>
        <v>5948.4038500000006</v>
      </c>
      <c r="T91" s="444">
        <f t="shared" ca="1" si="70"/>
        <v>4507.4021999999995</v>
      </c>
      <c r="U91" s="444">
        <f t="shared" ca="1" si="70"/>
        <v>5884.1625000000004</v>
      </c>
      <c r="V91" s="444">
        <f t="shared" ca="1" si="70"/>
        <v>5342.3903500000006</v>
      </c>
      <c r="W91" s="554">
        <f t="shared" ca="1" si="66"/>
        <v>64195.288290000004</v>
      </c>
      <c r="X91" s="454"/>
      <c r="Y91" s="466"/>
    </row>
    <row r="92" spans="9:25" x14ac:dyDescent="0.35">
      <c r="I92" s="454"/>
      <c r="K92" s="454"/>
      <c r="L92" s="454"/>
      <c r="M92" s="454"/>
      <c r="N92" s="454"/>
      <c r="O92" s="454"/>
      <c r="P92" s="454"/>
      <c r="Q92" s="454"/>
      <c r="R92" s="454"/>
      <c r="S92" s="454"/>
      <c r="T92" s="454"/>
      <c r="U92" s="454"/>
      <c r="V92" s="454"/>
      <c r="W92" s="454"/>
      <c r="X92" s="454"/>
    </row>
    <row r="93" spans="9:25" x14ac:dyDescent="0.35">
      <c r="K93" s="454"/>
      <c r="L93" s="454"/>
      <c r="M93" s="454"/>
      <c r="N93" s="454"/>
      <c r="O93" s="454"/>
      <c r="P93" s="454"/>
      <c r="Q93" s="454"/>
      <c r="R93" s="454"/>
      <c r="S93" s="454"/>
      <c r="T93" s="454"/>
      <c r="U93" s="454"/>
      <c r="V93" s="454"/>
      <c r="W93" s="454"/>
      <c r="X93" s="454"/>
    </row>
    <row r="94" spans="9:25" ht="13.15" customHeight="1" x14ac:dyDescent="0.4">
      <c r="I94" s="556" t="s">
        <v>173</v>
      </c>
      <c r="K94" s="577" t="s">
        <v>142</v>
      </c>
      <c r="L94" s="577" t="s">
        <v>143</v>
      </c>
      <c r="M94" s="577" t="s">
        <v>144</v>
      </c>
      <c r="N94" s="577" t="s">
        <v>145</v>
      </c>
      <c r="O94" s="577" t="s">
        <v>146</v>
      </c>
      <c r="P94" s="577" t="s">
        <v>147</v>
      </c>
      <c r="Q94" s="577" t="s">
        <v>148</v>
      </c>
      <c r="R94" s="577" t="s">
        <v>149</v>
      </c>
      <c r="S94" s="577" t="s">
        <v>150</v>
      </c>
      <c r="T94" s="577" t="s">
        <v>151</v>
      </c>
      <c r="U94" s="577" t="s">
        <v>152</v>
      </c>
      <c r="V94" s="577" t="s">
        <v>153</v>
      </c>
      <c r="W94" s="577" t="s">
        <v>19</v>
      </c>
      <c r="X94" s="423" t="s">
        <v>158</v>
      </c>
    </row>
    <row r="95" spans="9:25" x14ac:dyDescent="0.35">
      <c r="I95" s="426" t="s">
        <v>174</v>
      </c>
      <c r="K95" s="432">
        <f t="shared" ref="K95:K101" si="71">SUMIF($G$583:$G$621,$I95,$E$583:$E$621)</f>
        <v>2380</v>
      </c>
      <c r="L95" s="432">
        <f t="shared" ref="L95:L101" si="72">SUMIF($G$536:$G$582,$I95,$E$536:$E$582)</f>
        <v>315</v>
      </c>
      <c r="M95" s="432">
        <f t="shared" ref="M95:M101" si="73">SUMIF($G$486:$G$533,$I95,$E$486:$E$533)</f>
        <v>605</v>
      </c>
      <c r="N95" s="432">
        <f t="shared" ref="N95:N101" si="74">SUMIF($G$425:$G$485,$I95,$E$425:$E$485)</f>
        <v>1536</v>
      </c>
      <c r="O95" s="432">
        <f t="shared" ref="O95:O101" si="75">SUMIF($G$389:$G$422,$I95,$E$389:$E$422)</f>
        <v>2384</v>
      </c>
      <c r="P95" s="432">
        <f t="shared" ref="P95:P101" si="76">SUMIF($G$357:$G$387,$I95,$E$357:$E$387)</f>
        <v>774</v>
      </c>
      <c r="Q95" s="432">
        <f t="shared" ref="Q95:Q101" si="77">SUMIF($G$318:$G$355,$I95,$E$318:$E$355)</f>
        <v>1393.07</v>
      </c>
      <c r="R95" s="432">
        <f t="shared" ref="R95:R101" si="78">SUMIF($G$282:$G$316,$I95,$E$282:$E$316)</f>
        <v>3300</v>
      </c>
      <c r="S95" s="432">
        <f t="shared" ref="S95:S101" si="79">SUMIF($G$250:$G$279,$I95,$E$250:$E$279)</f>
        <v>2565</v>
      </c>
      <c r="T95" s="432">
        <f t="shared" ref="T95:T101" si="80">SUMIF($G$227:$G$247,$I95,$E$227:$E$247)</f>
        <v>339</v>
      </c>
      <c r="U95" s="432">
        <f t="shared" ref="U95:U101" si="81">SUMIF($G$180:$G$225,$I95,$E$180:$E$225)</f>
        <v>1470</v>
      </c>
      <c r="V95" s="432">
        <f t="shared" ref="V95:V101" si="82">SUMIF($G$126:$G$179,$I95,$E$126:$E$179)</f>
        <v>2426</v>
      </c>
      <c r="W95" s="432">
        <f t="shared" ref="W95:W101" si="83">SUM(K95:V95)</f>
        <v>19487.07</v>
      </c>
      <c r="X95" s="460">
        <f t="shared" ref="X95:X102" si="84">IFERROR(W95/$W$102,0)</f>
        <v>0.29895971230504675</v>
      </c>
    </row>
    <row r="96" spans="9:25" x14ac:dyDescent="0.35">
      <c r="I96" s="426" t="s">
        <v>175</v>
      </c>
      <c r="K96" s="432">
        <f t="shared" si="71"/>
        <v>3261.07</v>
      </c>
      <c r="L96" s="432">
        <f t="shared" si="72"/>
        <v>2424.5</v>
      </c>
      <c r="M96" s="432">
        <f t="shared" si="73"/>
        <v>2836.5</v>
      </c>
      <c r="N96" s="432">
        <f t="shared" si="74"/>
        <v>3041.5</v>
      </c>
      <c r="O96" s="432">
        <f t="shared" si="75"/>
        <v>4245</v>
      </c>
      <c r="P96" s="432">
        <f t="shared" si="76"/>
        <v>3951.34</v>
      </c>
      <c r="Q96" s="432">
        <f t="shared" si="77"/>
        <v>4376.8999999999996</v>
      </c>
      <c r="R96" s="432">
        <f t="shared" si="78"/>
        <v>3963.89</v>
      </c>
      <c r="S96" s="432">
        <f t="shared" si="79"/>
        <v>3469.39</v>
      </c>
      <c r="T96" s="432">
        <f t="shared" si="80"/>
        <v>3685.58</v>
      </c>
      <c r="U96" s="432">
        <f t="shared" si="81"/>
        <v>3828.75</v>
      </c>
      <c r="V96" s="432">
        <f t="shared" si="82"/>
        <v>2995.44</v>
      </c>
      <c r="W96" s="432">
        <f t="shared" si="83"/>
        <v>42079.86</v>
      </c>
      <c r="X96" s="460">
        <f t="shared" si="84"/>
        <v>0.64556564118857496</v>
      </c>
    </row>
    <row r="97" spans="9:24" x14ac:dyDescent="0.35">
      <c r="I97" s="426" t="s">
        <v>1311</v>
      </c>
      <c r="K97" s="432">
        <f t="shared" si="71"/>
        <v>250</v>
      </c>
      <c r="L97" s="432">
        <f t="shared" si="72"/>
        <v>0</v>
      </c>
      <c r="M97" s="432">
        <f t="shared" si="73"/>
        <v>450</v>
      </c>
      <c r="N97" s="432">
        <f t="shared" si="74"/>
        <v>0</v>
      </c>
      <c r="O97" s="432">
        <f t="shared" si="75"/>
        <v>0</v>
      </c>
      <c r="P97" s="432">
        <f t="shared" si="76"/>
        <v>0</v>
      </c>
      <c r="Q97" s="432">
        <f t="shared" si="77"/>
        <v>0</v>
      </c>
      <c r="R97" s="432">
        <f t="shared" si="78"/>
        <v>0</v>
      </c>
      <c r="S97" s="432">
        <f t="shared" si="79"/>
        <v>0</v>
      </c>
      <c r="T97" s="432">
        <f t="shared" si="80"/>
        <v>0</v>
      </c>
      <c r="U97" s="432">
        <f t="shared" si="81"/>
        <v>675</v>
      </c>
      <c r="V97" s="432">
        <f t="shared" si="82"/>
        <v>0</v>
      </c>
      <c r="W97" s="432">
        <f t="shared" si="83"/>
        <v>1375</v>
      </c>
      <c r="X97" s="460">
        <f t="shared" si="84"/>
        <v>2.1094479797087978E-2</v>
      </c>
    </row>
    <row r="98" spans="9:24" x14ac:dyDescent="0.35">
      <c r="I98" s="426" t="s">
        <v>163</v>
      </c>
      <c r="K98" s="432">
        <f t="shared" si="71"/>
        <v>0</v>
      </c>
      <c r="L98" s="432">
        <f t="shared" si="72"/>
        <v>0</v>
      </c>
      <c r="M98" s="432">
        <f t="shared" si="73"/>
        <v>0</v>
      </c>
      <c r="N98" s="432">
        <f t="shared" si="74"/>
        <v>0</v>
      </c>
      <c r="O98" s="432">
        <f t="shared" si="75"/>
        <v>0</v>
      </c>
      <c r="P98" s="432">
        <f t="shared" si="76"/>
        <v>0</v>
      </c>
      <c r="Q98" s="432">
        <f t="shared" si="77"/>
        <v>0</v>
      </c>
      <c r="R98" s="432">
        <f t="shared" si="78"/>
        <v>0</v>
      </c>
      <c r="S98" s="432">
        <f t="shared" si="79"/>
        <v>0</v>
      </c>
      <c r="T98" s="432">
        <f t="shared" si="80"/>
        <v>0</v>
      </c>
      <c r="U98" s="432">
        <f t="shared" si="81"/>
        <v>0</v>
      </c>
      <c r="V98" s="432">
        <f t="shared" si="82"/>
        <v>0</v>
      </c>
      <c r="W98" s="432">
        <f t="shared" si="83"/>
        <v>0</v>
      </c>
      <c r="X98" s="460">
        <f t="shared" si="84"/>
        <v>0</v>
      </c>
    </row>
    <row r="99" spans="9:24" x14ac:dyDescent="0.35">
      <c r="I99" s="426" t="s">
        <v>177</v>
      </c>
      <c r="K99" s="432">
        <f t="shared" si="71"/>
        <v>0</v>
      </c>
      <c r="L99" s="432">
        <f t="shared" si="72"/>
        <v>0</v>
      </c>
      <c r="M99" s="432">
        <f t="shared" si="73"/>
        <v>0</v>
      </c>
      <c r="N99" s="432">
        <f t="shared" si="74"/>
        <v>250</v>
      </c>
      <c r="O99" s="432">
        <f t="shared" si="75"/>
        <v>99</v>
      </c>
      <c r="P99" s="432">
        <f t="shared" si="76"/>
        <v>0</v>
      </c>
      <c r="Q99" s="432">
        <f t="shared" si="77"/>
        <v>0</v>
      </c>
      <c r="R99" s="432">
        <f t="shared" si="78"/>
        <v>200</v>
      </c>
      <c r="S99" s="432">
        <f t="shared" si="79"/>
        <v>0</v>
      </c>
      <c r="T99" s="432">
        <f t="shared" si="80"/>
        <v>99</v>
      </c>
      <c r="U99" s="432">
        <f t="shared" si="81"/>
        <v>0</v>
      </c>
      <c r="V99" s="432">
        <f t="shared" si="82"/>
        <v>0</v>
      </c>
      <c r="W99" s="432">
        <f t="shared" si="83"/>
        <v>648</v>
      </c>
      <c r="X99" s="460">
        <f t="shared" si="84"/>
        <v>9.9412530243730996E-3</v>
      </c>
    </row>
    <row r="100" spans="9:24" x14ac:dyDescent="0.35">
      <c r="I100" s="45" t="s">
        <v>179</v>
      </c>
      <c r="K100" s="432">
        <f t="shared" si="71"/>
        <v>0</v>
      </c>
      <c r="L100" s="432">
        <f t="shared" si="72"/>
        <v>0</v>
      </c>
      <c r="M100" s="432">
        <f t="shared" si="73"/>
        <v>523</v>
      </c>
      <c r="N100" s="432">
        <f t="shared" si="74"/>
        <v>320</v>
      </c>
      <c r="O100" s="432">
        <f t="shared" si="75"/>
        <v>150</v>
      </c>
      <c r="P100" s="432">
        <f t="shared" si="76"/>
        <v>150</v>
      </c>
      <c r="Q100" s="432">
        <f t="shared" si="77"/>
        <v>0</v>
      </c>
      <c r="R100" s="432">
        <f t="shared" si="78"/>
        <v>0</v>
      </c>
      <c r="S100" s="432">
        <f t="shared" si="79"/>
        <v>0</v>
      </c>
      <c r="T100" s="432">
        <f t="shared" si="80"/>
        <v>450</v>
      </c>
      <c r="U100" s="432">
        <f t="shared" si="81"/>
        <v>0</v>
      </c>
      <c r="V100" s="432">
        <f t="shared" si="82"/>
        <v>0</v>
      </c>
      <c r="W100" s="432">
        <f t="shared" si="83"/>
        <v>1593</v>
      </c>
      <c r="X100" s="460">
        <f t="shared" si="84"/>
        <v>2.4438913684917202E-2</v>
      </c>
    </row>
    <row r="101" spans="9:24" x14ac:dyDescent="0.35">
      <c r="I101" s="426" t="s">
        <v>181</v>
      </c>
      <c r="K101" s="432">
        <f t="shared" si="71"/>
        <v>0</v>
      </c>
      <c r="L101" s="432">
        <f t="shared" si="72"/>
        <v>0</v>
      </c>
      <c r="M101" s="432">
        <f t="shared" si="73"/>
        <v>0</v>
      </c>
      <c r="N101" s="432">
        <f t="shared" si="74"/>
        <v>0</v>
      </c>
      <c r="O101" s="432">
        <f t="shared" si="75"/>
        <v>0</v>
      </c>
      <c r="P101" s="432">
        <f t="shared" si="76"/>
        <v>0</v>
      </c>
      <c r="Q101" s="432">
        <f t="shared" si="77"/>
        <v>0</v>
      </c>
      <c r="R101" s="432">
        <f t="shared" si="78"/>
        <v>0</v>
      </c>
      <c r="S101" s="432">
        <f t="shared" si="79"/>
        <v>0</v>
      </c>
      <c r="T101" s="432">
        <f t="shared" si="80"/>
        <v>0</v>
      </c>
      <c r="U101" s="432">
        <f t="shared" si="81"/>
        <v>0</v>
      </c>
      <c r="V101" s="432">
        <f t="shared" si="82"/>
        <v>0</v>
      </c>
      <c r="W101" s="432">
        <f t="shared" si="83"/>
        <v>0</v>
      </c>
      <c r="X101" s="460">
        <f t="shared" si="84"/>
        <v>0</v>
      </c>
    </row>
    <row r="102" spans="9:24" ht="13.15" customHeight="1" x14ac:dyDescent="0.4">
      <c r="I102" s="454"/>
      <c r="K102" s="444">
        <f t="shared" ref="K102:W102" si="85">SUM(K95:K101)</f>
        <v>5891.07</v>
      </c>
      <c r="L102" s="444">
        <f t="shared" si="85"/>
        <v>2739.5</v>
      </c>
      <c r="M102" s="444">
        <f t="shared" si="85"/>
        <v>4414.5</v>
      </c>
      <c r="N102" s="444">
        <f t="shared" si="85"/>
        <v>5147.5</v>
      </c>
      <c r="O102" s="444">
        <f t="shared" si="85"/>
        <v>6878</v>
      </c>
      <c r="P102" s="444">
        <f t="shared" si="85"/>
        <v>4875.34</v>
      </c>
      <c r="Q102" s="444">
        <f t="shared" si="85"/>
        <v>5769.9699999999993</v>
      </c>
      <c r="R102" s="444">
        <f t="shared" si="85"/>
        <v>7463.8899999999994</v>
      </c>
      <c r="S102" s="444">
        <f t="shared" si="85"/>
        <v>6034.3899999999994</v>
      </c>
      <c r="T102" s="444">
        <f t="shared" si="85"/>
        <v>4573.58</v>
      </c>
      <c r="U102" s="444">
        <f t="shared" si="85"/>
        <v>5973.75</v>
      </c>
      <c r="V102" s="444">
        <f t="shared" si="85"/>
        <v>5421.4400000000005</v>
      </c>
      <c r="W102" s="444">
        <f t="shared" si="85"/>
        <v>65182.93</v>
      </c>
      <c r="X102" s="460">
        <f t="shared" si="84"/>
        <v>1</v>
      </c>
    </row>
    <row r="103" spans="9:24" x14ac:dyDescent="0.35">
      <c r="J103" s="454"/>
      <c r="K103" s="454">
        <f t="shared" ref="K103:W103" si="86">K83-K102</f>
        <v>0</v>
      </c>
      <c r="L103" s="454">
        <f t="shared" ca="1" si="86"/>
        <v>0</v>
      </c>
      <c r="M103" s="454">
        <f t="shared" si="86"/>
        <v>0</v>
      </c>
      <c r="N103" s="454">
        <f t="shared" si="86"/>
        <v>0</v>
      </c>
      <c r="O103" s="454">
        <f t="shared" si="86"/>
        <v>0</v>
      </c>
      <c r="P103" s="454">
        <f t="shared" si="86"/>
        <v>0</v>
      </c>
      <c r="Q103" s="454">
        <f t="shared" ca="1" si="86"/>
        <v>0</v>
      </c>
      <c r="R103" s="454">
        <f t="shared" ca="1" si="86"/>
        <v>0</v>
      </c>
      <c r="S103" s="454">
        <f t="shared" ca="1" si="86"/>
        <v>0</v>
      </c>
      <c r="T103" s="454">
        <f t="shared" ca="1" si="86"/>
        <v>0</v>
      </c>
      <c r="U103" s="454">
        <f t="shared" ca="1" si="86"/>
        <v>0</v>
      </c>
      <c r="V103" s="454">
        <f t="shared" ca="1" si="86"/>
        <v>0</v>
      </c>
      <c r="W103" s="454">
        <f t="shared" ca="1" si="86"/>
        <v>0</v>
      </c>
      <c r="X103" s="454"/>
    </row>
    <row r="104" spans="9:24" ht="13.15" customHeight="1" x14ac:dyDescent="0.4">
      <c r="I104" s="556" t="s">
        <v>182</v>
      </c>
      <c r="K104" s="577" t="s">
        <v>142</v>
      </c>
      <c r="L104" s="577" t="s">
        <v>143</v>
      </c>
      <c r="M104" s="577" t="s">
        <v>144</v>
      </c>
      <c r="N104" s="577" t="s">
        <v>145</v>
      </c>
      <c r="O104" s="577" t="s">
        <v>146</v>
      </c>
      <c r="P104" s="577" t="s">
        <v>147</v>
      </c>
      <c r="Q104" s="577" t="s">
        <v>148</v>
      </c>
      <c r="R104" s="577" t="s">
        <v>149</v>
      </c>
      <c r="S104" s="577" t="s">
        <v>150</v>
      </c>
      <c r="T104" s="577" t="s">
        <v>151</v>
      </c>
      <c r="U104" s="577" t="s">
        <v>152</v>
      </c>
      <c r="V104" s="577" t="s">
        <v>153</v>
      </c>
      <c r="W104" s="577" t="s">
        <v>19</v>
      </c>
      <c r="X104" s="423" t="s">
        <v>158</v>
      </c>
    </row>
    <row r="105" spans="9:24" ht="13.15" customHeight="1" x14ac:dyDescent="0.4">
      <c r="I105" s="444" t="s">
        <v>183</v>
      </c>
      <c r="K105" s="454">
        <f t="shared" ref="K105:V105" si="87">SUM(K102-K96)</f>
        <v>2629.9999999999995</v>
      </c>
      <c r="L105" s="454">
        <f t="shared" si="87"/>
        <v>315</v>
      </c>
      <c r="M105" s="454">
        <f t="shared" si="87"/>
        <v>1578</v>
      </c>
      <c r="N105" s="454">
        <f t="shared" si="87"/>
        <v>2106</v>
      </c>
      <c r="O105" s="454">
        <f t="shared" si="87"/>
        <v>2633</v>
      </c>
      <c r="P105" s="454">
        <f t="shared" si="87"/>
        <v>924</v>
      </c>
      <c r="Q105" s="454">
        <f t="shared" si="87"/>
        <v>1393.0699999999997</v>
      </c>
      <c r="R105" s="454">
        <f t="shared" si="87"/>
        <v>3499.9999999999995</v>
      </c>
      <c r="S105" s="454">
        <f t="shared" si="87"/>
        <v>2564.9999999999995</v>
      </c>
      <c r="T105" s="454">
        <f t="shared" si="87"/>
        <v>888</v>
      </c>
      <c r="U105" s="454">
        <f t="shared" si="87"/>
        <v>2145</v>
      </c>
      <c r="V105" s="454">
        <f t="shared" si="87"/>
        <v>2426.0000000000005</v>
      </c>
      <c r="W105" s="554">
        <f>SUM(K105:V105)</f>
        <v>23103.07</v>
      </c>
      <c r="X105" s="475">
        <f>W105/W107</f>
        <v>0.35443435881142499</v>
      </c>
    </row>
    <row r="106" spans="9:24" ht="13.15" customHeight="1" x14ac:dyDescent="0.4">
      <c r="I106" s="444" t="s">
        <v>184</v>
      </c>
      <c r="K106" s="454">
        <f t="shared" ref="K106:V106" si="88">K96</f>
        <v>3261.07</v>
      </c>
      <c r="L106" s="454">
        <f t="shared" si="88"/>
        <v>2424.5</v>
      </c>
      <c r="M106" s="454">
        <f t="shared" si="88"/>
        <v>2836.5</v>
      </c>
      <c r="N106" s="454">
        <f t="shared" si="88"/>
        <v>3041.5</v>
      </c>
      <c r="O106" s="454">
        <f t="shared" si="88"/>
        <v>4245</v>
      </c>
      <c r="P106" s="454">
        <f t="shared" si="88"/>
        <v>3951.34</v>
      </c>
      <c r="Q106" s="454">
        <f t="shared" si="88"/>
        <v>4376.8999999999996</v>
      </c>
      <c r="R106" s="454">
        <f t="shared" si="88"/>
        <v>3963.89</v>
      </c>
      <c r="S106" s="454">
        <f t="shared" si="88"/>
        <v>3469.39</v>
      </c>
      <c r="T106" s="454">
        <f t="shared" si="88"/>
        <v>3685.58</v>
      </c>
      <c r="U106" s="454">
        <f t="shared" si="88"/>
        <v>3828.75</v>
      </c>
      <c r="V106" s="454">
        <f t="shared" si="88"/>
        <v>2995.44</v>
      </c>
      <c r="W106" s="562">
        <f>SUM(K106:V106)</f>
        <v>42079.86</v>
      </c>
      <c r="X106" s="475">
        <f>W106/W107</f>
        <v>0.64556564118857496</v>
      </c>
    </row>
    <row r="107" spans="9:24" ht="13.15" customHeight="1" x14ac:dyDescent="0.4">
      <c r="I107" s="444"/>
      <c r="K107" s="563">
        <f t="shared" ref="K107:W107" si="89">K105+K106</f>
        <v>5891.07</v>
      </c>
      <c r="L107" s="563">
        <f t="shared" si="89"/>
        <v>2739.5</v>
      </c>
      <c r="M107" s="563">
        <f t="shared" si="89"/>
        <v>4414.5</v>
      </c>
      <c r="N107" s="563">
        <f t="shared" si="89"/>
        <v>5147.5</v>
      </c>
      <c r="O107" s="563">
        <f t="shared" si="89"/>
        <v>6878</v>
      </c>
      <c r="P107" s="563">
        <f t="shared" si="89"/>
        <v>4875.34</v>
      </c>
      <c r="Q107" s="563">
        <f t="shared" si="89"/>
        <v>5769.9699999999993</v>
      </c>
      <c r="R107" s="563">
        <f t="shared" si="89"/>
        <v>7463.8899999999994</v>
      </c>
      <c r="S107" s="563">
        <f t="shared" si="89"/>
        <v>6034.3899999999994</v>
      </c>
      <c r="T107" s="563">
        <f t="shared" si="89"/>
        <v>4573.58</v>
      </c>
      <c r="U107" s="563">
        <f t="shared" si="89"/>
        <v>5973.75</v>
      </c>
      <c r="V107" s="563">
        <f t="shared" si="89"/>
        <v>5421.4400000000005</v>
      </c>
      <c r="W107" s="563">
        <f t="shared" si="89"/>
        <v>65182.93</v>
      </c>
      <c r="X107" s="564"/>
    </row>
    <row r="108" spans="9:24" x14ac:dyDescent="0.35">
      <c r="J108" s="454"/>
      <c r="K108" s="454"/>
      <c r="L108" s="454"/>
      <c r="M108" s="454"/>
      <c r="N108" s="454"/>
      <c r="O108" s="454"/>
      <c r="P108" s="454"/>
      <c r="Q108" s="454"/>
      <c r="R108" s="454"/>
      <c r="S108" s="454"/>
      <c r="T108" s="454"/>
      <c r="U108" s="454"/>
      <c r="V108" s="454"/>
      <c r="W108" s="454"/>
      <c r="X108" s="454"/>
    </row>
    <row r="109" spans="9:24" ht="13.15" customHeight="1" x14ac:dyDescent="0.4">
      <c r="I109" s="556" t="s">
        <v>185</v>
      </c>
      <c r="K109" s="577" t="s">
        <v>142</v>
      </c>
      <c r="L109" s="577" t="s">
        <v>143</v>
      </c>
      <c r="M109" s="577" t="s">
        <v>144</v>
      </c>
      <c r="N109" s="577" t="s">
        <v>145</v>
      </c>
      <c r="O109" s="577" t="s">
        <v>146</v>
      </c>
      <c r="P109" s="577" t="s">
        <v>147</v>
      </c>
      <c r="Q109" s="577" t="s">
        <v>148</v>
      </c>
      <c r="R109" s="577" t="s">
        <v>149</v>
      </c>
      <c r="S109" s="577" t="s">
        <v>150</v>
      </c>
      <c r="T109" s="577" t="s">
        <v>151</v>
      </c>
      <c r="U109" s="577" t="s">
        <v>152</v>
      </c>
      <c r="V109" s="577" t="s">
        <v>153</v>
      </c>
      <c r="W109" s="577" t="s">
        <v>19</v>
      </c>
      <c r="X109" s="423" t="s">
        <v>158</v>
      </c>
    </row>
    <row r="110" spans="9:24" ht="13.15" customHeight="1" x14ac:dyDescent="0.4">
      <c r="I110" s="444" t="s">
        <v>183</v>
      </c>
      <c r="K110" s="454">
        <f>COUNTA(G464:G621)-K111</f>
        <v>40</v>
      </c>
      <c r="L110" s="454">
        <f>COUNTA(G536:G582)-L111</f>
        <v>6</v>
      </c>
      <c r="M110" s="454">
        <f>COUNTA($G486:$G533)-M111</f>
        <v>18</v>
      </c>
      <c r="N110" s="454">
        <f>COUNTA($G425:$G485)-N111</f>
        <v>16</v>
      </c>
      <c r="O110" s="454">
        <f>COUNTA($G389:$G422)-O111</f>
        <v>16</v>
      </c>
      <c r="P110" s="454">
        <f>COUNTA($G357:$G388)-P111</f>
        <v>8</v>
      </c>
      <c r="Q110" s="454">
        <f>COUNTA($G318:$G355)-Q111</f>
        <v>10</v>
      </c>
      <c r="R110" s="454">
        <f>COUNTA($G282:$G316)-R111</f>
        <v>11</v>
      </c>
      <c r="S110" s="454">
        <f>COUNTA($G250:$G279)-S111</f>
        <v>9</v>
      </c>
      <c r="T110" s="454">
        <f>COUNTA($G226:$G247)-T111</f>
        <v>8</v>
      </c>
      <c r="U110" s="454">
        <f>COUNTA($G180:$G225)-U111</f>
        <v>19</v>
      </c>
      <c r="V110" s="454">
        <f>COUNTA($G126:$G179)-V111</f>
        <v>23</v>
      </c>
      <c r="W110" s="554">
        <f>SUM(K110:V110)</f>
        <v>184</v>
      </c>
      <c r="X110" s="475">
        <f>W110/W112</f>
        <v>0.31399317406143346</v>
      </c>
    </row>
    <row r="111" spans="9:24" ht="13.15" customHeight="1" x14ac:dyDescent="0.4">
      <c r="I111" s="444" t="s">
        <v>184</v>
      </c>
      <c r="K111" s="454">
        <f>COUNTIF(G464:G621,"Existing")</f>
        <v>113</v>
      </c>
      <c r="L111" s="454">
        <f>COUNTIF(G536:G581,"Existing")</f>
        <v>40</v>
      </c>
      <c r="M111" s="454">
        <f>COUNTIF($G486:$G533,"Existing")</f>
        <v>30</v>
      </c>
      <c r="N111" s="454">
        <f>COUNTIF($G425:$G485,"Existing")</f>
        <v>43</v>
      </c>
      <c r="O111" s="454">
        <f>COUNTIF($G389:$G422,"Existing")</f>
        <v>18</v>
      </c>
      <c r="P111" s="454">
        <f>COUNTIF($G357:$G388,"Existing")</f>
        <v>23</v>
      </c>
      <c r="Q111" s="454">
        <f>COUNTIF($G318:$G355,"Existing")</f>
        <v>28</v>
      </c>
      <c r="R111" s="454">
        <f>COUNTIF($G282:$G316,"Existing")</f>
        <v>23</v>
      </c>
      <c r="S111" s="454">
        <f>COUNTIF($G250:$G280,"Existing")</f>
        <v>21</v>
      </c>
      <c r="T111" s="454">
        <f>COUNTIF($G227:$G247,"Existing")</f>
        <v>13</v>
      </c>
      <c r="U111" s="454">
        <f>COUNTIF($G180:$G225,"Existing")</f>
        <v>27</v>
      </c>
      <c r="V111" s="454">
        <f>COUNTIF($G126:$G179,"Existing")</f>
        <v>23</v>
      </c>
      <c r="W111" s="554">
        <f>SUM(K111:V111)</f>
        <v>402</v>
      </c>
      <c r="X111" s="475">
        <f>W111/$W$112</f>
        <v>0.68600682593856654</v>
      </c>
    </row>
    <row r="112" spans="9:24" ht="13.15" customHeight="1" x14ac:dyDescent="0.4">
      <c r="J112" s="454"/>
      <c r="K112" s="563">
        <f t="shared" ref="K112:W112" si="90">K110+K111</f>
        <v>153</v>
      </c>
      <c r="L112" s="563">
        <f t="shared" si="90"/>
        <v>46</v>
      </c>
      <c r="M112" s="563">
        <f t="shared" si="90"/>
        <v>48</v>
      </c>
      <c r="N112" s="563">
        <f t="shared" si="90"/>
        <v>59</v>
      </c>
      <c r="O112" s="563">
        <f t="shared" si="90"/>
        <v>34</v>
      </c>
      <c r="P112" s="563">
        <f t="shared" si="90"/>
        <v>31</v>
      </c>
      <c r="Q112" s="563">
        <f t="shared" si="90"/>
        <v>38</v>
      </c>
      <c r="R112" s="563">
        <f t="shared" si="90"/>
        <v>34</v>
      </c>
      <c r="S112" s="563">
        <f t="shared" si="90"/>
        <v>30</v>
      </c>
      <c r="T112" s="563">
        <f t="shared" si="90"/>
        <v>21</v>
      </c>
      <c r="U112" s="563">
        <f t="shared" si="90"/>
        <v>46</v>
      </c>
      <c r="V112" s="563">
        <f t="shared" si="90"/>
        <v>46</v>
      </c>
      <c r="W112" s="563">
        <f t="shared" si="90"/>
        <v>586</v>
      </c>
      <c r="X112" s="564"/>
    </row>
    <row r="114" spans="1:24" ht="13.15" customHeight="1" x14ac:dyDescent="0.4">
      <c r="I114" s="556" t="s">
        <v>186</v>
      </c>
      <c r="K114" s="577" t="s">
        <v>142</v>
      </c>
      <c r="L114" s="577" t="s">
        <v>143</v>
      </c>
      <c r="M114" s="577" t="s">
        <v>144</v>
      </c>
      <c r="N114" s="577" t="s">
        <v>145</v>
      </c>
      <c r="O114" s="577" t="s">
        <v>146</v>
      </c>
      <c r="P114" s="577" t="s">
        <v>147</v>
      </c>
      <c r="Q114" s="577" t="s">
        <v>148</v>
      </c>
      <c r="R114" s="577" t="s">
        <v>149</v>
      </c>
      <c r="S114" s="577" t="s">
        <v>150</v>
      </c>
      <c r="T114" s="577" t="s">
        <v>151</v>
      </c>
      <c r="U114" s="577" t="s">
        <v>152</v>
      </c>
      <c r="V114" s="577" t="s">
        <v>153</v>
      </c>
      <c r="W114" s="577" t="s">
        <v>19</v>
      </c>
      <c r="X114" s="423" t="s">
        <v>158</v>
      </c>
    </row>
    <row r="115" spans="1:24" ht="13.15" customHeight="1" x14ac:dyDescent="0.4">
      <c r="I115" s="444" t="s">
        <v>183</v>
      </c>
      <c r="K115" s="454">
        <f t="shared" ref="K115:V115" si="91">IFERROR(K105/K110,0)</f>
        <v>65.749999999999986</v>
      </c>
      <c r="L115" s="454">
        <f t="shared" si="91"/>
        <v>52.5</v>
      </c>
      <c r="M115" s="454">
        <f t="shared" si="91"/>
        <v>87.666666666666671</v>
      </c>
      <c r="N115" s="454">
        <f t="shared" si="91"/>
        <v>131.625</v>
      </c>
      <c r="O115" s="454">
        <f t="shared" si="91"/>
        <v>164.5625</v>
      </c>
      <c r="P115" s="454">
        <f t="shared" si="91"/>
        <v>115.5</v>
      </c>
      <c r="Q115" s="454">
        <f t="shared" si="91"/>
        <v>139.30699999999996</v>
      </c>
      <c r="R115" s="454">
        <f t="shared" si="91"/>
        <v>318.18181818181813</v>
      </c>
      <c r="S115" s="454">
        <f t="shared" si="91"/>
        <v>284.99999999999994</v>
      </c>
      <c r="T115" s="454">
        <f t="shared" si="91"/>
        <v>111</v>
      </c>
      <c r="U115" s="454">
        <f t="shared" si="91"/>
        <v>112.89473684210526</v>
      </c>
      <c r="V115" s="454">
        <f t="shared" si="91"/>
        <v>105.47826086956523</v>
      </c>
      <c r="W115" s="554">
        <f>AVERAGE(K115:V115)</f>
        <v>140.78883188001294</v>
      </c>
      <c r="X115" s="475">
        <f>W115/W117</f>
        <v>0.49671637169311872</v>
      </c>
    </row>
    <row r="116" spans="1:24" ht="13.15" customHeight="1" x14ac:dyDescent="0.4">
      <c r="I116" s="444" t="s">
        <v>184</v>
      </c>
      <c r="K116" s="454">
        <f t="shared" ref="K116:V116" si="92">IFERROR(K106/K111,0)</f>
        <v>28.859026548672567</v>
      </c>
      <c r="L116" s="454">
        <f t="shared" si="92"/>
        <v>60.612499999999997</v>
      </c>
      <c r="M116" s="454">
        <f t="shared" si="92"/>
        <v>94.55</v>
      </c>
      <c r="N116" s="454">
        <f t="shared" si="92"/>
        <v>70.732558139534888</v>
      </c>
      <c r="O116" s="454">
        <f t="shared" si="92"/>
        <v>235.83333333333334</v>
      </c>
      <c r="P116" s="454">
        <f t="shared" si="92"/>
        <v>171.79739130434783</v>
      </c>
      <c r="Q116" s="454">
        <f t="shared" si="92"/>
        <v>156.31785714285712</v>
      </c>
      <c r="R116" s="454">
        <f t="shared" si="92"/>
        <v>172.34304347826085</v>
      </c>
      <c r="S116" s="454">
        <f t="shared" si="92"/>
        <v>165.20904761904762</v>
      </c>
      <c r="T116" s="454">
        <f t="shared" si="92"/>
        <v>283.50615384615384</v>
      </c>
      <c r="U116" s="454">
        <f t="shared" si="92"/>
        <v>141.80555555555554</v>
      </c>
      <c r="V116" s="454">
        <f t="shared" si="92"/>
        <v>130.23652173913044</v>
      </c>
      <c r="W116" s="554">
        <f>AVERAGE(K116:V116)</f>
        <v>142.65024905890783</v>
      </c>
      <c r="X116" s="475">
        <f>W116/$W$117</f>
        <v>0.50328362830688123</v>
      </c>
    </row>
    <row r="117" spans="1:24" ht="13.15" customHeight="1" x14ac:dyDescent="0.4">
      <c r="J117" s="454"/>
      <c r="K117" s="563">
        <f t="shared" ref="K117:W117" si="93">K115+K116</f>
        <v>94.609026548672546</v>
      </c>
      <c r="L117" s="563">
        <f t="shared" si="93"/>
        <v>113.1125</v>
      </c>
      <c r="M117" s="563">
        <f t="shared" si="93"/>
        <v>182.21666666666667</v>
      </c>
      <c r="N117" s="563">
        <f t="shared" si="93"/>
        <v>202.35755813953489</v>
      </c>
      <c r="O117" s="563">
        <f t="shared" si="93"/>
        <v>400.39583333333337</v>
      </c>
      <c r="P117" s="563">
        <f t="shared" si="93"/>
        <v>287.2973913043478</v>
      </c>
      <c r="Q117" s="563">
        <f t="shared" si="93"/>
        <v>295.62485714285708</v>
      </c>
      <c r="R117" s="563">
        <f t="shared" si="93"/>
        <v>490.52486166007895</v>
      </c>
      <c r="S117" s="563">
        <f t="shared" si="93"/>
        <v>450.20904761904757</v>
      </c>
      <c r="T117" s="563">
        <f t="shared" si="93"/>
        <v>394.50615384615384</v>
      </c>
      <c r="U117" s="563">
        <f t="shared" si="93"/>
        <v>254.7002923976608</v>
      </c>
      <c r="V117" s="563">
        <f t="shared" si="93"/>
        <v>235.71478260869566</v>
      </c>
      <c r="W117" s="563">
        <f t="shared" si="93"/>
        <v>283.43908093892077</v>
      </c>
      <c r="X117" s="564"/>
    </row>
    <row r="118" spans="1:24" x14ac:dyDescent="0.35">
      <c r="I118" s="454"/>
      <c r="J118" s="454"/>
      <c r="K118" s="454"/>
      <c r="L118" s="454"/>
      <c r="M118" s="454"/>
      <c r="N118" s="454"/>
      <c r="O118" s="454"/>
      <c r="P118" s="454"/>
      <c r="Q118" s="454"/>
      <c r="R118" s="454"/>
      <c r="S118" s="454"/>
      <c r="T118" s="454"/>
      <c r="U118" s="454"/>
      <c r="V118" s="454"/>
    </row>
    <row r="119" spans="1:24" x14ac:dyDescent="0.35">
      <c r="H119" s="454"/>
      <c r="I119" s="454"/>
      <c r="J119" s="454"/>
      <c r="K119" s="454"/>
      <c r="L119" s="454"/>
      <c r="M119" s="454"/>
      <c r="N119" s="454"/>
      <c r="O119" s="454"/>
      <c r="P119" s="454"/>
      <c r="Q119" s="454"/>
      <c r="R119" s="454"/>
      <c r="S119" s="454"/>
      <c r="T119" s="454"/>
      <c r="U119" s="454"/>
      <c r="V119" s="454"/>
    </row>
    <row r="120" spans="1:24" x14ac:dyDescent="0.35">
      <c r="H120" s="454"/>
      <c r="I120" s="454"/>
      <c r="J120" s="454"/>
      <c r="K120" s="454"/>
      <c r="L120" s="454"/>
      <c r="M120" s="454"/>
      <c r="N120" s="454"/>
      <c r="O120" s="454"/>
      <c r="P120" s="454"/>
      <c r="Q120" s="454"/>
      <c r="R120" s="454"/>
      <c r="S120" s="454"/>
      <c r="T120" s="454"/>
      <c r="U120" s="454"/>
      <c r="V120" s="454"/>
    </row>
    <row r="121" spans="1:24" x14ac:dyDescent="0.35">
      <c r="H121" s="454"/>
      <c r="I121" s="454"/>
      <c r="J121" s="454"/>
      <c r="K121" s="454"/>
      <c r="L121" s="454"/>
      <c r="M121" s="454"/>
      <c r="N121" s="454"/>
      <c r="O121" s="454"/>
      <c r="P121" s="454"/>
      <c r="Q121" s="454"/>
      <c r="R121" s="454"/>
      <c r="S121" s="454"/>
      <c r="T121" s="454"/>
      <c r="U121" s="454"/>
      <c r="V121" s="454"/>
    </row>
    <row r="122" spans="1:24" x14ac:dyDescent="0.35">
      <c r="H122" s="454"/>
      <c r="I122" s="454"/>
      <c r="J122" s="454"/>
      <c r="K122" s="454"/>
      <c r="L122" s="454"/>
      <c r="M122" s="454"/>
      <c r="N122" s="454"/>
      <c r="O122" s="454"/>
      <c r="P122" s="454"/>
      <c r="Q122" s="454"/>
      <c r="R122" s="454"/>
      <c r="S122" s="454"/>
      <c r="T122" s="454"/>
      <c r="U122" s="454"/>
      <c r="V122" s="454"/>
    </row>
    <row r="123" spans="1:24" x14ac:dyDescent="0.35">
      <c r="H123" s="454"/>
      <c r="I123" s="454"/>
      <c r="J123" s="454"/>
      <c r="K123" s="454"/>
      <c r="L123" s="454"/>
      <c r="M123" s="454"/>
      <c r="N123" s="454"/>
      <c r="O123" s="454"/>
      <c r="P123" s="454"/>
      <c r="Q123" s="454"/>
      <c r="R123" s="454"/>
      <c r="S123" s="454"/>
      <c r="T123" s="454"/>
      <c r="U123" s="454"/>
      <c r="V123" s="454"/>
    </row>
    <row r="124" spans="1:24" ht="13.15" customHeight="1" x14ac:dyDescent="0.4">
      <c r="E124" s="605">
        <f>SUM(E126:E643)</f>
        <v>65182.93</v>
      </c>
      <c r="H124" s="454"/>
      <c r="I124" s="454"/>
      <c r="J124" s="454"/>
      <c r="K124" s="454"/>
      <c r="L124" s="454"/>
      <c r="M124" s="454"/>
      <c r="N124" s="454"/>
      <c r="O124" s="454"/>
      <c r="P124" s="454"/>
      <c r="Q124" s="454"/>
      <c r="R124" s="454"/>
      <c r="S124" s="454"/>
      <c r="T124" s="454"/>
      <c r="U124" s="454"/>
      <c r="V124" s="454"/>
    </row>
    <row r="125" spans="1:24" ht="13.9" customHeight="1" x14ac:dyDescent="0.4">
      <c r="A125" s="482" t="s">
        <v>187</v>
      </c>
      <c r="B125" s="459" t="s">
        <v>188</v>
      </c>
      <c r="C125" s="459" t="s">
        <v>189</v>
      </c>
      <c r="D125" s="459" t="s">
        <v>190</v>
      </c>
      <c r="E125" s="483" t="s">
        <v>74</v>
      </c>
      <c r="F125" s="459" t="s">
        <v>75</v>
      </c>
      <c r="G125" s="459" t="s">
        <v>191</v>
      </c>
      <c r="H125" s="454"/>
      <c r="I125" s="454"/>
      <c r="J125" s="454"/>
      <c r="K125" s="454"/>
      <c r="L125" s="454"/>
      <c r="M125" s="454"/>
      <c r="N125" s="454"/>
      <c r="O125" s="454"/>
      <c r="P125" s="454"/>
      <c r="Q125" s="454"/>
      <c r="R125" s="454"/>
      <c r="S125" s="454"/>
      <c r="T125" s="454"/>
      <c r="U125" s="454"/>
      <c r="V125" s="454"/>
    </row>
    <row r="133" spans="1:7" ht="13.5" customHeight="1" x14ac:dyDescent="0.35">
      <c r="A133" s="47">
        <v>43830</v>
      </c>
      <c r="B133" s="45" t="s">
        <v>2531</v>
      </c>
      <c r="C133" s="426" t="s">
        <v>28</v>
      </c>
      <c r="D133" s="45" t="s">
        <v>159</v>
      </c>
      <c r="E133" s="53">
        <v>30</v>
      </c>
      <c r="F133" s="45" t="s">
        <v>1521</v>
      </c>
      <c r="G133" s="45" t="s">
        <v>174</v>
      </c>
    </row>
    <row r="134" spans="1:7" ht="13.5" customHeight="1" x14ac:dyDescent="0.35">
      <c r="A134" s="47">
        <v>43830</v>
      </c>
      <c r="B134" s="45" t="s">
        <v>89</v>
      </c>
      <c r="C134" s="426" t="s">
        <v>2518</v>
      </c>
      <c r="D134" s="45" t="s">
        <v>160</v>
      </c>
      <c r="E134" s="53">
        <v>228.61</v>
      </c>
      <c r="F134" s="45" t="s">
        <v>1026</v>
      </c>
      <c r="G134" s="45" t="s">
        <v>175</v>
      </c>
    </row>
    <row r="135" spans="1:7" ht="13.5" customHeight="1" x14ac:dyDescent="0.35">
      <c r="A135" s="47">
        <v>43829</v>
      </c>
      <c r="B135" s="45" t="s">
        <v>2532</v>
      </c>
      <c r="C135" s="426" t="s">
        <v>1274</v>
      </c>
      <c r="D135" s="45" t="s">
        <v>159</v>
      </c>
      <c r="E135" s="53">
        <v>20</v>
      </c>
      <c r="F135" s="45" t="s">
        <v>324</v>
      </c>
      <c r="G135" s="45" t="s">
        <v>174</v>
      </c>
    </row>
    <row r="136" spans="1:7" ht="13.5" customHeight="1" x14ac:dyDescent="0.35">
      <c r="A136" s="47">
        <v>43829</v>
      </c>
      <c r="B136" s="45" t="s">
        <v>2494</v>
      </c>
      <c r="C136" s="426" t="s">
        <v>1279</v>
      </c>
      <c r="D136" s="45" t="s">
        <v>159</v>
      </c>
      <c r="E136" s="53">
        <v>120</v>
      </c>
      <c r="F136" s="48" t="s">
        <v>941</v>
      </c>
      <c r="G136" s="45" t="s">
        <v>174</v>
      </c>
    </row>
    <row r="137" spans="1:7" ht="13.5" customHeight="1" x14ac:dyDescent="0.35">
      <c r="A137" s="47">
        <v>43825</v>
      </c>
      <c r="B137" s="45" t="s">
        <v>2399</v>
      </c>
      <c r="C137" s="426" t="s">
        <v>1274</v>
      </c>
      <c r="D137" s="45" t="s">
        <v>159</v>
      </c>
      <c r="E137" s="53">
        <v>10</v>
      </c>
      <c r="F137" s="45" t="s">
        <v>324</v>
      </c>
      <c r="G137" s="45" t="s">
        <v>175</v>
      </c>
    </row>
    <row r="138" spans="1:7" ht="13.5" customHeight="1" x14ac:dyDescent="0.35">
      <c r="A138" s="47">
        <v>43823</v>
      </c>
      <c r="B138" s="45" t="s">
        <v>2285</v>
      </c>
      <c r="C138" s="426" t="s">
        <v>2520</v>
      </c>
      <c r="D138" s="45" t="s">
        <v>160</v>
      </c>
      <c r="E138" s="53">
        <v>0.9</v>
      </c>
      <c r="F138" s="45" t="s">
        <v>1419</v>
      </c>
      <c r="G138" s="45" t="s">
        <v>175</v>
      </c>
    </row>
    <row r="139" spans="1:7" ht="13.5" customHeight="1" x14ac:dyDescent="0.35">
      <c r="A139" s="47">
        <v>43823</v>
      </c>
      <c r="B139" s="45" t="s">
        <v>2533</v>
      </c>
      <c r="C139" s="426" t="s">
        <v>1279</v>
      </c>
      <c r="D139" s="45" t="s">
        <v>160</v>
      </c>
      <c r="E139" s="53">
        <v>65</v>
      </c>
      <c r="F139" s="48" t="s">
        <v>941</v>
      </c>
      <c r="G139" s="45" t="s">
        <v>174</v>
      </c>
    </row>
    <row r="140" spans="1:7" ht="13.5" customHeight="1" x14ac:dyDescent="0.35">
      <c r="A140" s="47">
        <v>43823</v>
      </c>
      <c r="B140" s="45" t="s">
        <v>2528</v>
      </c>
      <c r="C140" s="426" t="s">
        <v>1279</v>
      </c>
      <c r="D140" s="45" t="s">
        <v>159</v>
      </c>
      <c r="E140" s="53">
        <v>100</v>
      </c>
      <c r="F140" s="48" t="s">
        <v>941</v>
      </c>
      <c r="G140" s="45" t="s">
        <v>175</v>
      </c>
    </row>
    <row r="141" spans="1:7" ht="13.5" customHeight="1" x14ac:dyDescent="0.35">
      <c r="A141" s="47">
        <v>43822</v>
      </c>
      <c r="B141" s="45" t="s">
        <v>2534</v>
      </c>
      <c r="C141" s="426" t="s">
        <v>2517</v>
      </c>
      <c r="D141" s="45" t="s">
        <v>160</v>
      </c>
      <c r="E141" s="53">
        <v>200</v>
      </c>
      <c r="F141" s="45" t="s">
        <v>734</v>
      </c>
      <c r="G141" s="45" t="s">
        <v>174</v>
      </c>
    </row>
    <row r="142" spans="1:7" ht="13.5" customHeight="1" x14ac:dyDescent="0.35">
      <c r="A142" s="47">
        <v>43821</v>
      </c>
      <c r="B142" s="45" t="s">
        <v>2535</v>
      </c>
      <c r="C142" s="426" t="s">
        <v>28</v>
      </c>
      <c r="D142" s="45" t="s">
        <v>160</v>
      </c>
      <c r="E142" s="53">
        <v>30</v>
      </c>
      <c r="F142" s="45" t="s">
        <v>1521</v>
      </c>
      <c r="G142" s="45" t="s">
        <v>174</v>
      </c>
    </row>
    <row r="143" spans="1:7" ht="13.5" customHeight="1" x14ac:dyDescent="0.35">
      <c r="A143" s="47">
        <v>43820</v>
      </c>
      <c r="B143" s="45" t="s">
        <v>2536</v>
      </c>
      <c r="C143" s="426" t="s">
        <v>1274</v>
      </c>
      <c r="D143" s="45" t="s">
        <v>159</v>
      </c>
      <c r="E143" s="53">
        <v>99</v>
      </c>
      <c r="F143" s="45" t="s">
        <v>2537</v>
      </c>
      <c r="G143" s="45" t="s">
        <v>174</v>
      </c>
    </row>
    <row r="144" spans="1:7" ht="13.5" customHeight="1" x14ac:dyDescent="0.35">
      <c r="A144" s="47">
        <v>43820</v>
      </c>
      <c r="B144" s="45" t="s">
        <v>2538</v>
      </c>
      <c r="C144" s="426" t="s">
        <v>1274</v>
      </c>
      <c r="D144" s="45" t="s">
        <v>159</v>
      </c>
      <c r="E144" s="53">
        <v>20</v>
      </c>
      <c r="F144" s="45" t="s">
        <v>324</v>
      </c>
      <c r="G144" s="45" t="s">
        <v>175</v>
      </c>
    </row>
    <row r="145" spans="1:7" ht="13.5" customHeight="1" x14ac:dyDescent="0.35">
      <c r="A145" s="47">
        <v>43820</v>
      </c>
      <c r="B145" s="45" t="s">
        <v>2539</v>
      </c>
      <c r="C145" s="426" t="s">
        <v>28</v>
      </c>
      <c r="D145" s="45" t="s">
        <v>159</v>
      </c>
      <c r="E145" s="53">
        <v>250</v>
      </c>
      <c r="F145" s="45" t="s">
        <v>1025</v>
      </c>
      <c r="G145" s="45" t="s">
        <v>174</v>
      </c>
    </row>
    <row r="146" spans="1:7" ht="13.5" customHeight="1" x14ac:dyDescent="0.35">
      <c r="A146" s="47">
        <v>43819</v>
      </c>
      <c r="B146" s="45" t="s">
        <v>2540</v>
      </c>
      <c r="C146" s="426" t="s">
        <v>2518</v>
      </c>
      <c r="D146" s="45" t="s">
        <v>160</v>
      </c>
      <c r="E146" s="53">
        <v>199.68</v>
      </c>
      <c r="F146" s="45" t="s">
        <v>2541</v>
      </c>
      <c r="G146" s="45" t="s">
        <v>175</v>
      </c>
    </row>
    <row r="147" spans="1:7" ht="13.5" customHeight="1" x14ac:dyDescent="0.35">
      <c r="A147" s="47">
        <v>43819</v>
      </c>
      <c r="B147" s="45" t="s">
        <v>2542</v>
      </c>
      <c r="C147" s="426" t="s">
        <v>2517</v>
      </c>
      <c r="D147" s="45" t="s">
        <v>159</v>
      </c>
      <c r="E147" s="53">
        <v>100</v>
      </c>
      <c r="F147" s="45" t="s">
        <v>734</v>
      </c>
      <c r="G147" s="45" t="s">
        <v>174</v>
      </c>
    </row>
    <row r="148" spans="1:7" ht="13.5" customHeight="1" x14ac:dyDescent="0.35">
      <c r="A148" s="47">
        <v>43818</v>
      </c>
      <c r="B148" s="45" t="s">
        <v>2543</v>
      </c>
      <c r="C148" s="426" t="s">
        <v>2517</v>
      </c>
      <c r="D148" s="45" t="s">
        <v>160</v>
      </c>
      <c r="E148" s="53">
        <v>50</v>
      </c>
      <c r="F148" s="45" t="s">
        <v>734</v>
      </c>
      <c r="G148" s="45" t="s">
        <v>174</v>
      </c>
    </row>
    <row r="149" spans="1:7" ht="13.5" customHeight="1" x14ac:dyDescent="0.35">
      <c r="A149" s="47">
        <v>43818</v>
      </c>
      <c r="B149" s="45" t="s">
        <v>2544</v>
      </c>
      <c r="C149" s="426" t="s">
        <v>1279</v>
      </c>
      <c r="D149" s="45" t="s">
        <v>159</v>
      </c>
      <c r="E149" s="53">
        <v>85</v>
      </c>
      <c r="F149" s="48" t="s">
        <v>941</v>
      </c>
      <c r="G149" s="45" t="s">
        <v>175</v>
      </c>
    </row>
    <row r="150" spans="1:7" ht="13.5" customHeight="1" x14ac:dyDescent="0.35">
      <c r="A150" s="47">
        <v>43817</v>
      </c>
      <c r="B150" s="45" t="s">
        <v>2545</v>
      </c>
      <c r="C150" s="426" t="s">
        <v>2517</v>
      </c>
      <c r="D150" s="45" t="s">
        <v>159</v>
      </c>
      <c r="E150" s="53">
        <v>50</v>
      </c>
      <c r="F150" s="45" t="s">
        <v>734</v>
      </c>
      <c r="G150" s="45" t="s">
        <v>174</v>
      </c>
    </row>
    <row r="151" spans="1:7" ht="13.5" customHeight="1" x14ac:dyDescent="0.35">
      <c r="A151" s="47">
        <v>43817</v>
      </c>
      <c r="B151" s="45" t="s">
        <v>2546</v>
      </c>
      <c r="C151" s="426" t="s">
        <v>2517</v>
      </c>
      <c r="D151" s="45" t="s">
        <v>159</v>
      </c>
      <c r="E151" s="53">
        <v>150</v>
      </c>
      <c r="F151" s="45" t="s">
        <v>734</v>
      </c>
      <c r="G151" s="45" t="s">
        <v>174</v>
      </c>
    </row>
    <row r="152" spans="1:7" ht="13.5" customHeight="1" x14ac:dyDescent="0.35">
      <c r="A152" s="47">
        <v>43816</v>
      </c>
      <c r="B152" s="45" t="s">
        <v>2547</v>
      </c>
      <c r="C152" s="426" t="s">
        <v>1274</v>
      </c>
      <c r="D152" s="45" t="s">
        <v>159</v>
      </c>
      <c r="E152" s="53">
        <v>50</v>
      </c>
      <c r="F152" s="45" t="s">
        <v>1291</v>
      </c>
      <c r="G152" s="45" t="s">
        <v>174</v>
      </c>
    </row>
    <row r="153" spans="1:7" ht="13.5" customHeight="1" x14ac:dyDescent="0.35">
      <c r="A153" s="47">
        <v>43816</v>
      </c>
      <c r="B153" s="45" t="s">
        <v>2547</v>
      </c>
      <c r="C153" s="426" t="s">
        <v>28</v>
      </c>
      <c r="D153" s="45" t="s">
        <v>159</v>
      </c>
      <c r="E153" s="53">
        <v>30</v>
      </c>
      <c r="F153" s="45" t="s">
        <v>1521</v>
      </c>
      <c r="G153" s="45" t="s">
        <v>174</v>
      </c>
    </row>
    <row r="154" spans="1:7" ht="13.5" customHeight="1" x14ac:dyDescent="0.35">
      <c r="A154" s="47">
        <v>43816</v>
      </c>
      <c r="B154" s="45" t="s">
        <v>2548</v>
      </c>
      <c r="C154" s="426" t="s">
        <v>2517</v>
      </c>
      <c r="D154" s="45" t="s">
        <v>159</v>
      </c>
      <c r="E154" s="53">
        <v>100</v>
      </c>
      <c r="F154" s="45" t="s">
        <v>734</v>
      </c>
      <c r="G154" s="45" t="s">
        <v>174</v>
      </c>
    </row>
    <row r="155" spans="1:7" ht="13.5" customHeight="1" x14ac:dyDescent="0.35">
      <c r="A155" s="47">
        <v>43816</v>
      </c>
      <c r="B155" s="45" t="s">
        <v>2549</v>
      </c>
      <c r="C155" s="426" t="s">
        <v>2517</v>
      </c>
      <c r="D155" s="45" t="s">
        <v>159</v>
      </c>
      <c r="E155" s="53">
        <v>75</v>
      </c>
      <c r="F155" s="45" t="s">
        <v>734</v>
      </c>
      <c r="G155" s="45" t="s">
        <v>174</v>
      </c>
    </row>
    <row r="156" spans="1:7" ht="13.5" customHeight="1" x14ac:dyDescent="0.35">
      <c r="A156" s="47">
        <v>43816</v>
      </c>
      <c r="B156" s="45" t="s">
        <v>2550</v>
      </c>
      <c r="C156" s="426" t="s">
        <v>1274</v>
      </c>
      <c r="D156" s="45" t="s">
        <v>159</v>
      </c>
      <c r="E156" s="53">
        <v>75</v>
      </c>
      <c r="F156" s="45" t="s">
        <v>2551</v>
      </c>
      <c r="G156" s="45" t="s">
        <v>174</v>
      </c>
    </row>
    <row r="157" spans="1:7" ht="13.5" customHeight="1" x14ac:dyDescent="0.35">
      <c r="A157" s="47">
        <v>43815</v>
      </c>
      <c r="B157" s="45" t="s">
        <v>2552</v>
      </c>
      <c r="C157" s="426" t="s">
        <v>1274</v>
      </c>
      <c r="D157" s="45" t="s">
        <v>159</v>
      </c>
      <c r="E157" s="53">
        <v>99</v>
      </c>
      <c r="F157" s="45" t="s">
        <v>230</v>
      </c>
      <c r="G157" s="45" t="s">
        <v>174</v>
      </c>
    </row>
    <row r="158" spans="1:7" ht="13.5" customHeight="1" x14ac:dyDescent="0.35">
      <c r="A158" s="47">
        <v>43815</v>
      </c>
      <c r="B158" s="45" t="s">
        <v>2552</v>
      </c>
      <c r="C158" s="426" t="s">
        <v>1274</v>
      </c>
      <c r="D158" s="45" t="s">
        <v>159</v>
      </c>
      <c r="E158" s="53">
        <v>99</v>
      </c>
      <c r="F158" s="45" t="s">
        <v>230</v>
      </c>
      <c r="G158" s="45" t="s">
        <v>174</v>
      </c>
    </row>
    <row r="159" spans="1:7" ht="13.5" customHeight="1" x14ac:dyDescent="0.35">
      <c r="A159" s="47">
        <v>43811</v>
      </c>
      <c r="B159" s="45" t="s">
        <v>2153</v>
      </c>
      <c r="C159" s="426" t="s">
        <v>1274</v>
      </c>
      <c r="D159" s="45" t="s">
        <v>166</v>
      </c>
      <c r="E159" s="53">
        <v>50</v>
      </c>
      <c r="F159" s="295" t="s">
        <v>2553</v>
      </c>
      <c r="G159" s="45" t="s">
        <v>175</v>
      </c>
    </row>
    <row r="160" spans="1:7" ht="13.5" customHeight="1" x14ac:dyDescent="0.35">
      <c r="A160" s="47">
        <v>43811</v>
      </c>
      <c r="B160" s="45" t="s">
        <v>2153</v>
      </c>
      <c r="C160" s="426" t="s">
        <v>1277</v>
      </c>
      <c r="D160" s="45" t="s">
        <v>166</v>
      </c>
      <c r="E160" s="53">
        <v>-50</v>
      </c>
      <c r="F160" s="45" t="s">
        <v>2554</v>
      </c>
      <c r="G160" s="45" t="s">
        <v>175</v>
      </c>
    </row>
    <row r="161" spans="1:7" ht="13.5" customHeight="1" x14ac:dyDescent="0.35">
      <c r="A161" s="47">
        <v>43811</v>
      </c>
      <c r="B161" s="45" t="s">
        <v>2153</v>
      </c>
      <c r="C161" s="426" t="s">
        <v>1274</v>
      </c>
      <c r="D161" s="45" t="s">
        <v>166</v>
      </c>
      <c r="E161" s="53">
        <v>67.5</v>
      </c>
      <c r="F161" s="45" t="s">
        <v>2551</v>
      </c>
      <c r="G161" s="45" t="s">
        <v>175</v>
      </c>
    </row>
    <row r="162" spans="1:7" ht="13.5" customHeight="1" x14ac:dyDescent="0.35">
      <c r="A162" s="47">
        <v>43811</v>
      </c>
      <c r="B162" s="45" t="s">
        <v>2153</v>
      </c>
      <c r="C162" s="426" t="s">
        <v>1277</v>
      </c>
      <c r="D162" s="45" t="s">
        <v>166</v>
      </c>
      <c r="E162" s="53">
        <v>-67.5</v>
      </c>
      <c r="F162" s="45" t="s">
        <v>2551</v>
      </c>
      <c r="G162" s="45" t="s">
        <v>175</v>
      </c>
    </row>
    <row r="163" spans="1:7" ht="13.5" customHeight="1" x14ac:dyDescent="0.35">
      <c r="A163" s="47">
        <v>43809</v>
      </c>
      <c r="B163" s="45" t="s">
        <v>2555</v>
      </c>
      <c r="C163" s="45" t="s">
        <v>2517</v>
      </c>
      <c r="D163" s="45" t="s">
        <v>159</v>
      </c>
      <c r="E163" s="53">
        <v>350</v>
      </c>
      <c r="F163" s="45" t="s">
        <v>734</v>
      </c>
      <c r="G163" s="45" t="s">
        <v>174</v>
      </c>
    </row>
    <row r="164" spans="1:7" ht="13.5" customHeight="1" x14ac:dyDescent="0.35">
      <c r="A164" s="47">
        <v>43808</v>
      </c>
      <c r="B164" s="45" t="s">
        <v>2556</v>
      </c>
      <c r="C164" s="45" t="s">
        <v>1274</v>
      </c>
      <c r="D164" s="45" t="s">
        <v>160</v>
      </c>
      <c r="E164" s="53">
        <v>10</v>
      </c>
      <c r="F164" s="45" t="s">
        <v>324</v>
      </c>
      <c r="G164" s="45" t="s">
        <v>175</v>
      </c>
    </row>
    <row r="165" spans="1:7" ht="13.5" customHeight="1" x14ac:dyDescent="0.35">
      <c r="A165" s="47">
        <v>43807</v>
      </c>
      <c r="B165" s="45" t="s">
        <v>2557</v>
      </c>
      <c r="C165" s="45" t="s">
        <v>1274</v>
      </c>
      <c r="D165" s="45" t="s">
        <v>159</v>
      </c>
      <c r="E165" s="53">
        <v>65</v>
      </c>
      <c r="F165" s="45" t="s">
        <v>2558</v>
      </c>
      <c r="G165" s="45" t="s">
        <v>175</v>
      </c>
    </row>
    <row r="166" spans="1:7" ht="13.5" customHeight="1" x14ac:dyDescent="0.35">
      <c r="A166" s="47">
        <v>43805</v>
      </c>
      <c r="B166" s="45" t="s">
        <v>2559</v>
      </c>
      <c r="C166" s="45" t="s">
        <v>1274</v>
      </c>
      <c r="D166" s="45" t="s">
        <v>159</v>
      </c>
      <c r="E166" s="53">
        <v>99</v>
      </c>
      <c r="F166" s="45" t="s">
        <v>2560</v>
      </c>
      <c r="G166" s="45" t="s">
        <v>174</v>
      </c>
    </row>
    <row r="167" spans="1:7" ht="13.5" customHeight="1" x14ac:dyDescent="0.35">
      <c r="A167" s="47">
        <v>43805</v>
      </c>
      <c r="B167" s="45" t="s">
        <v>732</v>
      </c>
      <c r="C167" s="426" t="s">
        <v>1279</v>
      </c>
      <c r="D167" s="45" t="s">
        <v>159</v>
      </c>
      <c r="E167" s="53">
        <v>360</v>
      </c>
      <c r="F167" s="45" t="s">
        <v>1984</v>
      </c>
      <c r="G167" s="45" t="s">
        <v>175</v>
      </c>
    </row>
    <row r="168" spans="1:7" ht="13.5" customHeight="1" x14ac:dyDescent="0.35">
      <c r="A168" s="47">
        <v>43803</v>
      </c>
      <c r="B168" s="45" t="s">
        <v>2561</v>
      </c>
      <c r="C168" s="426" t="s">
        <v>28</v>
      </c>
      <c r="D168" s="45" t="s">
        <v>159</v>
      </c>
      <c r="E168" s="53">
        <v>60</v>
      </c>
      <c r="F168" s="45" t="s">
        <v>1521</v>
      </c>
      <c r="G168" s="45" t="s">
        <v>174</v>
      </c>
    </row>
    <row r="169" spans="1:7" ht="13.5" customHeight="1" x14ac:dyDescent="0.35">
      <c r="A169" s="47">
        <v>43805</v>
      </c>
      <c r="B169" s="45" t="s">
        <v>2399</v>
      </c>
      <c r="C169" s="426" t="s">
        <v>1274</v>
      </c>
      <c r="D169" s="45" t="s">
        <v>162</v>
      </c>
      <c r="E169" s="53">
        <v>95</v>
      </c>
      <c r="F169" s="45" t="s">
        <v>2500</v>
      </c>
      <c r="G169" s="45" t="s">
        <v>175</v>
      </c>
    </row>
    <row r="170" spans="1:7" ht="13.5" customHeight="1" x14ac:dyDescent="0.35">
      <c r="A170" s="47">
        <v>43805</v>
      </c>
      <c r="B170" s="45" t="s">
        <v>784</v>
      </c>
      <c r="C170" s="426" t="s">
        <v>1274</v>
      </c>
      <c r="D170" s="45" t="s">
        <v>162</v>
      </c>
      <c r="E170" s="53">
        <v>120</v>
      </c>
      <c r="F170" s="45" t="s">
        <v>324</v>
      </c>
      <c r="G170" s="45" t="s">
        <v>175</v>
      </c>
    </row>
    <row r="171" spans="1:7" ht="13.5" customHeight="1" x14ac:dyDescent="0.35">
      <c r="A171" s="47">
        <v>43801</v>
      </c>
      <c r="B171" s="45" t="s">
        <v>2235</v>
      </c>
      <c r="C171" s="426" t="s">
        <v>1274</v>
      </c>
      <c r="D171" s="45" t="s">
        <v>162</v>
      </c>
      <c r="E171" s="53">
        <v>195</v>
      </c>
      <c r="F171" s="45" t="s">
        <v>2500</v>
      </c>
      <c r="G171" s="45" t="s">
        <v>175</v>
      </c>
    </row>
    <row r="172" spans="1:7" ht="13.5" customHeight="1" x14ac:dyDescent="0.35">
      <c r="A172" s="47">
        <v>43801</v>
      </c>
      <c r="B172" s="45" t="s">
        <v>732</v>
      </c>
      <c r="C172" s="426" t="s">
        <v>1274</v>
      </c>
      <c r="D172" s="45" t="s">
        <v>162</v>
      </c>
      <c r="E172" s="53">
        <v>10</v>
      </c>
      <c r="F172" s="45" t="s">
        <v>324</v>
      </c>
      <c r="G172" s="45" t="s">
        <v>175</v>
      </c>
    </row>
    <row r="173" spans="1:7" ht="13.5" customHeight="1" x14ac:dyDescent="0.35">
      <c r="A173" s="47">
        <v>43801</v>
      </c>
      <c r="B173" s="45" t="s">
        <v>732</v>
      </c>
      <c r="C173" s="426" t="s">
        <v>1274</v>
      </c>
      <c r="D173" s="45" t="s">
        <v>162</v>
      </c>
      <c r="E173" s="53">
        <v>95</v>
      </c>
      <c r="F173" s="45" t="s">
        <v>2500</v>
      </c>
      <c r="G173" s="45" t="s">
        <v>175</v>
      </c>
    </row>
    <row r="174" spans="1:7" ht="13.5" customHeight="1" x14ac:dyDescent="0.35">
      <c r="A174" s="47">
        <v>43801</v>
      </c>
      <c r="B174" s="45" t="s">
        <v>2502</v>
      </c>
      <c r="C174" s="426" t="s">
        <v>1274</v>
      </c>
      <c r="D174" s="45" t="s">
        <v>162</v>
      </c>
      <c r="E174" s="53">
        <v>695</v>
      </c>
      <c r="F174" s="45" t="s">
        <v>2500</v>
      </c>
      <c r="G174" s="45" t="s">
        <v>175</v>
      </c>
    </row>
    <row r="175" spans="1:7" ht="13.5" customHeight="1" x14ac:dyDescent="0.35">
      <c r="A175" s="47">
        <v>43800</v>
      </c>
      <c r="B175" s="45" t="s">
        <v>2562</v>
      </c>
      <c r="C175" s="426" t="s">
        <v>2519</v>
      </c>
      <c r="D175" s="45" t="s">
        <v>160</v>
      </c>
      <c r="E175" s="53">
        <v>75</v>
      </c>
      <c r="F175" s="45" t="s">
        <v>2563</v>
      </c>
      <c r="G175" s="45" t="s">
        <v>175</v>
      </c>
    </row>
    <row r="176" spans="1:7" ht="13.5" customHeight="1" x14ac:dyDescent="0.35">
      <c r="A176" s="47">
        <v>43800</v>
      </c>
      <c r="B176" s="45" t="s">
        <v>2564</v>
      </c>
      <c r="C176" s="426" t="s">
        <v>1279</v>
      </c>
      <c r="D176" s="45" t="s">
        <v>159</v>
      </c>
      <c r="E176" s="53">
        <v>225</v>
      </c>
      <c r="F176" s="45" t="s">
        <v>1423</v>
      </c>
      <c r="G176" s="45" t="s">
        <v>174</v>
      </c>
    </row>
    <row r="177" spans="1:7" ht="13.5" customHeight="1" x14ac:dyDescent="0.35">
      <c r="A177" s="47">
        <v>43800</v>
      </c>
      <c r="B177" s="45" t="s">
        <v>2565</v>
      </c>
      <c r="C177" s="426" t="s">
        <v>1276</v>
      </c>
      <c r="D177" s="426" t="s">
        <v>161</v>
      </c>
      <c r="E177" s="53">
        <v>571.25</v>
      </c>
      <c r="F177" s="426" t="s">
        <v>1078</v>
      </c>
      <c r="G177" s="45" t="s">
        <v>175</v>
      </c>
    </row>
    <row r="178" spans="1:7" ht="13.5" customHeight="1" x14ac:dyDescent="0.35">
      <c r="A178" s="47">
        <v>43800</v>
      </c>
      <c r="B178" s="45" t="s">
        <v>2566</v>
      </c>
      <c r="C178" s="426" t="s">
        <v>1278</v>
      </c>
      <c r="D178" s="426" t="s">
        <v>161</v>
      </c>
      <c r="E178" s="53">
        <v>60</v>
      </c>
      <c r="F178" s="426" t="s">
        <v>292</v>
      </c>
      <c r="G178" s="45" t="s">
        <v>175</v>
      </c>
    </row>
    <row r="179" spans="1:7" ht="13.5" customHeight="1" x14ac:dyDescent="0.35">
      <c r="A179" s="47"/>
      <c r="B179" s="45"/>
      <c r="D179" s="45"/>
      <c r="E179" s="53"/>
      <c r="F179" s="45"/>
      <c r="G179" s="45"/>
    </row>
    <row r="180" spans="1:7" ht="13.5" customHeight="1" x14ac:dyDescent="0.35">
      <c r="A180" s="47">
        <v>43799</v>
      </c>
      <c r="B180" s="45" t="s">
        <v>1681</v>
      </c>
      <c r="C180" s="426" t="s">
        <v>1274</v>
      </c>
      <c r="D180" s="45" t="s">
        <v>159</v>
      </c>
      <c r="E180" s="53">
        <v>275</v>
      </c>
      <c r="F180" s="45" t="s">
        <v>495</v>
      </c>
      <c r="G180" s="45" t="s">
        <v>175</v>
      </c>
    </row>
    <row r="181" spans="1:7" ht="13.5" customHeight="1" x14ac:dyDescent="0.35">
      <c r="A181" s="47">
        <v>43799</v>
      </c>
      <c r="B181" s="45" t="s">
        <v>2567</v>
      </c>
      <c r="C181" s="426" t="s">
        <v>1274</v>
      </c>
      <c r="D181" s="45" t="s">
        <v>159</v>
      </c>
      <c r="E181" s="53">
        <v>65</v>
      </c>
      <c r="F181" s="45" t="s">
        <v>2558</v>
      </c>
      <c r="G181" s="45" t="s">
        <v>174</v>
      </c>
    </row>
    <row r="182" spans="1:7" ht="13.5" customHeight="1" x14ac:dyDescent="0.35">
      <c r="A182" s="47">
        <v>43799</v>
      </c>
      <c r="B182" s="45" t="s">
        <v>2568</v>
      </c>
      <c r="C182" s="426" t="s">
        <v>1274</v>
      </c>
      <c r="D182" s="45" t="s">
        <v>159</v>
      </c>
      <c r="E182" s="53">
        <v>675</v>
      </c>
      <c r="F182" s="45" t="s">
        <v>463</v>
      </c>
      <c r="G182" s="45" t="s">
        <v>174</v>
      </c>
    </row>
    <row r="183" spans="1:7" ht="13.5" customHeight="1" x14ac:dyDescent="0.35">
      <c r="A183" s="47">
        <v>43798</v>
      </c>
      <c r="B183" s="45" t="s">
        <v>2479</v>
      </c>
      <c r="C183" s="426" t="s">
        <v>1274</v>
      </c>
      <c r="D183" s="45" t="s">
        <v>159</v>
      </c>
      <c r="E183" s="53">
        <v>425</v>
      </c>
      <c r="F183" s="45" t="s">
        <v>495</v>
      </c>
      <c r="G183" s="45" t="s">
        <v>175</v>
      </c>
    </row>
    <row r="184" spans="1:7" ht="13.5" customHeight="1" x14ac:dyDescent="0.35">
      <c r="A184" s="47">
        <v>43798</v>
      </c>
      <c r="B184" s="45" t="s">
        <v>1935</v>
      </c>
      <c r="C184" s="426" t="s">
        <v>1279</v>
      </c>
      <c r="D184" s="45" t="s">
        <v>160</v>
      </c>
      <c r="E184" s="53">
        <v>110</v>
      </c>
      <c r="F184" s="45" t="s">
        <v>2569</v>
      </c>
      <c r="G184" s="45" t="s">
        <v>175</v>
      </c>
    </row>
    <row r="185" spans="1:7" ht="13.5" customHeight="1" x14ac:dyDescent="0.35">
      <c r="A185" s="47">
        <v>43796</v>
      </c>
      <c r="B185" s="45" t="s">
        <v>2570</v>
      </c>
      <c r="C185" s="426" t="s">
        <v>1274</v>
      </c>
      <c r="D185" s="45" t="s">
        <v>160</v>
      </c>
      <c r="E185" s="53">
        <v>10</v>
      </c>
      <c r="F185" s="45" t="s">
        <v>324</v>
      </c>
      <c r="G185" s="45" t="s">
        <v>174</v>
      </c>
    </row>
    <row r="186" spans="1:7" ht="13.5" customHeight="1" x14ac:dyDescent="0.35">
      <c r="A186" s="47">
        <v>43796</v>
      </c>
      <c r="B186" s="45" t="s">
        <v>2571</v>
      </c>
      <c r="C186" s="426" t="s">
        <v>28</v>
      </c>
      <c r="D186" s="45" t="s">
        <v>160</v>
      </c>
      <c r="E186" s="53">
        <v>250</v>
      </c>
      <c r="F186" s="45" t="s">
        <v>291</v>
      </c>
      <c r="G186" s="45" t="s">
        <v>175</v>
      </c>
    </row>
    <row r="187" spans="1:7" ht="13.5" customHeight="1" x14ac:dyDescent="0.35">
      <c r="A187" s="47">
        <v>43796</v>
      </c>
      <c r="B187" s="45" t="s">
        <v>1126</v>
      </c>
      <c r="C187" s="426" t="s">
        <v>1274</v>
      </c>
      <c r="D187" s="45" t="s">
        <v>159</v>
      </c>
      <c r="E187" s="53">
        <v>675</v>
      </c>
      <c r="F187" s="45" t="s">
        <v>2295</v>
      </c>
      <c r="G187" s="45" t="s">
        <v>175</v>
      </c>
    </row>
    <row r="188" spans="1:7" ht="13.5" customHeight="1" x14ac:dyDescent="0.35">
      <c r="A188" s="47">
        <v>43796</v>
      </c>
      <c r="B188" s="45" t="s">
        <v>2398</v>
      </c>
      <c r="C188" s="426" t="s">
        <v>28</v>
      </c>
      <c r="D188" s="45" t="s">
        <v>166</v>
      </c>
      <c r="E188" s="53">
        <v>225</v>
      </c>
      <c r="F188" s="45" t="s">
        <v>291</v>
      </c>
      <c r="G188" s="45" t="s">
        <v>175</v>
      </c>
    </row>
    <row r="189" spans="1:7" ht="13.5" customHeight="1" x14ac:dyDescent="0.35">
      <c r="A189" s="47">
        <v>43796</v>
      </c>
      <c r="B189" s="45" t="s">
        <v>2398</v>
      </c>
      <c r="C189" s="426" t="s">
        <v>1277</v>
      </c>
      <c r="D189" s="45" t="s">
        <v>166</v>
      </c>
      <c r="E189" s="53">
        <v>-225</v>
      </c>
      <c r="F189" s="45" t="s">
        <v>291</v>
      </c>
      <c r="G189" s="45" t="s">
        <v>175</v>
      </c>
    </row>
    <row r="190" spans="1:7" ht="13.5" customHeight="1" x14ac:dyDescent="0.35">
      <c r="A190" s="47">
        <v>43795</v>
      </c>
      <c r="B190" s="45" t="s">
        <v>2572</v>
      </c>
      <c r="C190" s="426" t="s">
        <v>1274</v>
      </c>
      <c r="D190" s="45" t="s">
        <v>159</v>
      </c>
      <c r="E190" s="53">
        <v>75</v>
      </c>
      <c r="F190" s="45" t="s">
        <v>1467</v>
      </c>
      <c r="G190" s="45" t="s">
        <v>174</v>
      </c>
    </row>
    <row r="191" spans="1:7" ht="13.5" customHeight="1" x14ac:dyDescent="0.35">
      <c r="A191" s="47">
        <v>43795</v>
      </c>
      <c r="B191" s="45" t="s">
        <v>2572</v>
      </c>
      <c r="C191" s="426" t="s">
        <v>1274</v>
      </c>
      <c r="D191" s="45" t="s">
        <v>159</v>
      </c>
      <c r="E191" s="53">
        <v>75</v>
      </c>
      <c r="F191" s="45" t="s">
        <v>1467</v>
      </c>
      <c r="G191" s="45" t="s">
        <v>174</v>
      </c>
    </row>
    <row r="192" spans="1:7" ht="13.5" customHeight="1" x14ac:dyDescent="0.35">
      <c r="A192" s="47">
        <v>43795</v>
      </c>
      <c r="B192" s="45" t="s">
        <v>229</v>
      </c>
      <c r="C192" s="426" t="s">
        <v>1274</v>
      </c>
      <c r="D192" s="45" t="s">
        <v>159</v>
      </c>
      <c r="E192" s="53">
        <v>150</v>
      </c>
      <c r="F192" s="45" t="s">
        <v>1467</v>
      </c>
      <c r="G192" s="45" t="s">
        <v>174</v>
      </c>
    </row>
    <row r="193" spans="1:7" ht="13.5" customHeight="1" x14ac:dyDescent="0.35">
      <c r="A193" s="47">
        <v>43795</v>
      </c>
      <c r="B193" s="45" t="s">
        <v>2137</v>
      </c>
      <c r="C193" s="426" t="s">
        <v>28</v>
      </c>
      <c r="D193" s="45" t="s">
        <v>166</v>
      </c>
      <c r="E193" s="53">
        <v>225</v>
      </c>
      <c r="F193" s="45" t="s">
        <v>291</v>
      </c>
      <c r="G193" s="45" t="s">
        <v>175</v>
      </c>
    </row>
    <row r="194" spans="1:7" ht="13.5" customHeight="1" x14ac:dyDescent="0.35">
      <c r="A194" s="47">
        <v>43795</v>
      </c>
      <c r="B194" s="45" t="s">
        <v>2137</v>
      </c>
      <c r="C194" s="426" t="s">
        <v>1277</v>
      </c>
      <c r="D194" s="45" t="s">
        <v>166</v>
      </c>
      <c r="E194" s="53">
        <v>-225</v>
      </c>
      <c r="F194" s="45" t="s">
        <v>291</v>
      </c>
      <c r="G194" s="45" t="s">
        <v>175</v>
      </c>
    </row>
    <row r="195" spans="1:7" ht="13.5" customHeight="1" x14ac:dyDescent="0.35">
      <c r="A195" s="47">
        <v>43795</v>
      </c>
      <c r="B195" s="45" t="s">
        <v>2137</v>
      </c>
      <c r="C195" s="426" t="s">
        <v>1279</v>
      </c>
      <c r="D195" s="45" t="s">
        <v>166</v>
      </c>
      <c r="E195" s="53">
        <v>58.5</v>
      </c>
      <c r="F195" s="45" t="s">
        <v>621</v>
      </c>
      <c r="G195" s="45" t="s">
        <v>175</v>
      </c>
    </row>
    <row r="196" spans="1:7" ht="13.5" customHeight="1" x14ac:dyDescent="0.35">
      <c r="A196" s="47">
        <v>43795</v>
      </c>
      <c r="B196" s="45" t="s">
        <v>2137</v>
      </c>
      <c r="C196" s="426" t="s">
        <v>1277</v>
      </c>
      <c r="D196" s="45" t="s">
        <v>166</v>
      </c>
      <c r="E196" s="53">
        <v>-58.5</v>
      </c>
      <c r="F196" s="45" t="s">
        <v>621</v>
      </c>
      <c r="G196" s="45" t="s">
        <v>175</v>
      </c>
    </row>
    <row r="197" spans="1:7" ht="13.5" customHeight="1" x14ac:dyDescent="0.35">
      <c r="A197" s="47">
        <v>43788</v>
      </c>
      <c r="B197" s="45" t="s">
        <v>2573</v>
      </c>
      <c r="C197" s="426" t="s">
        <v>1274</v>
      </c>
      <c r="D197" s="45" t="s">
        <v>159</v>
      </c>
      <c r="E197" s="53">
        <v>150</v>
      </c>
      <c r="F197" s="45" t="s">
        <v>2574</v>
      </c>
      <c r="G197" s="45" t="s">
        <v>174</v>
      </c>
    </row>
    <row r="198" spans="1:7" ht="13.5" customHeight="1" x14ac:dyDescent="0.35">
      <c r="A198" s="47">
        <v>43788</v>
      </c>
      <c r="B198" s="45" t="s">
        <v>2575</v>
      </c>
      <c r="C198" s="426" t="s">
        <v>28</v>
      </c>
      <c r="D198" s="45" t="s">
        <v>166</v>
      </c>
      <c r="E198" s="53">
        <v>175.5</v>
      </c>
      <c r="F198" s="45" t="s">
        <v>2576</v>
      </c>
      <c r="G198" s="45" t="s">
        <v>175</v>
      </c>
    </row>
    <row r="199" spans="1:7" ht="13.5" customHeight="1" x14ac:dyDescent="0.35">
      <c r="A199" s="47">
        <v>43788</v>
      </c>
      <c r="B199" s="45" t="s">
        <v>2575</v>
      </c>
      <c r="C199" s="426" t="s">
        <v>1277</v>
      </c>
      <c r="D199" s="45" t="s">
        <v>166</v>
      </c>
      <c r="E199" s="53">
        <v>-175.5</v>
      </c>
      <c r="F199" s="45" t="s">
        <v>2576</v>
      </c>
      <c r="G199" s="45" t="s">
        <v>175</v>
      </c>
    </row>
    <row r="200" spans="1:7" ht="13.5" customHeight="1" x14ac:dyDescent="0.35">
      <c r="A200" s="47">
        <v>43790</v>
      </c>
      <c r="B200" s="45" t="s">
        <v>2577</v>
      </c>
      <c r="C200" s="426" t="s">
        <v>1274</v>
      </c>
      <c r="D200" s="45" t="s">
        <v>159</v>
      </c>
      <c r="E200" s="53">
        <v>10</v>
      </c>
      <c r="F200" s="45" t="s">
        <v>324</v>
      </c>
      <c r="G200" s="45" t="s">
        <v>175</v>
      </c>
    </row>
    <row r="201" spans="1:7" ht="13.5" customHeight="1" x14ac:dyDescent="0.35">
      <c r="A201" s="47">
        <v>43793</v>
      </c>
      <c r="B201" s="45" t="s">
        <v>2578</v>
      </c>
      <c r="C201" s="426" t="s">
        <v>28</v>
      </c>
      <c r="D201" s="45" t="s">
        <v>159</v>
      </c>
      <c r="E201" s="53">
        <v>395</v>
      </c>
      <c r="F201" s="45" t="s">
        <v>1058</v>
      </c>
      <c r="G201" s="45" t="s">
        <v>175</v>
      </c>
    </row>
    <row r="202" spans="1:7" ht="13.5" customHeight="1" x14ac:dyDescent="0.35">
      <c r="A202" s="47">
        <v>43786</v>
      </c>
      <c r="B202" s="45" t="s">
        <v>2579</v>
      </c>
      <c r="C202" s="426" t="s">
        <v>28</v>
      </c>
      <c r="D202" s="45" t="s">
        <v>159</v>
      </c>
      <c r="E202" s="53">
        <v>60</v>
      </c>
      <c r="F202" s="45" t="s">
        <v>1236</v>
      </c>
      <c r="G202" s="45" t="s">
        <v>174</v>
      </c>
    </row>
    <row r="203" spans="1:7" ht="13.5" customHeight="1" x14ac:dyDescent="0.35">
      <c r="A203" s="47">
        <v>43785</v>
      </c>
      <c r="B203" s="45" t="s">
        <v>2145</v>
      </c>
      <c r="C203" s="426" t="s">
        <v>1279</v>
      </c>
      <c r="D203" s="45" t="s">
        <v>160</v>
      </c>
      <c r="E203" s="53">
        <v>210</v>
      </c>
      <c r="F203" s="45" t="s">
        <v>2580</v>
      </c>
      <c r="G203" s="45" t="s">
        <v>175</v>
      </c>
    </row>
    <row r="204" spans="1:7" ht="13.5" customHeight="1" x14ac:dyDescent="0.35">
      <c r="A204" s="47">
        <v>43784</v>
      </c>
      <c r="B204" s="45" t="s">
        <v>2575</v>
      </c>
      <c r="C204" s="426" t="s">
        <v>1276</v>
      </c>
      <c r="D204" s="45" t="s">
        <v>159</v>
      </c>
      <c r="E204" s="53">
        <v>43.75</v>
      </c>
      <c r="F204" s="45" t="s">
        <v>2581</v>
      </c>
      <c r="G204" s="45" t="s">
        <v>175</v>
      </c>
    </row>
    <row r="205" spans="1:7" ht="13.5" customHeight="1" x14ac:dyDescent="0.35">
      <c r="A205" s="47">
        <v>43784</v>
      </c>
      <c r="B205" s="45" t="s">
        <v>2544</v>
      </c>
      <c r="C205" s="426" t="s">
        <v>28</v>
      </c>
      <c r="D205" s="45" t="s">
        <v>159</v>
      </c>
      <c r="E205" s="53">
        <v>195</v>
      </c>
      <c r="F205" s="45" t="s">
        <v>2576</v>
      </c>
      <c r="G205" s="45" t="s">
        <v>175</v>
      </c>
    </row>
    <row r="206" spans="1:7" ht="13.5" customHeight="1" x14ac:dyDescent="0.35">
      <c r="A206" s="47">
        <v>43784</v>
      </c>
      <c r="B206" s="45" t="s">
        <v>2544</v>
      </c>
      <c r="C206" s="426" t="s">
        <v>1274</v>
      </c>
      <c r="D206" s="45" t="s">
        <v>159</v>
      </c>
      <c r="E206" s="53">
        <v>50</v>
      </c>
      <c r="F206" s="45" t="s">
        <v>2582</v>
      </c>
      <c r="G206" s="45" t="s">
        <v>175</v>
      </c>
    </row>
    <row r="207" spans="1:7" ht="13.5" customHeight="1" x14ac:dyDescent="0.35">
      <c r="A207" s="47">
        <v>43784</v>
      </c>
      <c r="B207" s="45" t="s">
        <v>2544</v>
      </c>
      <c r="C207" s="426" t="s">
        <v>1274</v>
      </c>
      <c r="D207" s="45" t="s">
        <v>159</v>
      </c>
      <c r="E207" s="53">
        <v>10</v>
      </c>
      <c r="F207" s="45" t="s">
        <v>324</v>
      </c>
      <c r="G207" s="45" t="s">
        <v>175</v>
      </c>
    </row>
    <row r="208" spans="1:7" ht="13.5" customHeight="1" x14ac:dyDescent="0.35">
      <c r="A208" s="47">
        <v>43783</v>
      </c>
      <c r="B208" s="45" t="s">
        <v>2583</v>
      </c>
      <c r="C208" s="426" t="s">
        <v>1274</v>
      </c>
      <c r="D208" s="45" t="s">
        <v>160</v>
      </c>
      <c r="E208" s="53">
        <v>100</v>
      </c>
      <c r="F208" s="45" t="s">
        <v>2558</v>
      </c>
      <c r="G208" s="45" t="s">
        <v>174</v>
      </c>
    </row>
    <row r="209" spans="1:7" ht="13.5" customHeight="1" x14ac:dyDescent="0.35">
      <c r="A209" s="47">
        <v>43783</v>
      </c>
      <c r="B209" s="45" t="s">
        <v>2584</v>
      </c>
      <c r="C209" s="426" t="s">
        <v>1279</v>
      </c>
      <c r="D209" s="45" t="s">
        <v>162</v>
      </c>
      <c r="E209" s="53">
        <v>250</v>
      </c>
      <c r="F209" s="45" t="s">
        <v>2580</v>
      </c>
      <c r="G209" s="45" t="s">
        <v>1311</v>
      </c>
    </row>
    <row r="210" spans="1:7" ht="13.5" customHeight="1" x14ac:dyDescent="0.35">
      <c r="A210" s="47">
        <v>43783</v>
      </c>
      <c r="B210" s="45" t="s">
        <v>2585</v>
      </c>
      <c r="C210" s="426" t="s">
        <v>28</v>
      </c>
      <c r="D210" s="45" t="s">
        <v>162</v>
      </c>
      <c r="E210" s="53">
        <v>200</v>
      </c>
      <c r="F210" s="45" t="s">
        <v>1775</v>
      </c>
      <c r="G210" s="45" t="s">
        <v>1311</v>
      </c>
    </row>
    <row r="211" spans="1:7" ht="13.5" customHeight="1" x14ac:dyDescent="0.35">
      <c r="A211" s="47">
        <v>43781</v>
      </c>
      <c r="B211" s="45" t="s">
        <v>2586</v>
      </c>
      <c r="C211" s="426" t="s">
        <v>1274</v>
      </c>
      <c r="D211" s="45" t="s">
        <v>159</v>
      </c>
      <c r="E211" s="53">
        <v>50</v>
      </c>
      <c r="F211" s="45" t="s">
        <v>2587</v>
      </c>
      <c r="G211" s="45" t="s">
        <v>174</v>
      </c>
    </row>
    <row r="212" spans="1:7" ht="13.5" customHeight="1" x14ac:dyDescent="0.35">
      <c r="A212" s="47">
        <v>43780</v>
      </c>
      <c r="B212" s="45" t="s">
        <v>2205</v>
      </c>
      <c r="C212" s="426" t="s">
        <v>1274</v>
      </c>
      <c r="D212" s="45" t="s">
        <v>166</v>
      </c>
      <c r="E212" s="53">
        <v>995</v>
      </c>
      <c r="F212" s="295" t="s">
        <v>2588</v>
      </c>
      <c r="G212" s="45" t="s">
        <v>175</v>
      </c>
    </row>
    <row r="213" spans="1:7" ht="13.5" customHeight="1" x14ac:dyDescent="0.35">
      <c r="A213" s="47">
        <v>43780</v>
      </c>
      <c r="B213" s="45" t="s">
        <v>2205</v>
      </c>
      <c r="C213" s="426" t="s">
        <v>1277</v>
      </c>
      <c r="D213" s="45" t="s">
        <v>166</v>
      </c>
      <c r="E213" s="53">
        <v>-995</v>
      </c>
      <c r="F213" s="45" t="s">
        <v>2526</v>
      </c>
      <c r="G213" s="45" t="s">
        <v>175</v>
      </c>
    </row>
    <row r="214" spans="1:7" ht="13.5" customHeight="1" x14ac:dyDescent="0.35">
      <c r="A214" s="47">
        <v>43775</v>
      </c>
      <c r="B214" s="45" t="s">
        <v>345</v>
      </c>
      <c r="C214" s="426" t="s">
        <v>1274</v>
      </c>
      <c r="D214" s="45" t="s">
        <v>160</v>
      </c>
      <c r="E214" s="53">
        <v>10</v>
      </c>
      <c r="F214" s="45" t="s">
        <v>324</v>
      </c>
      <c r="G214" s="45" t="s">
        <v>175</v>
      </c>
    </row>
    <row r="215" spans="1:7" ht="13.5" customHeight="1" x14ac:dyDescent="0.35">
      <c r="A215" s="47">
        <v>43774</v>
      </c>
      <c r="B215" s="45" t="s">
        <v>2134</v>
      </c>
      <c r="C215" s="426" t="s">
        <v>1274</v>
      </c>
      <c r="D215" s="45" t="s">
        <v>159</v>
      </c>
      <c r="E215" s="53">
        <v>50</v>
      </c>
      <c r="F215" s="45" t="s">
        <v>2587</v>
      </c>
      <c r="G215" s="45" t="s">
        <v>175</v>
      </c>
    </row>
    <row r="216" spans="1:7" ht="13.5" customHeight="1" x14ac:dyDescent="0.35">
      <c r="A216" s="47">
        <v>43773</v>
      </c>
      <c r="B216" s="45" t="s">
        <v>2589</v>
      </c>
      <c r="C216" s="426" t="s">
        <v>1274</v>
      </c>
      <c r="D216" s="45" t="s">
        <v>162</v>
      </c>
      <c r="E216" s="53">
        <v>100</v>
      </c>
      <c r="F216" s="45" t="s">
        <v>2590</v>
      </c>
      <c r="G216" s="45" t="s">
        <v>1311</v>
      </c>
    </row>
    <row r="217" spans="1:7" ht="13.5" customHeight="1" x14ac:dyDescent="0.35">
      <c r="A217" s="47">
        <v>43773</v>
      </c>
      <c r="B217" s="45" t="s">
        <v>2591</v>
      </c>
      <c r="C217" s="426" t="s">
        <v>1274</v>
      </c>
      <c r="D217" s="45" t="s">
        <v>162</v>
      </c>
      <c r="E217" s="53">
        <v>75</v>
      </c>
      <c r="F217" s="45" t="s">
        <v>2590</v>
      </c>
      <c r="G217" s="45" t="s">
        <v>1311</v>
      </c>
    </row>
    <row r="218" spans="1:7" ht="13.5" customHeight="1" x14ac:dyDescent="0.35">
      <c r="A218" s="47">
        <v>43773</v>
      </c>
      <c r="B218" s="45" t="s">
        <v>2592</v>
      </c>
      <c r="C218" s="426" t="s">
        <v>2517</v>
      </c>
      <c r="D218" s="45" t="s">
        <v>159</v>
      </c>
      <c r="E218" s="53">
        <v>50</v>
      </c>
      <c r="F218" s="45" t="s">
        <v>734</v>
      </c>
      <c r="G218" s="45" t="s">
        <v>175</v>
      </c>
    </row>
    <row r="219" spans="1:7" ht="13.5" customHeight="1" x14ac:dyDescent="0.35">
      <c r="A219" s="47">
        <v>43773</v>
      </c>
      <c r="B219" s="45" t="s">
        <v>2593</v>
      </c>
      <c r="C219" s="426" t="s">
        <v>28</v>
      </c>
      <c r="D219" s="45" t="s">
        <v>160</v>
      </c>
      <c r="E219" s="53">
        <v>50</v>
      </c>
      <c r="F219" s="45" t="s">
        <v>1775</v>
      </c>
      <c r="G219" s="45" t="s">
        <v>1311</v>
      </c>
    </row>
    <row r="220" spans="1:7" ht="13.5" customHeight="1" x14ac:dyDescent="0.35">
      <c r="A220" s="47">
        <v>43772</v>
      </c>
      <c r="B220" s="45" t="s">
        <v>2594</v>
      </c>
      <c r="C220" s="426" t="s">
        <v>28</v>
      </c>
      <c r="D220" s="45" t="s">
        <v>159</v>
      </c>
      <c r="E220" s="53">
        <v>30</v>
      </c>
      <c r="F220" s="45" t="s">
        <v>1236</v>
      </c>
      <c r="G220" s="45" t="s">
        <v>174</v>
      </c>
    </row>
    <row r="221" spans="1:7" ht="13.5" customHeight="1" x14ac:dyDescent="0.35">
      <c r="A221" s="47">
        <v>43772</v>
      </c>
      <c r="B221" s="45" t="s">
        <v>1187</v>
      </c>
      <c r="C221" s="426" t="s">
        <v>1274</v>
      </c>
      <c r="D221" s="45" t="s">
        <v>164</v>
      </c>
      <c r="E221" s="53">
        <v>10</v>
      </c>
      <c r="F221" s="45" t="s">
        <v>324</v>
      </c>
      <c r="G221" s="45" t="s">
        <v>174</v>
      </c>
    </row>
    <row r="222" spans="1:7" ht="13.5" customHeight="1" x14ac:dyDescent="0.35">
      <c r="A222" s="47">
        <v>43772</v>
      </c>
      <c r="B222" s="45" t="s">
        <v>2231</v>
      </c>
      <c r="C222" s="426" t="s">
        <v>1274</v>
      </c>
      <c r="D222" s="45" t="s">
        <v>159</v>
      </c>
      <c r="E222" s="53">
        <v>10</v>
      </c>
      <c r="F222" s="45" t="s">
        <v>324</v>
      </c>
      <c r="G222" s="45" t="s">
        <v>174</v>
      </c>
    </row>
    <row r="223" spans="1:7" ht="13.5" customHeight="1" x14ac:dyDescent="0.35">
      <c r="A223" s="47">
        <v>43770</v>
      </c>
      <c r="B223" s="45" t="s">
        <v>2556</v>
      </c>
      <c r="C223" s="426" t="s">
        <v>1274</v>
      </c>
      <c r="D223" s="45" t="s">
        <v>160</v>
      </c>
      <c r="E223" s="53">
        <v>10</v>
      </c>
      <c r="F223" s="45" t="s">
        <v>324</v>
      </c>
      <c r="G223" s="45" t="s">
        <v>174</v>
      </c>
    </row>
    <row r="224" spans="1:7" ht="13.5" customHeight="1" x14ac:dyDescent="0.35">
      <c r="A224" s="47">
        <v>43770</v>
      </c>
      <c r="B224" s="45" t="s">
        <v>2595</v>
      </c>
      <c r="C224" s="426" t="s">
        <v>1276</v>
      </c>
      <c r="D224" s="426" t="s">
        <v>161</v>
      </c>
      <c r="E224" s="567">
        <v>1010</v>
      </c>
      <c r="F224" s="426" t="s">
        <v>1078</v>
      </c>
      <c r="G224" s="45" t="s">
        <v>175</v>
      </c>
    </row>
    <row r="225" spans="1:7" ht="13.5" customHeight="1" x14ac:dyDescent="0.35">
      <c r="A225" s="47">
        <v>43770</v>
      </c>
      <c r="B225" s="45" t="s">
        <v>2596</v>
      </c>
      <c r="C225" s="426" t="s">
        <v>1278</v>
      </c>
      <c r="D225" s="426" t="s">
        <v>161</v>
      </c>
      <c r="E225" s="567">
        <v>60</v>
      </c>
      <c r="F225" s="426" t="s">
        <v>292</v>
      </c>
      <c r="G225" s="45" t="s">
        <v>175</v>
      </c>
    </row>
    <row r="226" spans="1:7" ht="13.5" customHeight="1" x14ac:dyDescent="0.35">
      <c r="A226" s="47"/>
      <c r="B226" s="45"/>
      <c r="D226" s="45"/>
      <c r="E226" s="53"/>
      <c r="F226" s="45"/>
      <c r="G226" s="45"/>
    </row>
    <row r="227" spans="1:7" ht="13.5" customHeight="1" x14ac:dyDescent="0.35">
      <c r="A227" s="47">
        <v>43768</v>
      </c>
      <c r="B227" s="45" t="s">
        <v>2597</v>
      </c>
      <c r="C227" s="426" t="s">
        <v>1274</v>
      </c>
      <c r="D227" s="45" t="s">
        <v>159</v>
      </c>
      <c r="E227" s="53">
        <v>10</v>
      </c>
      <c r="F227" s="45" t="s">
        <v>324</v>
      </c>
      <c r="G227" s="45" t="s">
        <v>174</v>
      </c>
    </row>
    <row r="228" spans="1:7" ht="13.5" customHeight="1" x14ac:dyDescent="0.35">
      <c r="A228" s="47">
        <v>43767</v>
      </c>
      <c r="B228" s="45" t="s">
        <v>2255</v>
      </c>
      <c r="C228" s="426" t="s">
        <v>28</v>
      </c>
      <c r="D228" s="45" t="s">
        <v>159</v>
      </c>
      <c r="E228" s="53">
        <v>99</v>
      </c>
      <c r="F228" s="45" t="s">
        <v>2598</v>
      </c>
      <c r="G228" s="45" t="s">
        <v>174</v>
      </c>
    </row>
    <row r="229" spans="1:7" ht="13.5" customHeight="1" x14ac:dyDescent="0.35">
      <c r="A229" s="47">
        <v>43762</v>
      </c>
      <c r="B229" s="45" t="s">
        <v>1643</v>
      </c>
      <c r="C229" s="426" t="s">
        <v>1278</v>
      </c>
      <c r="D229" s="45" t="s">
        <v>159</v>
      </c>
      <c r="E229" s="53">
        <v>200</v>
      </c>
      <c r="F229" s="45" t="s">
        <v>1134</v>
      </c>
      <c r="G229" s="45" t="s">
        <v>174</v>
      </c>
    </row>
    <row r="230" spans="1:7" ht="13.5" customHeight="1" x14ac:dyDescent="0.35">
      <c r="A230" s="47">
        <v>43757</v>
      </c>
      <c r="B230" s="45" t="s">
        <v>2505</v>
      </c>
      <c r="C230" s="426" t="s">
        <v>28</v>
      </c>
      <c r="D230" s="45" t="s">
        <v>159</v>
      </c>
      <c r="E230" s="53">
        <v>250</v>
      </c>
      <c r="F230" s="45" t="s">
        <v>2599</v>
      </c>
      <c r="G230" s="45" t="s">
        <v>175</v>
      </c>
    </row>
    <row r="231" spans="1:7" ht="13.5" customHeight="1" x14ac:dyDescent="0.35">
      <c r="A231" s="47">
        <v>43757</v>
      </c>
      <c r="B231" s="45" t="s">
        <v>2600</v>
      </c>
      <c r="C231" s="426" t="s">
        <v>28</v>
      </c>
      <c r="D231" s="45" t="s">
        <v>159</v>
      </c>
      <c r="E231" s="53">
        <v>30</v>
      </c>
      <c r="F231" s="45" t="s">
        <v>1236</v>
      </c>
      <c r="G231" s="45" t="s">
        <v>174</v>
      </c>
    </row>
    <row r="232" spans="1:7" ht="13.5" customHeight="1" x14ac:dyDescent="0.35">
      <c r="A232" s="47">
        <v>43755</v>
      </c>
      <c r="B232" s="45" t="s">
        <v>2601</v>
      </c>
      <c r="C232" s="426" t="s">
        <v>1274</v>
      </c>
      <c r="D232" s="45" t="s">
        <v>159</v>
      </c>
      <c r="E232" s="53">
        <v>150</v>
      </c>
      <c r="F232" s="45" t="s">
        <v>2602</v>
      </c>
      <c r="G232" s="45" t="s">
        <v>179</v>
      </c>
    </row>
    <row r="233" spans="1:7" ht="13.5" customHeight="1" x14ac:dyDescent="0.35">
      <c r="A233" s="47">
        <v>43754</v>
      </c>
      <c r="B233" s="45" t="s">
        <v>2603</v>
      </c>
      <c r="C233" s="426" t="s">
        <v>1274</v>
      </c>
      <c r="D233" s="45" t="s">
        <v>160</v>
      </c>
      <c r="E233" s="53">
        <v>100</v>
      </c>
      <c r="F233" s="45" t="s">
        <v>2602</v>
      </c>
      <c r="G233" s="45" t="s">
        <v>175</v>
      </c>
    </row>
    <row r="234" spans="1:7" ht="13.5" customHeight="1" x14ac:dyDescent="0.35">
      <c r="A234" s="47">
        <v>43749</v>
      </c>
      <c r="B234" s="45" t="s">
        <v>2604</v>
      </c>
      <c r="C234" s="426" t="s">
        <v>1274</v>
      </c>
      <c r="D234" s="45" t="s">
        <v>159</v>
      </c>
      <c r="E234" s="53">
        <v>150</v>
      </c>
      <c r="F234" s="45" t="s">
        <v>2602</v>
      </c>
      <c r="G234" s="45" t="s">
        <v>179</v>
      </c>
    </row>
    <row r="235" spans="1:7" ht="13.5" customHeight="1" x14ac:dyDescent="0.35">
      <c r="A235" s="47">
        <v>43749</v>
      </c>
      <c r="B235" s="45" t="s">
        <v>2399</v>
      </c>
      <c r="C235" s="426" t="s">
        <v>1274</v>
      </c>
      <c r="D235" s="45" t="s">
        <v>159</v>
      </c>
      <c r="E235" s="53">
        <v>995</v>
      </c>
      <c r="F235" s="45" t="s">
        <v>2526</v>
      </c>
      <c r="G235" s="45" t="s">
        <v>175</v>
      </c>
    </row>
    <row r="236" spans="1:7" ht="13.5" customHeight="1" x14ac:dyDescent="0.35">
      <c r="A236" s="47">
        <v>43747</v>
      </c>
      <c r="B236" s="45" t="s">
        <v>346</v>
      </c>
      <c r="C236" s="426" t="s">
        <v>1274</v>
      </c>
      <c r="D236" s="45" t="s">
        <v>159</v>
      </c>
      <c r="E236" s="53">
        <v>99</v>
      </c>
      <c r="F236" s="45" t="s">
        <v>2602</v>
      </c>
      <c r="G236" s="45" t="s">
        <v>175</v>
      </c>
    </row>
    <row r="237" spans="1:7" ht="13.5" customHeight="1" x14ac:dyDescent="0.35">
      <c r="A237" s="47">
        <v>43747</v>
      </c>
      <c r="B237" s="45" t="s">
        <v>2605</v>
      </c>
      <c r="C237" s="426" t="s">
        <v>2520</v>
      </c>
      <c r="D237" s="45" t="s">
        <v>159</v>
      </c>
      <c r="E237" s="53">
        <v>4.5</v>
      </c>
      <c r="F237" s="45" t="s">
        <v>1254</v>
      </c>
      <c r="G237" s="45" t="s">
        <v>175</v>
      </c>
    </row>
    <row r="238" spans="1:7" ht="13.5" customHeight="1" x14ac:dyDescent="0.35">
      <c r="A238" s="47">
        <v>43747</v>
      </c>
      <c r="B238" s="45" t="s">
        <v>2137</v>
      </c>
      <c r="C238" s="426" t="s">
        <v>2520</v>
      </c>
      <c r="D238" s="45" t="s">
        <v>159</v>
      </c>
      <c r="E238" s="53">
        <v>2.1</v>
      </c>
      <c r="F238" s="45" t="s">
        <v>1254</v>
      </c>
      <c r="G238" s="45" t="s">
        <v>175</v>
      </c>
    </row>
    <row r="239" spans="1:7" ht="13.5" customHeight="1" x14ac:dyDescent="0.35">
      <c r="A239" s="47">
        <v>43745</v>
      </c>
      <c r="B239" s="45" t="s">
        <v>276</v>
      </c>
      <c r="C239" s="426" t="s">
        <v>1279</v>
      </c>
      <c r="D239" s="45" t="s">
        <v>160</v>
      </c>
      <c r="E239" s="53">
        <v>360</v>
      </c>
      <c r="F239" s="45" t="s">
        <v>1984</v>
      </c>
      <c r="G239" s="45" t="s">
        <v>175</v>
      </c>
    </row>
    <row r="240" spans="1:7" ht="13.5" customHeight="1" x14ac:dyDescent="0.35">
      <c r="A240" s="47">
        <v>43745</v>
      </c>
      <c r="B240" s="45" t="s">
        <v>676</v>
      </c>
      <c r="C240" s="426" t="s">
        <v>1274</v>
      </c>
      <c r="D240" s="45" t="s">
        <v>159</v>
      </c>
      <c r="E240" s="53">
        <v>50</v>
      </c>
      <c r="F240" s="45" t="s">
        <v>2488</v>
      </c>
      <c r="G240" s="45" t="s">
        <v>175</v>
      </c>
    </row>
    <row r="241" spans="1:7" ht="13.5" customHeight="1" x14ac:dyDescent="0.35">
      <c r="A241" s="47">
        <v>43742</v>
      </c>
      <c r="B241" s="45" t="s">
        <v>2606</v>
      </c>
      <c r="C241" s="426" t="s">
        <v>1274</v>
      </c>
      <c r="D241" s="45" t="s">
        <v>159</v>
      </c>
      <c r="E241" s="53">
        <v>150</v>
      </c>
      <c r="F241" s="45" t="s">
        <v>2602</v>
      </c>
      <c r="G241" s="45" t="s">
        <v>179</v>
      </c>
    </row>
    <row r="242" spans="1:7" ht="13.5" customHeight="1" x14ac:dyDescent="0.35">
      <c r="A242" s="47">
        <v>43744</v>
      </c>
      <c r="B242" s="45" t="s">
        <v>2607</v>
      </c>
      <c r="C242" s="426" t="s">
        <v>1274</v>
      </c>
      <c r="D242" s="45" t="s">
        <v>160</v>
      </c>
      <c r="E242" s="53">
        <v>99</v>
      </c>
      <c r="F242" s="45" t="s">
        <v>2602</v>
      </c>
      <c r="G242" s="45" t="s">
        <v>177</v>
      </c>
    </row>
    <row r="243" spans="1:7" ht="13.5" customHeight="1" x14ac:dyDescent="0.35">
      <c r="A243" s="47">
        <v>43742</v>
      </c>
      <c r="B243" s="45" t="s">
        <v>2608</v>
      </c>
      <c r="C243" s="426" t="s">
        <v>2518</v>
      </c>
      <c r="D243" s="45" t="s">
        <v>162</v>
      </c>
      <c r="E243" s="53">
        <v>657.48</v>
      </c>
      <c r="F243" s="45" t="s">
        <v>2609</v>
      </c>
      <c r="G243" s="45" t="s">
        <v>175</v>
      </c>
    </row>
    <row r="244" spans="1:7" ht="13.5" customHeight="1" x14ac:dyDescent="0.35">
      <c r="A244" s="47">
        <v>43740</v>
      </c>
      <c r="B244" s="45" t="s">
        <v>2544</v>
      </c>
      <c r="C244" s="426" t="s">
        <v>28</v>
      </c>
      <c r="D244" s="45" t="s">
        <v>159</v>
      </c>
      <c r="E244" s="53">
        <v>250</v>
      </c>
      <c r="F244" s="45" t="s">
        <v>2599</v>
      </c>
      <c r="G244" s="45" t="s">
        <v>175</v>
      </c>
    </row>
    <row r="245" spans="1:7" ht="13.5" customHeight="1" x14ac:dyDescent="0.35">
      <c r="A245" s="47">
        <v>43740</v>
      </c>
      <c r="B245" s="45" t="s">
        <v>2610</v>
      </c>
      <c r="C245" s="426" t="s">
        <v>1274</v>
      </c>
      <c r="D245" s="45" t="s">
        <v>159</v>
      </c>
      <c r="E245" s="53">
        <v>150</v>
      </c>
      <c r="F245" s="45" t="s">
        <v>2602</v>
      </c>
      <c r="G245" s="45" t="s">
        <v>175</v>
      </c>
    </row>
    <row r="246" spans="1:7" ht="13.5" customHeight="1" x14ac:dyDescent="0.35">
      <c r="A246" s="47">
        <v>43739</v>
      </c>
      <c r="B246" s="45" t="s">
        <v>2611</v>
      </c>
      <c r="C246" s="426" t="s">
        <v>1276</v>
      </c>
      <c r="D246" s="426" t="s">
        <v>161</v>
      </c>
      <c r="E246" s="567">
        <v>707.5</v>
      </c>
      <c r="F246" s="426" t="s">
        <v>1078</v>
      </c>
      <c r="G246" s="45" t="s">
        <v>175</v>
      </c>
    </row>
    <row r="247" spans="1:7" ht="13.5" customHeight="1" x14ac:dyDescent="0.35">
      <c r="A247" s="47">
        <v>43739</v>
      </c>
      <c r="B247" s="45" t="s">
        <v>2612</v>
      </c>
      <c r="C247" s="426" t="s">
        <v>1278</v>
      </c>
      <c r="D247" s="426" t="s">
        <v>161</v>
      </c>
      <c r="E247" s="567">
        <v>60</v>
      </c>
      <c r="F247" s="426" t="s">
        <v>292</v>
      </c>
      <c r="G247" s="45" t="s">
        <v>175</v>
      </c>
    </row>
    <row r="248" spans="1:7" ht="13.5" customHeight="1" x14ac:dyDescent="0.35">
      <c r="A248" s="482"/>
      <c r="B248" s="45"/>
      <c r="D248" s="45"/>
      <c r="E248" s="53"/>
      <c r="F248" s="45"/>
      <c r="G248" s="45"/>
    </row>
    <row r="249" spans="1:7" ht="13.5" customHeight="1" x14ac:dyDescent="0.35">
      <c r="A249" s="482"/>
      <c r="B249" s="45"/>
      <c r="D249" s="45"/>
      <c r="E249" s="53"/>
      <c r="F249" s="45"/>
      <c r="G249" s="45"/>
    </row>
    <row r="250" spans="1:7" ht="13.5" customHeight="1" x14ac:dyDescent="0.35">
      <c r="A250" s="47">
        <v>43738</v>
      </c>
      <c r="B250" s="45" t="s">
        <v>2613</v>
      </c>
      <c r="C250" s="426" t="s">
        <v>28</v>
      </c>
      <c r="D250" s="45" t="s">
        <v>159</v>
      </c>
      <c r="E250" s="53">
        <v>140</v>
      </c>
      <c r="F250" s="45" t="s">
        <v>2614</v>
      </c>
      <c r="G250" s="45" t="s">
        <v>175</v>
      </c>
    </row>
    <row r="251" spans="1:7" ht="13.5" customHeight="1" x14ac:dyDescent="0.35">
      <c r="A251" s="47">
        <v>43738</v>
      </c>
      <c r="B251" s="45" t="s">
        <v>2615</v>
      </c>
      <c r="C251" s="426" t="s">
        <v>1274</v>
      </c>
      <c r="D251" s="45" t="s">
        <v>159</v>
      </c>
      <c r="E251" s="53">
        <v>150</v>
      </c>
      <c r="F251" s="45" t="s">
        <v>2162</v>
      </c>
      <c r="G251" s="45" t="s">
        <v>175</v>
      </c>
    </row>
    <row r="252" spans="1:7" ht="13.5" customHeight="1" x14ac:dyDescent="0.35">
      <c r="A252" s="47">
        <v>43738</v>
      </c>
      <c r="B252" s="45" t="s">
        <v>2616</v>
      </c>
      <c r="C252" s="426" t="s">
        <v>1274</v>
      </c>
      <c r="D252" s="45" t="s">
        <v>159</v>
      </c>
      <c r="E252" s="53">
        <v>425</v>
      </c>
      <c r="F252" s="45" t="s">
        <v>2617</v>
      </c>
      <c r="G252" s="45" t="s">
        <v>175</v>
      </c>
    </row>
    <row r="253" spans="1:7" ht="13.5" customHeight="1" x14ac:dyDescent="0.35">
      <c r="A253" s="47">
        <v>43738</v>
      </c>
      <c r="B253" s="45" t="s">
        <v>2616</v>
      </c>
      <c r="C253" s="426" t="s">
        <v>2517</v>
      </c>
      <c r="D253" s="45" t="s">
        <v>159</v>
      </c>
      <c r="E253" s="53">
        <v>-425</v>
      </c>
      <c r="F253" s="45" t="s">
        <v>2618</v>
      </c>
      <c r="G253" s="45" t="s">
        <v>175</v>
      </c>
    </row>
    <row r="254" spans="1:7" ht="13.5" customHeight="1" x14ac:dyDescent="0.35">
      <c r="A254" s="47">
        <v>43734</v>
      </c>
      <c r="B254" s="45" t="s">
        <v>2619</v>
      </c>
      <c r="C254" s="426" t="s">
        <v>1279</v>
      </c>
      <c r="D254" s="45" t="s">
        <v>164</v>
      </c>
      <c r="E254" s="53">
        <v>200</v>
      </c>
      <c r="F254" s="45" t="s">
        <v>2620</v>
      </c>
      <c r="G254" s="45" t="s">
        <v>175</v>
      </c>
    </row>
    <row r="255" spans="1:7" ht="13.5" customHeight="1" x14ac:dyDescent="0.35">
      <c r="A255" s="47">
        <v>43737</v>
      </c>
      <c r="B255" s="45" t="s">
        <v>2621</v>
      </c>
      <c r="C255" s="426" t="s">
        <v>1279</v>
      </c>
      <c r="D255" s="45" t="s">
        <v>159</v>
      </c>
      <c r="E255" s="53">
        <v>360</v>
      </c>
      <c r="F255" s="45" t="s">
        <v>1984</v>
      </c>
      <c r="G255" s="45" t="s">
        <v>175</v>
      </c>
    </row>
    <row r="256" spans="1:7" ht="13.5" customHeight="1" x14ac:dyDescent="0.35">
      <c r="A256" s="47">
        <v>43734</v>
      </c>
      <c r="B256" s="45" t="s">
        <v>345</v>
      </c>
      <c r="C256" s="426" t="s">
        <v>1274</v>
      </c>
      <c r="D256" s="45" t="s">
        <v>160</v>
      </c>
      <c r="E256" s="53">
        <v>10</v>
      </c>
      <c r="F256" s="45" t="s">
        <v>324</v>
      </c>
      <c r="G256" s="45" t="s">
        <v>175</v>
      </c>
    </row>
    <row r="257" spans="1:7" ht="13.5" customHeight="1" x14ac:dyDescent="0.35">
      <c r="A257" s="47">
        <v>43736</v>
      </c>
      <c r="B257" s="45" t="s">
        <v>2622</v>
      </c>
      <c r="C257" s="426" t="s">
        <v>1274</v>
      </c>
      <c r="D257" s="45" t="s">
        <v>160</v>
      </c>
      <c r="E257" s="53">
        <v>75</v>
      </c>
      <c r="F257" s="45" t="s">
        <v>1020</v>
      </c>
      <c r="G257" s="45" t="s">
        <v>175</v>
      </c>
    </row>
    <row r="258" spans="1:7" ht="13.5" customHeight="1" x14ac:dyDescent="0.35">
      <c r="A258" s="47">
        <v>43736</v>
      </c>
      <c r="B258" s="45" t="s">
        <v>2623</v>
      </c>
      <c r="C258" s="426" t="s">
        <v>1274</v>
      </c>
      <c r="D258" s="45" t="s">
        <v>160</v>
      </c>
      <c r="E258" s="53">
        <v>75</v>
      </c>
      <c r="F258" s="45" t="s">
        <v>1020</v>
      </c>
      <c r="G258" s="45" t="s">
        <v>175</v>
      </c>
    </row>
    <row r="259" spans="1:7" ht="13.5" customHeight="1" x14ac:dyDescent="0.35">
      <c r="A259" s="47">
        <v>43736</v>
      </c>
      <c r="B259" s="45" t="s">
        <v>2624</v>
      </c>
      <c r="C259" s="426" t="s">
        <v>1274</v>
      </c>
      <c r="D259" s="45" t="s">
        <v>160</v>
      </c>
      <c r="E259" s="53">
        <v>75</v>
      </c>
      <c r="F259" s="45" t="s">
        <v>1020</v>
      </c>
      <c r="G259" s="45" t="s">
        <v>175</v>
      </c>
    </row>
    <row r="260" spans="1:7" ht="13.5" customHeight="1" x14ac:dyDescent="0.35">
      <c r="A260" s="47">
        <v>43730</v>
      </c>
      <c r="B260" s="45" t="s">
        <v>89</v>
      </c>
      <c r="C260" s="426" t="s">
        <v>2518</v>
      </c>
      <c r="D260" s="45" t="s">
        <v>160</v>
      </c>
      <c r="E260" s="53">
        <f>133.59+41.3</f>
        <v>174.89</v>
      </c>
      <c r="F260" s="45" t="s">
        <v>1026</v>
      </c>
      <c r="G260" s="45" t="s">
        <v>175</v>
      </c>
    </row>
    <row r="261" spans="1:7" ht="13.5" customHeight="1" x14ac:dyDescent="0.35">
      <c r="A261" s="47">
        <v>43727</v>
      </c>
      <c r="B261" s="45" t="s">
        <v>1187</v>
      </c>
      <c r="C261" s="426" t="s">
        <v>28</v>
      </c>
      <c r="D261" s="45" t="s">
        <v>166</v>
      </c>
      <c r="E261" s="776">
        <v>335.75</v>
      </c>
      <c r="F261" s="295" t="s">
        <v>1058</v>
      </c>
      <c r="G261" s="45" t="s">
        <v>175</v>
      </c>
    </row>
    <row r="262" spans="1:7" ht="13.5" customHeight="1" x14ac:dyDescent="0.35">
      <c r="A262" s="47">
        <v>43727</v>
      </c>
      <c r="B262" s="45" t="s">
        <v>1187</v>
      </c>
      <c r="C262" s="426" t="s">
        <v>1277</v>
      </c>
      <c r="D262" s="45" t="s">
        <v>166</v>
      </c>
      <c r="E262" s="777">
        <v>-335.75</v>
      </c>
      <c r="F262" s="295" t="s">
        <v>1058</v>
      </c>
      <c r="G262" s="45" t="s">
        <v>175</v>
      </c>
    </row>
    <row r="263" spans="1:7" ht="13.5" customHeight="1" x14ac:dyDescent="0.35">
      <c r="A263" s="47">
        <v>43725</v>
      </c>
      <c r="B263" s="45" t="s">
        <v>2625</v>
      </c>
      <c r="C263" s="426" t="s">
        <v>1279</v>
      </c>
      <c r="D263" s="45" t="s">
        <v>159</v>
      </c>
      <c r="E263" s="53">
        <v>360</v>
      </c>
      <c r="F263" s="45" t="s">
        <v>1984</v>
      </c>
      <c r="G263" s="45" t="s">
        <v>174</v>
      </c>
    </row>
    <row r="264" spans="1:7" ht="13.5" customHeight="1" x14ac:dyDescent="0.35">
      <c r="A264" s="47">
        <v>43720</v>
      </c>
      <c r="B264" s="45" t="s">
        <v>732</v>
      </c>
      <c r="C264" s="426" t="s">
        <v>28</v>
      </c>
      <c r="D264" s="45" t="s">
        <v>159</v>
      </c>
      <c r="E264" s="53">
        <v>495</v>
      </c>
      <c r="F264" s="45" t="s">
        <v>2626</v>
      </c>
      <c r="G264" s="45" t="s">
        <v>175</v>
      </c>
    </row>
    <row r="265" spans="1:7" ht="13.5" customHeight="1" x14ac:dyDescent="0.35">
      <c r="A265" s="47">
        <v>43719</v>
      </c>
      <c r="B265" s="45" t="s">
        <v>2627</v>
      </c>
      <c r="C265" s="426" t="s">
        <v>28</v>
      </c>
      <c r="D265" s="45" t="s">
        <v>159</v>
      </c>
      <c r="E265" s="53">
        <v>250</v>
      </c>
      <c r="F265" s="45" t="s">
        <v>1025</v>
      </c>
      <c r="G265" s="45" t="s">
        <v>174</v>
      </c>
    </row>
    <row r="266" spans="1:7" ht="13.5" customHeight="1" x14ac:dyDescent="0.35">
      <c r="A266" s="47">
        <v>43719</v>
      </c>
      <c r="B266" s="45" t="s">
        <v>2628</v>
      </c>
      <c r="C266" s="426" t="s">
        <v>2517</v>
      </c>
      <c r="D266" s="45" t="s">
        <v>159</v>
      </c>
      <c r="E266" s="53">
        <v>250</v>
      </c>
      <c r="F266" s="45" t="s">
        <v>734</v>
      </c>
      <c r="G266" s="45" t="s">
        <v>174</v>
      </c>
    </row>
    <row r="267" spans="1:7" ht="13.5" customHeight="1" x14ac:dyDescent="0.35">
      <c r="A267" s="47">
        <v>43718</v>
      </c>
      <c r="B267" s="45" t="s">
        <v>2153</v>
      </c>
      <c r="C267" s="426" t="s">
        <v>1274</v>
      </c>
      <c r="D267" s="45" t="s">
        <v>166</v>
      </c>
      <c r="E267" s="776">
        <v>150</v>
      </c>
      <c r="F267" s="295" t="s">
        <v>2629</v>
      </c>
      <c r="G267" s="45" t="s">
        <v>175</v>
      </c>
    </row>
    <row r="268" spans="1:7" ht="13.5" customHeight="1" x14ac:dyDescent="0.35">
      <c r="A268" s="47">
        <v>43718</v>
      </c>
      <c r="B268" s="45" t="s">
        <v>2153</v>
      </c>
      <c r="C268" s="426" t="s">
        <v>1277</v>
      </c>
      <c r="D268" s="45" t="s">
        <v>166</v>
      </c>
      <c r="E268" s="777">
        <v>-150</v>
      </c>
      <c r="F268" s="295" t="s">
        <v>2629</v>
      </c>
      <c r="G268" s="45" t="s">
        <v>175</v>
      </c>
    </row>
    <row r="269" spans="1:7" ht="13.5" customHeight="1" x14ac:dyDescent="0.35">
      <c r="A269" s="47">
        <v>43717</v>
      </c>
      <c r="B269" s="45" t="s">
        <v>2433</v>
      </c>
      <c r="C269" s="426" t="s">
        <v>1279</v>
      </c>
      <c r="D269" s="45" t="s">
        <v>159</v>
      </c>
      <c r="E269" s="53">
        <v>310</v>
      </c>
      <c r="F269" s="45" t="s">
        <v>1984</v>
      </c>
      <c r="G269" s="45" t="s">
        <v>174</v>
      </c>
    </row>
    <row r="270" spans="1:7" ht="13.5" customHeight="1" x14ac:dyDescent="0.35">
      <c r="A270" s="47">
        <v>43716</v>
      </c>
      <c r="B270" s="45" t="s">
        <v>2630</v>
      </c>
      <c r="C270" s="426" t="s">
        <v>1274</v>
      </c>
      <c r="D270" s="45" t="s">
        <v>159</v>
      </c>
      <c r="E270" s="53">
        <v>160</v>
      </c>
      <c r="F270" s="45" t="s">
        <v>2631</v>
      </c>
      <c r="G270" s="45" t="s">
        <v>174</v>
      </c>
    </row>
    <row r="271" spans="1:7" ht="13.5" customHeight="1" x14ac:dyDescent="0.35">
      <c r="A271" s="47">
        <v>43716</v>
      </c>
      <c r="B271" s="45" t="s">
        <v>967</v>
      </c>
      <c r="C271" s="426" t="s">
        <v>28</v>
      </c>
      <c r="D271" s="45" t="s">
        <v>159</v>
      </c>
      <c r="E271" s="53">
        <v>120</v>
      </c>
      <c r="F271" s="45" t="s">
        <v>2632</v>
      </c>
      <c r="G271" s="45" t="s">
        <v>175</v>
      </c>
    </row>
    <row r="272" spans="1:7" ht="13.5" customHeight="1" x14ac:dyDescent="0.35">
      <c r="A272" s="47">
        <v>43715</v>
      </c>
      <c r="B272" s="45" t="s">
        <v>2633</v>
      </c>
      <c r="C272" s="426" t="s">
        <v>2517</v>
      </c>
      <c r="D272" s="45" t="s">
        <v>159</v>
      </c>
      <c r="E272" s="53">
        <v>425</v>
      </c>
      <c r="F272" s="45" t="s">
        <v>734</v>
      </c>
      <c r="G272" s="45" t="s">
        <v>174</v>
      </c>
    </row>
    <row r="273" spans="1:7" ht="13.5" customHeight="1" x14ac:dyDescent="0.35">
      <c r="A273" s="47">
        <v>43713</v>
      </c>
      <c r="B273" s="45" t="s">
        <v>2538</v>
      </c>
      <c r="C273" s="426" t="s">
        <v>28</v>
      </c>
      <c r="D273" s="45" t="s">
        <v>159</v>
      </c>
      <c r="E273" s="53">
        <v>200</v>
      </c>
      <c r="F273" s="45" t="s">
        <v>2634</v>
      </c>
      <c r="G273" s="45" t="s">
        <v>174</v>
      </c>
    </row>
    <row r="274" spans="1:7" ht="13.5" customHeight="1" x14ac:dyDescent="0.35">
      <c r="A274" s="47">
        <v>43712</v>
      </c>
      <c r="B274" s="45" t="s">
        <v>2635</v>
      </c>
      <c r="C274" s="426" t="s">
        <v>1274</v>
      </c>
      <c r="D274" s="45" t="s">
        <v>159</v>
      </c>
      <c r="E274" s="53">
        <v>150</v>
      </c>
      <c r="F274" s="45" t="s">
        <v>2629</v>
      </c>
      <c r="G274" s="45" t="s">
        <v>175</v>
      </c>
    </row>
    <row r="275" spans="1:7" ht="13.5" customHeight="1" x14ac:dyDescent="0.35">
      <c r="A275" s="47">
        <v>43710</v>
      </c>
      <c r="B275" s="45" t="s">
        <v>2544</v>
      </c>
      <c r="C275" s="426" t="s">
        <v>28</v>
      </c>
      <c r="D275" s="45" t="s">
        <v>159</v>
      </c>
      <c r="E275" s="53">
        <v>250</v>
      </c>
      <c r="F275" s="45" t="s">
        <v>1025</v>
      </c>
      <c r="G275" s="45" t="s">
        <v>174</v>
      </c>
    </row>
    <row r="276" spans="1:7" ht="13.5" customHeight="1" x14ac:dyDescent="0.35">
      <c r="A276" s="47">
        <v>43709</v>
      </c>
      <c r="B276" s="45" t="s">
        <v>2636</v>
      </c>
      <c r="C276" s="426" t="s">
        <v>1279</v>
      </c>
      <c r="D276" s="45" t="s">
        <v>159</v>
      </c>
      <c r="E276" s="53">
        <v>360</v>
      </c>
      <c r="F276" s="45" t="s">
        <v>1984</v>
      </c>
      <c r="G276" s="45" t="s">
        <v>174</v>
      </c>
    </row>
    <row r="277" spans="1:7" ht="13.5" customHeight="1" x14ac:dyDescent="0.35">
      <c r="A277" s="47">
        <v>43709</v>
      </c>
      <c r="B277" s="45" t="s">
        <v>2235</v>
      </c>
      <c r="C277" s="426" t="s">
        <v>1276</v>
      </c>
      <c r="D277" s="45" t="s">
        <v>162</v>
      </c>
      <c r="E277" s="53">
        <v>697</v>
      </c>
      <c r="F277" s="45" t="s">
        <v>1078</v>
      </c>
      <c r="G277" s="45" t="s">
        <v>175</v>
      </c>
    </row>
    <row r="278" spans="1:7" ht="13.5" customHeight="1" x14ac:dyDescent="0.35">
      <c r="A278" s="47">
        <v>43709</v>
      </c>
      <c r="B278" s="45" t="s">
        <v>2637</v>
      </c>
      <c r="C278" s="426" t="s">
        <v>1276</v>
      </c>
      <c r="D278" s="426" t="s">
        <v>161</v>
      </c>
      <c r="E278" s="567">
        <v>707.5</v>
      </c>
      <c r="F278" s="426" t="s">
        <v>1078</v>
      </c>
      <c r="G278" s="45" t="s">
        <v>175</v>
      </c>
    </row>
    <row r="279" spans="1:7" ht="13.5" customHeight="1" x14ac:dyDescent="0.35">
      <c r="A279" s="47">
        <v>43709</v>
      </c>
      <c r="B279" s="45" t="s">
        <v>2638</v>
      </c>
      <c r="C279" s="426" t="s">
        <v>1278</v>
      </c>
      <c r="D279" s="426" t="s">
        <v>161</v>
      </c>
      <c r="E279" s="567">
        <v>40</v>
      </c>
      <c r="F279" s="426" t="s">
        <v>292</v>
      </c>
      <c r="G279" s="45" t="s">
        <v>175</v>
      </c>
    </row>
    <row r="280" spans="1:7" ht="13.5" customHeight="1" x14ac:dyDescent="0.35">
      <c r="A280" s="47"/>
      <c r="B280" s="45"/>
      <c r="E280" s="567"/>
    </row>
    <row r="281" spans="1:7" ht="13.5" customHeight="1" x14ac:dyDescent="0.35">
      <c r="A281" s="47"/>
      <c r="B281" s="45"/>
      <c r="C281" s="45"/>
      <c r="D281" s="45"/>
      <c r="E281" s="53"/>
      <c r="F281" s="45"/>
      <c r="G281" s="45"/>
    </row>
    <row r="282" spans="1:7" ht="13.5" customHeight="1" x14ac:dyDescent="0.35">
      <c r="A282" s="47">
        <v>43707</v>
      </c>
      <c r="B282" s="45" t="s">
        <v>1009</v>
      </c>
      <c r="C282" s="426" t="s">
        <v>1274</v>
      </c>
      <c r="D282" s="45" t="s">
        <v>166</v>
      </c>
      <c r="E282" s="776">
        <v>616.25</v>
      </c>
      <c r="F282" s="295" t="s">
        <v>2639</v>
      </c>
      <c r="G282" s="45" t="s">
        <v>175</v>
      </c>
    </row>
    <row r="283" spans="1:7" ht="13.5" customHeight="1" x14ac:dyDescent="0.35">
      <c r="A283" s="47">
        <v>43707</v>
      </c>
      <c r="B283" s="45" t="s">
        <v>1009</v>
      </c>
      <c r="C283" s="426" t="s">
        <v>1277</v>
      </c>
      <c r="D283" s="45" t="s">
        <v>166</v>
      </c>
      <c r="E283" s="777">
        <v>-616.25</v>
      </c>
      <c r="F283" s="295" t="s">
        <v>2639</v>
      </c>
      <c r="G283" s="45" t="s">
        <v>175</v>
      </c>
    </row>
    <row r="284" spans="1:7" ht="13.5" customHeight="1" x14ac:dyDescent="0.35">
      <c r="A284" s="47">
        <v>43707</v>
      </c>
      <c r="B284" s="45" t="s">
        <v>2640</v>
      </c>
      <c r="C284" s="426" t="s">
        <v>28</v>
      </c>
      <c r="D284" s="45" t="s">
        <v>160</v>
      </c>
      <c r="E284" s="53">
        <v>200</v>
      </c>
      <c r="F284" s="45" t="s">
        <v>1489</v>
      </c>
      <c r="G284" s="45" t="s">
        <v>175</v>
      </c>
    </row>
    <row r="285" spans="1:7" ht="13.5" customHeight="1" x14ac:dyDescent="0.35">
      <c r="A285" s="47">
        <v>43706</v>
      </c>
      <c r="B285" s="45" t="s">
        <v>2398</v>
      </c>
      <c r="C285" s="426" t="s">
        <v>28</v>
      </c>
      <c r="D285" s="45" t="s">
        <v>159</v>
      </c>
      <c r="E285" s="53">
        <v>250</v>
      </c>
      <c r="F285" s="45" t="s">
        <v>2641</v>
      </c>
      <c r="G285" s="45" t="s">
        <v>174</v>
      </c>
    </row>
    <row r="286" spans="1:7" ht="13.5" customHeight="1" x14ac:dyDescent="0.35">
      <c r="A286" s="47">
        <v>43705</v>
      </c>
      <c r="B286" s="45" t="s">
        <v>2642</v>
      </c>
      <c r="C286" s="426" t="s">
        <v>1279</v>
      </c>
      <c r="D286" s="45" t="s">
        <v>159</v>
      </c>
      <c r="E286" s="53">
        <v>360</v>
      </c>
      <c r="F286" s="45" t="s">
        <v>1984</v>
      </c>
      <c r="G286" s="45" t="s">
        <v>174</v>
      </c>
    </row>
    <row r="287" spans="1:7" ht="13.5" customHeight="1" x14ac:dyDescent="0.35">
      <c r="A287" s="47">
        <v>43703</v>
      </c>
      <c r="B287" s="45" t="s">
        <v>2643</v>
      </c>
      <c r="C287" s="426" t="s">
        <v>1274</v>
      </c>
      <c r="D287" s="45" t="s">
        <v>160</v>
      </c>
      <c r="E287" s="53">
        <v>10</v>
      </c>
      <c r="F287" s="45" t="s">
        <v>2644</v>
      </c>
      <c r="G287" s="45" t="s">
        <v>174</v>
      </c>
    </row>
    <row r="288" spans="1:7" ht="13.5" customHeight="1" x14ac:dyDescent="0.35">
      <c r="A288" s="47">
        <v>43703</v>
      </c>
      <c r="B288" s="45" t="s">
        <v>2645</v>
      </c>
      <c r="C288" s="426" t="s">
        <v>28</v>
      </c>
      <c r="D288" s="45" t="s">
        <v>159</v>
      </c>
      <c r="E288" s="53">
        <v>250</v>
      </c>
      <c r="F288" s="45" t="s">
        <v>2646</v>
      </c>
      <c r="G288" s="45" t="s">
        <v>174</v>
      </c>
    </row>
    <row r="289" spans="1:7" ht="13.5" customHeight="1" x14ac:dyDescent="0.35">
      <c r="A289" s="47">
        <v>43704</v>
      </c>
      <c r="B289" s="45" t="s">
        <v>2647</v>
      </c>
      <c r="C289" s="426" t="s">
        <v>2520</v>
      </c>
      <c r="D289" s="45" t="s">
        <v>160</v>
      </c>
      <c r="E289" s="53">
        <v>4.8899999999999997</v>
      </c>
      <c r="F289" s="45" t="s">
        <v>1419</v>
      </c>
      <c r="G289" s="45" t="s">
        <v>175</v>
      </c>
    </row>
    <row r="290" spans="1:7" ht="13.5" customHeight="1" x14ac:dyDescent="0.35">
      <c r="A290" s="47">
        <v>43702</v>
      </c>
      <c r="B290" s="45" t="s">
        <v>2647</v>
      </c>
      <c r="C290" s="426" t="s">
        <v>1274</v>
      </c>
      <c r="D290" s="45" t="s">
        <v>159</v>
      </c>
      <c r="E290" s="53">
        <v>425</v>
      </c>
      <c r="F290" s="45" t="s">
        <v>357</v>
      </c>
      <c r="G290" s="45" t="s">
        <v>174</v>
      </c>
    </row>
    <row r="291" spans="1:7" ht="13.5" customHeight="1" x14ac:dyDescent="0.35">
      <c r="A291" s="47">
        <v>43698</v>
      </c>
      <c r="B291" s="45" t="s">
        <v>2505</v>
      </c>
      <c r="C291" s="426" t="s">
        <v>28</v>
      </c>
      <c r="D291" s="45" t="s">
        <v>166</v>
      </c>
      <c r="E291" s="776">
        <v>200</v>
      </c>
      <c r="F291" s="295" t="s">
        <v>2648</v>
      </c>
      <c r="G291" s="45" t="s">
        <v>175</v>
      </c>
    </row>
    <row r="292" spans="1:7" ht="13.5" customHeight="1" x14ac:dyDescent="0.35">
      <c r="A292" s="47">
        <v>43698</v>
      </c>
      <c r="B292" s="45" t="s">
        <v>2505</v>
      </c>
      <c r="C292" s="426" t="s">
        <v>1277</v>
      </c>
      <c r="D292" s="45" t="s">
        <v>166</v>
      </c>
      <c r="E292" s="777">
        <v>-200</v>
      </c>
      <c r="F292" s="295" t="s">
        <v>2648</v>
      </c>
      <c r="G292" s="45" t="s">
        <v>175</v>
      </c>
    </row>
    <row r="293" spans="1:7" ht="13.5" customHeight="1" x14ac:dyDescent="0.35">
      <c r="A293" s="47">
        <v>43698</v>
      </c>
      <c r="B293" s="45" t="s">
        <v>2621</v>
      </c>
      <c r="C293" s="426" t="s">
        <v>1274</v>
      </c>
      <c r="D293" s="45" t="s">
        <v>160</v>
      </c>
      <c r="E293" s="53">
        <v>250</v>
      </c>
      <c r="F293" s="45" t="s">
        <v>2162</v>
      </c>
      <c r="G293" s="45" t="s">
        <v>175</v>
      </c>
    </row>
    <row r="294" spans="1:7" ht="13.5" customHeight="1" x14ac:dyDescent="0.35">
      <c r="A294" s="47">
        <v>43698</v>
      </c>
      <c r="B294" s="45" t="s">
        <v>2538</v>
      </c>
      <c r="C294" s="426" t="s">
        <v>28</v>
      </c>
      <c r="D294" s="45" t="s">
        <v>160</v>
      </c>
      <c r="E294" s="53">
        <v>30</v>
      </c>
      <c r="F294" s="45" t="s">
        <v>1236</v>
      </c>
      <c r="G294" s="45" t="s">
        <v>175</v>
      </c>
    </row>
    <row r="295" spans="1:7" ht="14.25" customHeight="1" x14ac:dyDescent="0.35">
      <c r="A295" s="47">
        <v>43697</v>
      </c>
      <c r="B295" s="45" t="s">
        <v>2649</v>
      </c>
      <c r="C295" s="426" t="s">
        <v>1274</v>
      </c>
      <c r="D295" s="45" t="s">
        <v>159</v>
      </c>
      <c r="E295" s="53">
        <v>50</v>
      </c>
      <c r="F295" s="45" t="s">
        <v>2650</v>
      </c>
      <c r="G295" s="45" t="s">
        <v>175</v>
      </c>
    </row>
    <row r="296" spans="1:7" ht="14.25" customHeight="1" x14ac:dyDescent="0.35">
      <c r="A296" s="47">
        <v>43696</v>
      </c>
      <c r="B296" s="45" t="s">
        <v>1667</v>
      </c>
      <c r="C296" s="426" t="s">
        <v>28</v>
      </c>
      <c r="D296" s="45" t="s">
        <v>160</v>
      </c>
      <c r="E296" s="53">
        <v>495</v>
      </c>
      <c r="F296" s="45" t="s">
        <v>2651</v>
      </c>
      <c r="G296" s="45" t="s">
        <v>175</v>
      </c>
    </row>
    <row r="297" spans="1:7" ht="14.25" customHeight="1" x14ac:dyDescent="0.35">
      <c r="A297" s="47">
        <v>43696</v>
      </c>
      <c r="B297" s="45" t="s">
        <v>2228</v>
      </c>
      <c r="C297" s="426" t="s">
        <v>1274</v>
      </c>
      <c r="D297" s="45" t="s">
        <v>159</v>
      </c>
      <c r="E297" s="53">
        <v>725</v>
      </c>
      <c r="F297" s="45" t="s">
        <v>1657</v>
      </c>
      <c r="G297" s="45" t="s">
        <v>175</v>
      </c>
    </row>
    <row r="298" spans="1:7" ht="14.25" customHeight="1" x14ac:dyDescent="0.35">
      <c r="A298" s="47">
        <v>43695</v>
      </c>
      <c r="B298" s="45" t="s">
        <v>2652</v>
      </c>
      <c r="C298" s="426" t="s">
        <v>1274</v>
      </c>
      <c r="D298" s="45" t="s">
        <v>159</v>
      </c>
      <c r="E298" s="53">
        <v>475</v>
      </c>
      <c r="F298" s="45" t="s">
        <v>219</v>
      </c>
      <c r="G298" s="45" t="s">
        <v>174</v>
      </c>
    </row>
    <row r="299" spans="1:7" ht="14.25" customHeight="1" x14ac:dyDescent="0.35">
      <c r="A299" s="47">
        <v>43694</v>
      </c>
      <c r="B299" s="45" t="s">
        <v>2505</v>
      </c>
      <c r="C299" s="426" t="s">
        <v>1276</v>
      </c>
      <c r="D299" s="45" t="s">
        <v>159</v>
      </c>
      <c r="E299" s="53">
        <v>1500</v>
      </c>
      <c r="F299" s="45" t="s">
        <v>2653</v>
      </c>
      <c r="G299" s="45" t="s">
        <v>174</v>
      </c>
    </row>
    <row r="300" spans="1:7" ht="14.25" customHeight="1" x14ac:dyDescent="0.35">
      <c r="A300" s="47">
        <v>43693</v>
      </c>
      <c r="B300" s="45" t="s">
        <v>2654</v>
      </c>
      <c r="C300" s="426" t="s">
        <v>1274</v>
      </c>
      <c r="D300" s="45" t="s">
        <v>159</v>
      </c>
      <c r="E300" s="53">
        <v>50</v>
      </c>
      <c r="F300" s="45" t="s">
        <v>2587</v>
      </c>
      <c r="G300" s="45" t="s">
        <v>175</v>
      </c>
    </row>
    <row r="301" spans="1:7" ht="14.25" customHeight="1" x14ac:dyDescent="0.35">
      <c r="A301" s="47">
        <v>43693</v>
      </c>
      <c r="B301" s="45" t="s">
        <v>2654</v>
      </c>
      <c r="C301" s="426" t="s">
        <v>1274</v>
      </c>
      <c r="D301" s="45" t="s">
        <v>159</v>
      </c>
      <c r="E301" s="53">
        <v>50</v>
      </c>
      <c r="F301" s="45" t="s">
        <v>2655</v>
      </c>
      <c r="G301" s="45" t="s">
        <v>175</v>
      </c>
    </row>
    <row r="302" spans="1:7" ht="14.25" customHeight="1" x14ac:dyDescent="0.35">
      <c r="A302" s="47">
        <v>43690</v>
      </c>
      <c r="B302" s="45" t="s">
        <v>1187</v>
      </c>
      <c r="C302" s="426" t="s">
        <v>1274</v>
      </c>
      <c r="D302" s="45" t="s">
        <v>159</v>
      </c>
      <c r="E302" s="53">
        <v>99</v>
      </c>
      <c r="F302" s="45" t="s">
        <v>1446</v>
      </c>
      <c r="G302" s="45" t="s">
        <v>175</v>
      </c>
    </row>
    <row r="303" spans="1:7" ht="14.25" customHeight="1" x14ac:dyDescent="0.35">
      <c r="A303" s="47">
        <v>43689</v>
      </c>
      <c r="B303" s="45" t="s">
        <v>2656</v>
      </c>
      <c r="C303" s="426" t="s">
        <v>1274</v>
      </c>
      <c r="D303" s="45" t="s">
        <v>160</v>
      </c>
      <c r="E303" s="53">
        <v>50</v>
      </c>
      <c r="F303" s="45" t="s">
        <v>472</v>
      </c>
      <c r="G303" s="45" t="s">
        <v>175</v>
      </c>
    </row>
    <row r="304" spans="1:7" ht="14.25" customHeight="1" x14ac:dyDescent="0.35">
      <c r="A304" s="47">
        <v>43687</v>
      </c>
      <c r="B304" s="45" t="s">
        <v>2657</v>
      </c>
      <c r="C304" s="426" t="s">
        <v>1274</v>
      </c>
      <c r="D304" s="45" t="s">
        <v>159</v>
      </c>
      <c r="E304" s="53">
        <v>100</v>
      </c>
      <c r="F304" s="45" t="s">
        <v>2658</v>
      </c>
      <c r="G304" s="45" t="s">
        <v>177</v>
      </c>
    </row>
    <row r="305" spans="1:7" ht="14.25" customHeight="1" x14ac:dyDescent="0.35">
      <c r="A305" s="47">
        <v>43682</v>
      </c>
      <c r="B305" s="45" t="s">
        <v>2659</v>
      </c>
      <c r="C305" s="426" t="s">
        <v>1279</v>
      </c>
      <c r="D305" s="45" t="s">
        <v>166</v>
      </c>
      <c r="E305" s="53">
        <v>120</v>
      </c>
      <c r="F305" s="48" t="s">
        <v>941</v>
      </c>
      <c r="G305" s="45" t="s">
        <v>175</v>
      </c>
    </row>
    <row r="306" spans="1:7" ht="14.25" customHeight="1" x14ac:dyDescent="0.35">
      <c r="A306" s="47">
        <v>43682</v>
      </c>
      <c r="B306" s="45" t="s">
        <v>2659</v>
      </c>
      <c r="C306" s="45" t="s">
        <v>1277</v>
      </c>
      <c r="D306" s="45" t="s">
        <v>166</v>
      </c>
      <c r="E306" s="53">
        <v>-120</v>
      </c>
      <c r="F306" s="48" t="s">
        <v>941</v>
      </c>
      <c r="G306" s="45" t="s">
        <v>175</v>
      </c>
    </row>
    <row r="307" spans="1:7" ht="14.25" customHeight="1" x14ac:dyDescent="0.35">
      <c r="A307" s="47">
        <v>43681</v>
      </c>
      <c r="B307" s="45" t="s">
        <v>2331</v>
      </c>
      <c r="C307" s="426" t="s">
        <v>28</v>
      </c>
      <c r="D307" s="45" t="s">
        <v>159</v>
      </c>
      <c r="E307" s="53">
        <v>30</v>
      </c>
      <c r="F307" s="45" t="s">
        <v>1236</v>
      </c>
      <c r="G307" s="45" t="s">
        <v>174</v>
      </c>
    </row>
    <row r="308" spans="1:7" ht="14.25" customHeight="1" x14ac:dyDescent="0.35">
      <c r="A308" s="47">
        <v>43681</v>
      </c>
      <c r="B308" s="45" t="s">
        <v>2660</v>
      </c>
      <c r="C308" s="426" t="s">
        <v>1274</v>
      </c>
      <c r="D308" s="45" t="s">
        <v>160</v>
      </c>
      <c r="E308" s="53">
        <v>10</v>
      </c>
      <c r="F308" s="45" t="s">
        <v>2661</v>
      </c>
      <c r="G308" s="45" t="s">
        <v>175</v>
      </c>
    </row>
    <row r="309" spans="1:7" ht="14.25" customHeight="1" x14ac:dyDescent="0.35">
      <c r="A309" s="47">
        <v>43681</v>
      </c>
      <c r="B309" s="45" t="s">
        <v>2657</v>
      </c>
      <c r="C309" s="426" t="s">
        <v>1274</v>
      </c>
      <c r="D309" s="45" t="s">
        <v>159</v>
      </c>
      <c r="E309" s="53">
        <v>100</v>
      </c>
      <c r="F309" s="45" t="s">
        <v>177</v>
      </c>
      <c r="G309" s="45" t="s">
        <v>177</v>
      </c>
    </row>
    <row r="310" spans="1:7" ht="14.25" customHeight="1" x14ac:dyDescent="0.35">
      <c r="A310" s="47">
        <v>43681</v>
      </c>
      <c r="B310" s="45" t="s">
        <v>2621</v>
      </c>
      <c r="C310" s="426" t="s">
        <v>1274</v>
      </c>
      <c r="D310" s="45" t="s">
        <v>160</v>
      </c>
      <c r="E310" s="53">
        <v>700</v>
      </c>
      <c r="F310" s="45" t="s">
        <v>1000</v>
      </c>
      <c r="G310" s="45" t="s">
        <v>175</v>
      </c>
    </row>
    <row r="311" spans="1:7" ht="14.25" customHeight="1" x14ac:dyDescent="0.35">
      <c r="A311" s="47">
        <v>43679</v>
      </c>
      <c r="B311" s="45" t="s">
        <v>1187</v>
      </c>
      <c r="C311" s="426" t="s">
        <v>1274</v>
      </c>
      <c r="D311" s="45" t="s">
        <v>166</v>
      </c>
      <c r="E311" s="53">
        <v>503.75</v>
      </c>
      <c r="F311" s="45" t="s">
        <v>467</v>
      </c>
      <c r="G311" s="45" t="s">
        <v>175</v>
      </c>
    </row>
    <row r="312" spans="1:7" ht="13.5" customHeight="1" x14ac:dyDescent="0.35">
      <c r="A312" s="47">
        <v>43679</v>
      </c>
      <c r="B312" s="45" t="s">
        <v>1187</v>
      </c>
      <c r="C312" s="45" t="s">
        <v>1277</v>
      </c>
      <c r="D312" s="45" t="s">
        <v>166</v>
      </c>
      <c r="E312" s="53">
        <v>-503.75</v>
      </c>
      <c r="F312" s="45" t="s">
        <v>467</v>
      </c>
      <c r="G312" s="45" t="s">
        <v>175</v>
      </c>
    </row>
    <row r="313" spans="1:7" ht="13.5" customHeight="1" x14ac:dyDescent="0.35">
      <c r="A313" s="47">
        <v>43678</v>
      </c>
      <c r="B313" s="45" t="s">
        <v>2662</v>
      </c>
      <c r="C313" s="426" t="s">
        <v>28</v>
      </c>
      <c r="D313" s="45" t="s">
        <v>1619</v>
      </c>
      <c r="E313" s="53">
        <v>0</v>
      </c>
      <c r="F313" s="45" t="s">
        <v>2663</v>
      </c>
      <c r="G313" s="45" t="s">
        <v>174</v>
      </c>
    </row>
    <row r="314" spans="1:7" ht="13.5" customHeight="1" x14ac:dyDescent="0.35">
      <c r="A314" s="47">
        <v>43678</v>
      </c>
      <c r="B314" s="45" t="s">
        <v>2664</v>
      </c>
      <c r="C314" s="426" t="s">
        <v>1276</v>
      </c>
      <c r="D314" s="426" t="s">
        <v>161</v>
      </c>
      <c r="E314" s="567">
        <v>1190</v>
      </c>
      <c r="F314" s="426" t="s">
        <v>1078</v>
      </c>
      <c r="G314" s="426" t="s">
        <v>175</v>
      </c>
    </row>
    <row r="315" spans="1:7" ht="13.5" customHeight="1" x14ac:dyDescent="0.35">
      <c r="A315" s="47">
        <v>43678</v>
      </c>
      <c r="B315" s="45" t="s">
        <v>2665</v>
      </c>
      <c r="C315" s="426" t="s">
        <v>1278</v>
      </c>
      <c r="D315" s="426" t="s">
        <v>161</v>
      </c>
      <c r="E315" s="567">
        <v>60</v>
      </c>
      <c r="F315" s="426" t="s">
        <v>292</v>
      </c>
      <c r="G315" s="426" t="s">
        <v>175</v>
      </c>
    </row>
    <row r="316" spans="1:7" ht="13.5" customHeight="1" x14ac:dyDescent="0.35">
      <c r="A316" s="47"/>
      <c r="B316" s="45"/>
      <c r="C316" s="45"/>
      <c r="D316" s="45"/>
      <c r="E316" s="53"/>
      <c r="F316" s="45"/>
      <c r="G316" s="45"/>
    </row>
    <row r="317" spans="1:7" ht="13.5" customHeight="1" x14ac:dyDescent="0.35">
      <c r="A317" s="47"/>
      <c r="B317" s="45"/>
      <c r="C317" s="45"/>
      <c r="D317" s="45"/>
      <c r="E317" s="53"/>
      <c r="F317" s="45"/>
      <c r="G317" s="45"/>
    </row>
    <row r="318" spans="1:7" ht="13.5" customHeight="1" x14ac:dyDescent="0.35">
      <c r="A318" s="47">
        <v>43677</v>
      </c>
      <c r="B318" s="45" t="s">
        <v>2666</v>
      </c>
      <c r="C318" s="426" t="s">
        <v>28</v>
      </c>
      <c r="D318" s="45" t="s">
        <v>160</v>
      </c>
      <c r="E318" s="53">
        <v>30</v>
      </c>
      <c r="F318" s="45" t="s">
        <v>1924</v>
      </c>
      <c r="G318" s="45" t="s">
        <v>174</v>
      </c>
    </row>
    <row r="319" spans="1:7" ht="13.5" customHeight="1" x14ac:dyDescent="0.35">
      <c r="A319" s="47">
        <v>43677</v>
      </c>
      <c r="B319" s="45" t="s">
        <v>2667</v>
      </c>
      <c r="C319" s="426" t="s">
        <v>28</v>
      </c>
      <c r="D319" s="45" t="s">
        <v>159</v>
      </c>
      <c r="E319" s="53">
        <v>30</v>
      </c>
      <c r="F319" s="45" t="s">
        <v>1924</v>
      </c>
      <c r="G319" s="45" t="s">
        <v>174</v>
      </c>
    </row>
    <row r="320" spans="1:7" ht="13.5" customHeight="1" x14ac:dyDescent="0.35">
      <c r="A320" s="47">
        <v>43675</v>
      </c>
      <c r="B320" s="45" t="s">
        <v>2668</v>
      </c>
      <c r="C320" s="426" t="s">
        <v>1274</v>
      </c>
      <c r="D320" s="45" t="s">
        <v>159</v>
      </c>
      <c r="E320" s="53">
        <v>99</v>
      </c>
      <c r="F320" s="45" t="s">
        <v>2669</v>
      </c>
      <c r="G320" s="45" t="s">
        <v>174</v>
      </c>
    </row>
    <row r="321" spans="1:7" ht="13.5" customHeight="1" x14ac:dyDescent="0.35">
      <c r="A321" s="47">
        <v>43673</v>
      </c>
      <c r="B321" s="45" t="s">
        <v>2670</v>
      </c>
      <c r="C321" s="426" t="s">
        <v>2518</v>
      </c>
      <c r="D321" s="45" t="s">
        <v>160</v>
      </c>
      <c r="E321" s="53">
        <v>122.98</v>
      </c>
      <c r="F321" s="45" t="s">
        <v>2541</v>
      </c>
      <c r="G321" s="45" t="s">
        <v>175</v>
      </c>
    </row>
    <row r="322" spans="1:7" ht="13.5" customHeight="1" x14ac:dyDescent="0.35">
      <c r="A322" s="47">
        <v>43671</v>
      </c>
      <c r="B322" s="45" t="s">
        <v>2671</v>
      </c>
      <c r="C322" s="426" t="s">
        <v>1279</v>
      </c>
      <c r="D322" s="45" t="s">
        <v>159</v>
      </c>
      <c r="E322" s="53">
        <v>395</v>
      </c>
      <c r="F322" s="45" t="s">
        <v>2672</v>
      </c>
      <c r="G322" s="45" t="s">
        <v>174</v>
      </c>
    </row>
    <row r="323" spans="1:7" ht="13.5" customHeight="1" x14ac:dyDescent="0.35">
      <c r="A323" s="47">
        <v>43668</v>
      </c>
      <c r="B323" s="45" t="s">
        <v>2673</v>
      </c>
      <c r="C323" s="426" t="s">
        <v>1279</v>
      </c>
      <c r="D323" s="45" t="s">
        <v>166</v>
      </c>
      <c r="E323" s="53">
        <v>120</v>
      </c>
      <c r="F323" s="45" t="s">
        <v>2672</v>
      </c>
      <c r="G323" s="45" t="s">
        <v>175</v>
      </c>
    </row>
    <row r="324" spans="1:7" ht="13.5" customHeight="1" x14ac:dyDescent="0.35">
      <c r="A324" s="47">
        <v>43668</v>
      </c>
      <c r="B324" s="45" t="s">
        <v>2673</v>
      </c>
      <c r="C324" s="45" t="s">
        <v>1277</v>
      </c>
      <c r="D324" s="45" t="s">
        <v>166</v>
      </c>
      <c r="E324" s="53">
        <v>-120</v>
      </c>
      <c r="F324" s="45" t="s">
        <v>2672</v>
      </c>
      <c r="G324" s="45" t="s">
        <v>175</v>
      </c>
    </row>
    <row r="325" spans="1:7" ht="13.5" customHeight="1" x14ac:dyDescent="0.35">
      <c r="A325" s="47">
        <v>43667</v>
      </c>
      <c r="B325" s="45" t="s">
        <v>2228</v>
      </c>
      <c r="C325" s="426" t="s">
        <v>1274</v>
      </c>
      <c r="D325" s="45" t="s">
        <v>159</v>
      </c>
      <c r="E325" s="53">
        <v>50</v>
      </c>
      <c r="F325" s="45" t="s">
        <v>2655</v>
      </c>
      <c r="G325" s="45" t="s">
        <v>175</v>
      </c>
    </row>
    <row r="326" spans="1:7" ht="13.5" customHeight="1" x14ac:dyDescent="0.35">
      <c r="A326" s="47">
        <v>43665</v>
      </c>
      <c r="B326" s="45" t="s">
        <v>732</v>
      </c>
      <c r="C326" s="426" t="s">
        <v>1274</v>
      </c>
      <c r="D326" s="45" t="s">
        <v>159</v>
      </c>
      <c r="E326" s="53">
        <v>10</v>
      </c>
      <c r="F326" s="45" t="s">
        <v>324</v>
      </c>
      <c r="G326" s="45" t="s">
        <v>175</v>
      </c>
    </row>
    <row r="327" spans="1:7" ht="13.5" customHeight="1" x14ac:dyDescent="0.35">
      <c r="A327" s="47">
        <v>43665</v>
      </c>
      <c r="B327" s="45" t="s">
        <v>2674</v>
      </c>
      <c r="C327" s="426" t="s">
        <v>1279</v>
      </c>
      <c r="D327" s="45" t="s">
        <v>164</v>
      </c>
      <c r="E327" s="53">
        <v>70</v>
      </c>
      <c r="F327" s="48" t="s">
        <v>941</v>
      </c>
      <c r="G327" s="45" t="s">
        <v>174</v>
      </c>
    </row>
    <row r="328" spans="1:7" ht="13.5" customHeight="1" x14ac:dyDescent="0.35">
      <c r="A328" s="47">
        <v>43665</v>
      </c>
      <c r="B328" s="45" t="s">
        <v>2675</v>
      </c>
      <c r="C328" s="426" t="s">
        <v>28</v>
      </c>
      <c r="D328" s="45" t="s">
        <v>166</v>
      </c>
      <c r="E328" s="53">
        <v>420.75</v>
      </c>
      <c r="F328" s="45" t="s">
        <v>2676</v>
      </c>
      <c r="G328" s="45" t="s">
        <v>175</v>
      </c>
    </row>
    <row r="329" spans="1:7" ht="13.5" customHeight="1" x14ac:dyDescent="0.35">
      <c r="A329" s="47">
        <v>43665</v>
      </c>
      <c r="B329" s="45" t="s">
        <v>2675</v>
      </c>
      <c r="C329" s="426" t="s">
        <v>28</v>
      </c>
      <c r="D329" s="45" t="s">
        <v>166</v>
      </c>
      <c r="E329" s="53">
        <v>233.75</v>
      </c>
      <c r="F329" s="45" t="s">
        <v>2677</v>
      </c>
      <c r="G329" s="45" t="s">
        <v>175</v>
      </c>
    </row>
    <row r="330" spans="1:7" ht="13.5" customHeight="1" x14ac:dyDescent="0.35">
      <c r="A330" s="47">
        <v>43665</v>
      </c>
      <c r="B330" s="45" t="s">
        <v>2675</v>
      </c>
      <c r="C330" s="45" t="s">
        <v>1277</v>
      </c>
      <c r="D330" s="45" t="s">
        <v>166</v>
      </c>
      <c r="E330" s="53">
        <v>-420.75</v>
      </c>
      <c r="F330" s="45" t="s">
        <v>2672</v>
      </c>
      <c r="G330" s="45" t="s">
        <v>175</v>
      </c>
    </row>
    <row r="331" spans="1:7" ht="13.5" customHeight="1" x14ac:dyDescent="0.35">
      <c r="A331" s="47">
        <v>43665</v>
      </c>
      <c r="B331" s="45" t="s">
        <v>2675</v>
      </c>
      <c r="C331" s="45" t="s">
        <v>1277</v>
      </c>
      <c r="D331" s="45" t="s">
        <v>166</v>
      </c>
      <c r="E331" s="53">
        <v>-233.75</v>
      </c>
      <c r="F331" s="45" t="s">
        <v>2672</v>
      </c>
      <c r="G331" s="45" t="s">
        <v>175</v>
      </c>
    </row>
    <row r="332" spans="1:7" ht="13.5" customHeight="1" x14ac:dyDescent="0.35">
      <c r="A332" s="47">
        <v>43665</v>
      </c>
      <c r="B332" s="45" t="s">
        <v>2675</v>
      </c>
      <c r="C332" s="426" t="s">
        <v>1276</v>
      </c>
      <c r="D332" s="45" t="s">
        <v>159</v>
      </c>
      <c r="E332" s="53">
        <v>300</v>
      </c>
      <c r="F332" s="45" t="s">
        <v>2678</v>
      </c>
      <c r="G332" s="45" t="s">
        <v>175</v>
      </c>
    </row>
    <row r="333" spans="1:7" ht="13.5" customHeight="1" x14ac:dyDescent="0.35">
      <c r="A333" s="47">
        <v>43664</v>
      </c>
      <c r="B333" s="45" t="s">
        <v>92</v>
      </c>
      <c r="C333" s="426" t="s">
        <v>2518</v>
      </c>
      <c r="D333" s="45" t="s">
        <v>162</v>
      </c>
      <c r="E333" s="53">
        <v>342.47</v>
      </c>
      <c r="F333" s="45" t="s">
        <v>1026</v>
      </c>
      <c r="G333" s="45" t="s">
        <v>175</v>
      </c>
    </row>
    <row r="334" spans="1:7" ht="13.5" customHeight="1" x14ac:dyDescent="0.35">
      <c r="A334" s="47">
        <v>43664</v>
      </c>
      <c r="B334" s="45" t="s">
        <v>89</v>
      </c>
      <c r="C334" s="426" t="s">
        <v>2518</v>
      </c>
      <c r="D334" s="45" t="s">
        <v>162</v>
      </c>
      <c r="E334" s="53">
        <v>658.05</v>
      </c>
      <c r="F334" s="45" t="s">
        <v>1026</v>
      </c>
      <c r="G334" s="45" t="s">
        <v>175</v>
      </c>
    </row>
    <row r="335" spans="1:7" ht="13.5" customHeight="1" x14ac:dyDescent="0.35">
      <c r="A335" s="47">
        <v>43663</v>
      </c>
      <c r="B335" s="45" t="s">
        <v>2679</v>
      </c>
      <c r="C335" s="426" t="s">
        <v>1278</v>
      </c>
      <c r="D335" s="45" t="s">
        <v>159</v>
      </c>
      <c r="E335" s="53">
        <v>20</v>
      </c>
      <c r="F335" s="45" t="s">
        <v>293</v>
      </c>
      <c r="G335" s="45" t="s">
        <v>174</v>
      </c>
    </row>
    <row r="336" spans="1:7" ht="13.5" customHeight="1" x14ac:dyDescent="0.35">
      <c r="A336" s="47">
        <v>43662</v>
      </c>
      <c r="B336" s="45" t="s">
        <v>2674</v>
      </c>
      <c r="C336" s="426" t="s">
        <v>1279</v>
      </c>
      <c r="D336" s="45" t="s">
        <v>160</v>
      </c>
      <c r="E336" s="53">
        <v>50</v>
      </c>
      <c r="F336" s="48" t="s">
        <v>941</v>
      </c>
      <c r="G336" s="45" t="s">
        <v>174</v>
      </c>
    </row>
    <row r="337" spans="1:7" ht="13.5" customHeight="1" x14ac:dyDescent="0.35">
      <c r="A337" s="47">
        <v>43661</v>
      </c>
      <c r="B337" s="45" t="s">
        <v>2134</v>
      </c>
      <c r="C337" s="426" t="s">
        <v>1276</v>
      </c>
      <c r="D337" s="45" t="s">
        <v>162</v>
      </c>
      <c r="E337" s="53">
        <v>25</v>
      </c>
      <c r="F337" s="45" t="s">
        <v>2680</v>
      </c>
      <c r="G337" s="45" t="s">
        <v>175</v>
      </c>
    </row>
    <row r="338" spans="1:7" ht="13.5" customHeight="1" x14ac:dyDescent="0.35">
      <c r="A338" s="47">
        <v>43659</v>
      </c>
      <c r="B338" s="45" t="s">
        <v>2670</v>
      </c>
      <c r="C338" s="426" t="s">
        <v>2518</v>
      </c>
      <c r="D338" s="45" t="s">
        <v>162</v>
      </c>
      <c r="E338" s="53">
        <v>120.9</v>
      </c>
      <c r="F338" s="45" t="s">
        <v>2541</v>
      </c>
      <c r="G338" s="45" t="s">
        <v>175</v>
      </c>
    </row>
    <row r="339" spans="1:7" ht="13.5" customHeight="1" x14ac:dyDescent="0.35">
      <c r="A339" s="47">
        <v>43658</v>
      </c>
      <c r="B339" s="45" t="s">
        <v>2681</v>
      </c>
      <c r="C339" s="426" t="s">
        <v>1274</v>
      </c>
      <c r="D339" s="45" t="s">
        <v>162</v>
      </c>
      <c r="E339" s="53">
        <v>600</v>
      </c>
      <c r="F339" s="45" t="s">
        <v>2682</v>
      </c>
      <c r="G339" s="45" t="s">
        <v>174</v>
      </c>
    </row>
    <row r="340" spans="1:7" ht="13.5" customHeight="1" x14ac:dyDescent="0.35">
      <c r="A340" s="47">
        <v>43655</v>
      </c>
      <c r="B340" s="45" t="s">
        <v>229</v>
      </c>
      <c r="C340" s="426" t="s">
        <v>2520</v>
      </c>
      <c r="D340" s="45" t="s">
        <v>159</v>
      </c>
      <c r="E340" s="53">
        <v>14.07</v>
      </c>
      <c r="F340" s="45" t="s">
        <v>1254</v>
      </c>
      <c r="G340" s="45" t="s">
        <v>174</v>
      </c>
    </row>
    <row r="341" spans="1:7" ht="13.5" customHeight="1" x14ac:dyDescent="0.35">
      <c r="A341" s="47">
        <v>43654</v>
      </c>
      <c r="B341" s="45" t="s">
        <v>2673</v>
      </c>
      <c r="C341" s="426" t="s">
        <v>1279</v>
      </c>
      <c r="D341" s="45" t="s">
        <v>166</v>
      </c>
      <c r="E341" s="53">
        <v>120</v>
      </c>
      <c r="F341" s="45" t="s">
        <v>2672</v>
      </c>
      <c r="G341" s="45" t="s">
        <v>175</v>
      </c>
    </row>
    <row r="342" spans="1:7" ht="13.5" customHeight="1" x14ac:dyDescent="0.35">
      <c r="A342" s="47">
        <v>43654</v>
      </c>
      <c r="B342" s="45" t="s">
        <v>2673</v>
      </c>
      <c r="C342" s="426" t="s">
        <v>1279</v>
      </c>
      <c r="D342" s="45" t="s">
        <v>166</v>
      </c>
      <c r="E342" s="53">
        <v>160</v>
      </c>
      <c r="F342" s="45" t="s">
        <v>2672</v>
      </c>
      <c r="G342" s="45" t="s">
        <v>175</v>
      </c>
    </row>
    <row r="343" spans="1:7" ht="13.5" customHeight="1" x14ac:dyDescent="0.35">
      <c r="A343" s="47">
        <v>43654</v>
      </c>
      <c r="B343" s="45" t="s">
        <v>2673</v>
      </c>
      <c r="C343" s="45" t="s">
        <v>1277</v>
      </c>
      <c r="D343" s="45" t="s">
        <v>166</v>
      </c>
      <c r="E343" s="53">
        <v>-120</v>
      </c>
      <c r="F343" s="45" t="s">
        <v>2672</v>
      </c>
      <c r="G343" s="45" t="s">
        <v>175</v>
      </c>
    </row>
    <row r="344" spans="1:7" ht="13.5" customHeight="1" x14ac:dyDescent="0.35">
      <c r="A344" s="47">
        <v>43654</v>
      </c>
      <c r="B344" s="45" t="s">
        <v>2673</v>
      </c>
      <c r="C344" s="45" t="s">
        <v>1277</v>
      </c>
      <c r="D344" s="45" t="s">
        <v>166</v>
      </c>
      <c r="E344" s="53">
        <v>-160</v>
      </c>
      <c r="F344" s="45" t="s">
        <v>2672</v>
      </c>
      <c r="G344" s="45" t="s">
        <v>175</v>
      </c>
    </row>
    <row r="345" spans="1:7" ht="13.5" customHeight="1" x14ac:dyDescent="0.35">
      <c r="A345" s="47">
        <v>43654</v>
      </c>
      <c r="B345" s="45" t="s">
        <v>2461</v>
      </c>
      <c r="C345" s="426" t="s">
        <v>1279</v>
      </c>
      <c r="D345" s="45" t="s">
        <v>160</v>
      </c>
      <c r="E345" s="53">
        <v>65</v>
      </c>
      <c r="F345" s="45" t="s">
        <v>2683</v>
      </c>
      <c r="G345" s="45" t="s">
        <v>175</v>
      </c>
    </row>
    <row r="346" spans="1:7" ht="13.5" customHeight="1" x14ac:dyDescent="0.35">
      <c r="A346" s="47">
        <v>43653</v>
      </c>
      <c r="B346" s="45" t="s">
        <v>2673</v>
      </c>
      <c r="C346" s="426" t="s">
        <v>1278</v>
      </c>
      <c r="D346" s="45" t="s">
        <v>159</v>
      </c>
      <c r="E346" s="53">
        <v>60</v>
      </c>
      <c r="F346" s="45" t="s">
        <v>2109</v>
      </c>
      <c r="G346" s="45" t="s">
        <v>175</v>
      </c>
    </row>
    <row r="347" spans="1:7" ht="13.5" customHeight="1" x14ac:dyDescent="0.35">
      <c r="A347" s="47">
        <v>43653</v>
      </c>
      <c r="B347" s="45" t="s">
        <v>2673</v>
      </c>
      <c r="C347" s="426" t="s">
        <v>1276</v>
      </c>
      <c r="D347" s="45" t="s">
        <v>159</v>
      </c>
      <c r="E347" s="53">
        <v>120</v>
      </c>
      <c r="F347" s="45" t="s">
        <v>2684</v>
      </c>
      <c r="G347" s="45" t="s">
        <v>175</v>
      </c>
    </row>
    <row r="348" spans="1:7" ht="13.5" customHeight="1" x14ac:dyDescent="0.35">
      <c r="A348" s="47">
        <v>43651</v>
      </c>
      <c r="B348" s="45" t="s">
        <v>732</v>
      </c>
      <c r="C348" s="426" t="s">
        <v>1274</v>
      </c>
      <c r="D348" s="45" t="s">
        <v>162</v>
      </c>
      <c r="E348" s="53">
        <v>200</v>
      </c>
      <c r="F348" s="45" t="s">
        <v>2685</v>
      </c>
      <c r="G348" s="45" t="s">
        <v>175</v>
      </c>
    </row>
    <row r="349" spans="1:7" ht="13.5" customHeight="1" x14ac:dyDescent="0.35">
      <c r="A349" s="47">
        <v>43651</v>
      </c>
      <c r="B349" s="45" t="s">
        <v>2673</v>
      </c>
      <c r="C349" s="426" t="s">
        <v>1279</v>
      </c>
      <c r="D349" s="45" t="s">
        <v>159</v>
      </c>
      <c r="E349" s="53">
        <v>85</v>
      </c>
      <c r="F349" s="48" t="s">
        <v>2686</v>
      </c>
      <c r="G349" s="45" t="s">
        <v>174</v>
      </c>
    </row>
    <row r="350" spans="1:7" ht="13.5" customHeight="1" x14ac:dyDescent="0.35">
      <c r="A350" s="47">
        <v>43650</v>
      </c>
      <c r="B350" s="45" t="s">
        <v>2145</v>
      </c>
      <c r="C350" s="426" t="s">
        <v>28</v>
      </c>
      <c r="D350" s="45" t="s">
        <v>160</v>
      </c>
      <c r="E350" s="53">
        <v>200</v>
      </c>
      <c r="F350" s="45" t="s">
        <v>291</v>
      </c>
      <c r="G350" s="45" t="s">
        <v>175</v>
      </c>
    </row>
    <row r="351" spans="1:7" ht="13.5" customHeight="1" x14ac:dyDescent="0.35">
      <c r="A351" s="47">
        <v>43649</v>
      </c>
      <c r="B351" s="45" t="s">
        <v>2487</v>
      </c>
      <c r="C351" s="426" t="s">
        <v>1274</v>
      </c>
      <c r="D351" s="45" t="s">
        <v>160</v>
      </c>
      <c r="E351" s="53">
        <v>750</v>
      </c>
      <c r="F351" s="45" t="s">
        <v>1010</v>
      </c>
      <c r="G351" s="45" t="s">
        <v>175</v>
      </c>
    </row>
    <row r="352" spans="1:7" ht="13.5" customHeight="1" x14ac:dyDescent="0.35">
      <c r="A352" s="47">
        <v>43649</v>
      </c>
      <c r="B352" s="45" t="s">
        <v>2487</v>
      </c>
      <c r="C352" s="426" t="s">
        <v>1279</v>
      </c>
      <c r="D352" s="45" t="s">
        <v>160</v>
      </c>
      <c r="E352" s="53">
        <v>360</v>
      </c>
      <c r="F352" s="45" t="s">
        <v>2683</v>
      </c>
      <c r="G352" s="45" t="s">
        <v>175</v>
      </c>
    </row>
    <row r="353" spans="1:7" ht="13.5" customHeight="1" x14ac:dyDescent="0.35">
      <c r="A353" s="47">
        <v>43648</v>
      </c>
      <c r="B353" s="45" t="s">
        <v>2461</v>
      </c>
      <c r="C353" s="426" t="s">
        <v>1279</v>
      </c>
      <c r="D353" s="45" t="s">
        <v>160</v>
      </c>
      <c r="E353" s="53">
        <v>120</v>
      </c>
      <c r="F353" s="45" t="s">
        <v>2683</v>
      </c>
      <c r="G353" s="45" t="s">
        <v>175</v>
      </c>
    </row>
    <row r="354" spans="1:7" ht="13.5" customHeight="1" x14ac:dyDescent="0.35">
      <c r="A354" s="47">
        <v>43647</v>
      </c>
      <c r="B354" s="45" t="s">
        <v>2687</v>
      </c>
      <c r="C354" s="426" t="s">
        <v>1276</v>
      </c>
      <c r="D354" s="426" t="s">
        <v>161</v>
      </c>
      <c r="E354" s="567">
        <v>812.5</v>
      </c>
      <c r="F354" s="426" t="s">
        <v>1078</v>
      </c>
      <c r="G354" s="426" t="s">
        <v>175</v>
      </c>
    </row>
    <row r="355" spans="1:7" ht="13.5" customHeight="1" x14ac:dyDescent="0.35">
      <c r="A355" s="47">
        <v>43647</v>
      </c>
      <c r="B355" s="45" t="s">
        <v>2688</v>
      </c>
      <c r="C355" s="426" t="s">
        <v>1278</v>
      </c>
      <c r="D355" s="426" t="s">
        <v>161</v>
      </c>
      <c r="E355" s="567">
        <v>60</v>
      </c>
      <c r="F355" s="426" t="s">
        <v>292</v>
      </c>
      <c r="G355" s="426" t="s">
        <v>175</v>
      </c>
    </row>
    <row r="356" spans="1:7" ht="13.5" customHeight="1" x14ac:dyDescent="0.35">
      <c r="A356" s="47"/>
      <c r="B356" s="45"/>
      <c r="C356" s="45"/>
      <c r="D356" s="45"/>
      <c r="E356" s="53"/>
      <c r="F356" s="45"/>
      <c r="G356" s="45"/>
    </row>
    <row r="357" spans="1:7" ht="13.5" customHeight="1" x14ac:dyDescent="0.35">
      <c r="A357" s="47">
        <v>43643</v>
      </c>
      <c r="B357" s="45" t="s">
        <v>2497</v>
      </c>
      <c r="C357" s="734" t="s">
        <v>1274</v>
      </c>
      <c r="D357" s="45" t="s">
        <v>159</v>
      </c>
      <c r="E357" s="53">
        <v>60</v>
      </c>
      <c r="F357" s="45" t="s">
        <v>2689</v>
      </c>
      <c r="G357" s="45" t="s">
        <v>175</v>
      </c>
    </row>
    <row r="358" spans="1:7" ht="13.5" customHeight="1" x14ac:dyDescent="0.35">
      <c r="A358" s="764">
        <v>43644</v>
      </c>
      <c r="B358" s="734" t="s">
        <v>2621</v>
      </c>
      <c r="C358" s="734" t="s">
        <v>1274</v>
      </c>
      <c r="D358" s="734" t="s">
        <v>160</v>
      </c>
      <c r="E358" s="765">
        <v>100</v>
      </c>
      <c r="F358" s="734" t="s">
        <v>2690</v>
      </c>
      <c r="G358" s="734" t="s">
        <v>175</v>
      </c>
    </row>
    <row r="359" spans="1:7" ht="13.5" customHeight="1" x14ac:dyDescent="0.35">
      <c r="A359" s="764">
        <v>43644</v>
      </c>
      <c r="B359" s="734" t="s">
        <v>2026</v>
      </c>
      <c r="C359" s="734" t="s">
        <v>28</v>
      </c>
      <c r="D359" s="734" t="s">
        <v>160</v>
      </c>
      <c r="E359" s="765">
        <v>120</v>
      </c>
      <c r="F359" s="766" t="s">
        <v>941</v>
      </c>
      <c r="G359" s="734" t="s">
        <v>175</v>
      </c>
    </row>
    <row r="360" spans="1:7" ht="13.5" customHeight="1" x14ac:dyDescent="0.35">
      <c r="A360" s="764">
        <v>43644</v>
      </c>
      <c r="B360" s="734" t="s">
        <v>2691</v>
      </c>
      <c r="C360" s="734" t="s">
        <v>1274</v>
      </c>
      <c r="D360" s="734" t="s">
        <v>159</v>
      </c>
      <c r="E360" s="765">
        <v>150</v>
      </c>
      <c r="F360" s="734" t="s">
        <v>1228</v>
      </c>
      <c r="G360" s="734" t="s">
        <v>174</v>
      </c>
    </row>
    <row r="361" spans="1:7" ht="13.5" customHeight="1" x14ac:dyDescent="0.35">
      <c r="A361" s="47">
        <v>43640</v>
      </c>
      <c r="B361" s="45" t="s">
        <v>2692</v>
      </c>
      <c r="C361" s="45" t="s">
        <v>1274</v>
      </c>
      <c r="D361" s="45" t="s">
        <v>160</v>
      </c>
      <c r="E361" s="53">
        <v>100</v>
      </c>
      <c r="F361" s="45" t="s">
        <v>2693</v>
      </c>
      <c r="G361" s="45" t="s">
        <v>175</v>
      </c>
    </row>
    <row r="362" spans="1:7" ht="13.5" customHeight="1" x14ac:dyDescent="0.35">
      <c r="A362" s="47">
        <v>43640</v>
      </c>
      <c r="B362" s="45" t="s">
        <v>2694</v>
      </c>
      <c r="C362" s="45" t="s">
        <v>28</v>
      </c>
      <c r="D362" s="45" t="s">
        <v>159</v>
      </c>
      <c r="E362" s="53">
        <v>395</v>
      </c>
      <c r="F362" s="45" t="s">
        <v>1058</v>
      </c>
      <c r="G362" s="45" t="s">
        <v>175</v>
      </c>
    </row>
    <row r="363" spans="1:7" ht="13.5" customHeight="1" x14ac:dyDescent="0.35">
      <c r="A363" s="47">
        <v>43633</v>
      </c>
      <c r="B363" s="45" t="s">
        <v>1009</v>
      </c>
      <c r="C363" s="45" t="s">
        <v>1277</v>
      </c>
      <c r="D363" s="45" t="s">
        <v>166</v>
      </c>
      <c r="E363" s="53">
        <v>-50</v>
      </c>
      <c r="F363" s="45" t="s">
        <v>2695</v>
      </c>
      <c r="G363" s="45" t="s">
        <v>175</v>
      </c>
    </row>
    <row r="364" spans="1:7" ht="13.5" customHeight="1" x14ac:dyDescent="0.35">
      <c r="A364" s="47">
        <v>43633</v>
      </c>
      <c r="B364" s="45" t="s">
        <v>1009</v>
      </c>
      <c r="C364" s="45" t="s">
        <v>1274</v>
      </c>
      <c r="D364" s="45" t="s">
        <v>166</v>
      </c>
      <c r="E364" s="53">
        <v>50</v>
      </c>
      <c r="F364" s="45" t="s">
        <v>2695</v>
      </c>
      <c r="G364" s="45" t="s">
        <v>175</v>
      </c>
    </row>
    <row r="365" spans="1:7" ht="13.5" customHeight="1" x14ac:dyDescent="0.35">
      <c r="A365" s="47">
        <v>43633</v>
      </c>
      <c r="B365" s="45" t="s">
        <v>1009</v>
      </c>
      <c r="C365" s="45" t="s">
        <v>1277</v>
      </c>
      <c r="D365" s="45" t="s">
        <v>166</v>
      </c>
      <c r="E365" s="53">
        <v>-99</v>
      </c>
      <c r="F365" s="45" t="s">
        <v>2696</v>
      </c>
      <c r="G365" s="45" t="s">
        <v>175</v>
      </c>
    </row>
    <row r="366" spans="1:7" ht="13.5" customHeight="1" x14ac:dyDescent="0.35">
      <c r="A366" s="47">
        <v>43633</v>
      </c>
      <c r="B366" s="45" t="s">
        <v>1009</v>
      </c>
      <c r="C366" s="45" t="s">
        <v>1274</v>
      </c>
      <c r="D366" s="45" t="s">
        <v>166</v>
      </c>
      <c r="E366" s="53">
        <v>99</v>
      </c>
      <c r="F366" s="45" t="s">
        <v>2696</v>
      </c>
      <c r="G366" s="45" t="s">
        <v>175</v>
      </c>
    </row>
    <row r="367" spans="1:7" ht="13.5" customHeight="1" x14ac:dyDescent="0.35">
      <c r="A367" s="47">
        <v>43633</v>
      </c>
      <c r="B367" s="45" t="s">
        <v>1009</v>
      </c>
      <c r="C367" s="45" t="s">
        <v>1277</v>
      </c>
      <c r="D367" s="45" t="s">
        <v>166</v>
      </c>
      <c r="E367" s="53">
        <v>-175</v>
      </c>
      <c r="F367" s="45" t="s">
        <v>2697</v>
      </c>
      <c r="G367" s="45" t="s">
        <v>175</v>
      </c>
    </row>
    <row r="368" spans="1:7" ht="13.5" customHeight="1" x14ac:dyDescent="0.35">
      <c r="A368" s="47">
        <v>43633</v>
      </c>
      <c r="B368" s="45" t="s">
        <v>1009</v>
      </c>
      <c r="C368" s="45" t="s">
        <v>1274</v>
      </c>
      <c r="D368" s="45" t="s">
        <v>166</v>
      </c>
      <c r="E368" s="53">
        <v>175</v>
      </c>
      <c r="F368" s="45" t="s">
        <v>2697</v>
      </c>
      <c r="G368" s="45" t="s">
        <v>175</v>
      </c>
    </row>
    <row r="369" spans="1:7" ht="13.5" customHeight="1" x14ac:dyDescent="0.35">
      <c r="A369" s="47">
        <v>43630</v>
      </c>
      <c r="B369" s="45" t="s">
        <v>2698</v>
      </c>
      <c r="C369" s="45" t="s">
        <v>1279</v>
      </c>
      <c r="D369" s="45" t="s">
        <v>159</v>
      </c>
      <c r="E369" s="53">
        <v>130</v>
      </c>
      <c r="F369" s="48" t="s">
        <v>2699</v>
      </c>
      <c r="G369" s="45" t="s">
        <v>174</v>
      </c>
    </row>
    <row r="370" spans="1:7" ht="13.5" customHeight="1" x14ac:dyDescent="0.35">
      <c r="A370" s="47">
        <v>43630</v>
      </c>
      <c r="B370" s="45" t="s">
        <v>2026</v>
      </c>
      <c r="C370" s="45" t="s">
        <v>1279</v>
      </c>
      <c r="D370" s="45" t="s">
        <v>160</v>
      </c>
      <c r="E370" s="53">
        <v>195</v>
      </c>
      <c r="F370" s="48" t="s">
        <v>2699</v>
      </c>
      <c r="G370" s="45" t="s">
        <v>174</v>
      </c>
    </row>
    <row r="371" spans="1:7" ht="13.5" customHeight="1" x14ac:dyDescent="0.35">
      <c r="A371" s="47">
        <v>43630</v>
      </c>
      <c r="B371" s="426" t="s">
        <v>2621</v>
      </c>
      <c r="C371" s="45" t="s">
        <v>1274</v>
      </c>
      <c r="D371" s="45" t="s">
        <v>159</v>
      </c>
      <c r="E371" s="435">
        <v>950</v>
      </c>
      <c r="F371" s="45" t="s">
        <v>2700</v>
      </c>
      <c r="G371" s="45" t="s">
        <v>175</v>
      </c>
    </row>
    <row r="372" spans="1:7" ht="13.5" customHeight="1" x14ac:dyDescent="0.35">
      <c r="A372" s="47">
        <v>43630</v>
      </c>
      <c r="B372" s="426" t="s">
        <v>2621</v>
      </c>
      <c r="C372" s="45" t="s">
        <v>1274</v>
      </c>
      <c r="D372" s="45" t="s">
        <v>159</v>
      </c>
      <c r="E372" s="435">
        <v>150</v>
      </c>
      <c r="F372" s="45" t="s">
        <v>2701</v>
      </c>
      <c r="G372" s="45" t="s">
        <v>175</v>
      </c>
    </row>
    <row r="373" spans="1:7" ht="13.5" customHeight="1" x14ac:dyDescent="0.35">
      <c r="A373" s="47">
        <v>43629</v>
      </c>
      <c r="B373" s="45" t="s">
        <v>2702</v>
      </c>
      <c r="C373" s="45" t="s">
        <v>2518</v>
      </c>
      <c r="D373" s="45" t="s">
        <v>160</v>
      </c>
      <c r="E373" s="53">
        <v>26.34</v>
      </c>
      <c r="F373" s="45" t="s">
        <v>2703</v>
      </c>
      <c r="G373" s="45" t="s">
        <v>175</v>
      </c>
    </row>
    <row r="374" spans="1:7" ht="13.5" customHeight="1" x14ac:dyDescent="0.35">
      <c r="A374" s="47">
        <v>43629</v>
      </c>
      <c r="B374" s="45" t="s">
        <v>2704</v>
      </c>
      <c r="C374" s="45" t="s">
        <v>1278</v>
      </c>
      <c r="D374" s="45" t="s">
        <v>159</v>
      </c>
      <c r="E374" s="53">
        <v>60</v>
      </c>
      <c r="F374" s="45" t="s">
        <v>2109</v>
      </c>
      <c r="G374" s="45" t="s">
        <v>175</v>
      </c>
    </row>
    <row r="375" spans="1:7" ht="13.5" customHeight="1" x14ac:dyDescent="0.35">
      <c r="A375" s="47">
        <v>43627</v>
      </c>
      <c r="B375" s="45" t="s">
        <v>2692</v>
      </c>
      <c r="C375" s="45" t="s">
        <v>1274</v>
      </c>
      <c r="D375" s="45" t="s">
        <v>162</v>
      </c>
      <c r="E375" s="53">
        <v>75</v>
      </c>
      <c r="F375" s="45" t="s">
        <v>224</v>
      </c>
      <c r="G375" s="45" t="s">
        <v>175</v>
      </c>
    </row>
    <row r="376" spans="1:7" ht="13.5" customHeight="1" x14ac:dyDescent="0.35">
      <c r="A376" s="47">
        <v>43623</v>
      </c>
      <c r="B376" s="45" t="s">
        <v>2705</v>
      </c>
      <c r="C376" s="45" t="s">
        <v>1279</v>
      </c>
      <c r="D376" s="45" t="s">
        <v>164</v>
      </c>
      <c r="E376" s="53">
        <v>400</v>
      </c>
      <c r="F376" s="45" t="s">
        <v>2257</v>
      </c>
      <c r="G376" s="45" t="s">
        <v>175</v>
      </c>
    </row>
    <row r="377" spans="1:7" ht="13.5" customHeight="1" x14ac:dyDescent="0.35">
      <c r="A377" s="47">
        <v>43622</v>
      </c>
      <c r="B377" s="45" t="s">
        <v>2097</v>
      </c>
      <c r="C377" s="45" t="s">
        <v>1274</v>
      </c>
      <c r="D377" s="45" t="s">
        <v>160</v>
      </c>
      <c r="E377" s="53">
        <v>150</v>
      </c>
      <c r="F377" s="45" t="s">
        <v>1467</v>
      </c>
      <c r="G377" s="45" t="s">
        <v>174</v>
      </c>
    </row>
    <row r="378" spans="1:7" ht="13.5" customHeight="1" x14ac:dyDescent="0.35">
      <c r="A378" s="47">
        <v>43622</v>
      </c>
      <c r="B378" s="45" t="s">
        <v>2706</v>
      </c>
      <c r="C378" s="45" t="s">
        <v>1274</v>
      </c>
      <c r="D378" s="45" t="s">
        <v>160</v>
      </c>
      <c r="E378" s="53">
        <v>75</v>
      </c>
      <c r="F378" s="45" t="s">
        <v>1467</v>
      </c>
      <c r="G378" s="45" t="s">
        <v>175</v>
      </c>
    </row>
    <row r="379" spans="1:7" ht="13.5" customHeight="1" x14ac:dyDescent="0.35">
      <c r="A379" s="47">
        <v>43622</v>
      </c>
      <c r="B379" s="45" t="s">
        <v>2707</v>
      </c>
      <c r="C379" s="45" t="s">
        <v>2519</v>
      </c>
      <c r="D379" s="45" t="s">
        <v>159</v>
      </c>
      <c r="E379" s="53">
        <v>50</v>
      </c>
      <c r="F379" s="45" t="s">
        <v>937</v>
      </c>
      <c r="G379" s="45" t="s">
        <v>174</v>
      </c>
    </row>
    <row r="380" spans="1:7" ht="13.5" customHeight="1" x14ac:dyDescent="0.35">
      <c r="A380" s="47">
        <v>43621</v>
      </c>
      <c r="B380" s="45" t="s">
        <v>2145</v>
      </c>
      <c r="C380" s="45" t="s">
        <v>28</v>
      </c>
      <c r="D380" s="45" t="s">
        <v>159</v>
      </c>
      <c r="E380" s="53">
        <v>200</v>
      </c>
      <c r="F380" s="45" t="s">
        <v>2708</v>
      </c>
      <c r="G380" s="45" t="s">
        <v>175</v>
      </c>
    </row>
    <row r="381" spans="1:7" ht="13.5" customHeight="1" x14ac:dyDescent="0.35">
      <c r="A381" s="47">
        <v>43621</v>
      </c>
      <c r="B381" s="45" t="s">
        <v>2134</v>
      </c>
      <c r="C381" s="45" t="s">
        <v>1274</v>
      </c>
      <c r="D381" s="45" t="s">
        <v>159</v>
      </c>
      <c r="E381" s="53">
        <v>75</v>
      </c>
      <c r="F381" s="45" t="s">
        <v>1467</v>
      </c>
      <c r="G381" s="45" t="s">
        <v>175</v>
      </c>
    </row>
    <row r="382" spans="1:7" ht="13.5" customHeight="1" x14ac:dyDescent="0.35">
      <c r="A382" s="47">
        <v>43619</v>
      </c>
      <c r="B382" s="45" t="s">
        <v>2709</v>
      </c>
      <c r="C382" s="45" t="s">
        <v>28</v>
      </c>
      <c r="D382" s="45" t="s">
        <v>159</v>
      </c>
      <c r="E382" s="53">
        <v>75</v>
      </c>
      <c r="F382" s="45" t="s">
        <v>2710</v>
      </c>
      <c r="G382" s="45" t="s">
        <v>175</v>
      </c>
    </row>
    <row r="383" spans="1:7" ht="13.5" customHeight="1" x14ac:dyDescent="0.35">
      <c r="A383" s="47">
        <v>43618</v>
      </c>
      <c r="B383" s="45" t="s">
        <v>2711</v>
      </c>
      <c r="C383" s="45" t="s">
        <v>1274</v>
      </c>
      <c r="D383" s="45" t="s">
        <v>160</v>
      </c>
      <c r="E383" s="53">
        <v>99</v>
      </c>
      <c r="F383" s="45" t="s">
        <v>1228</v>
      </c>
      <c r="G383" s="45" t="s">
        <v>174</v>
      </c>
    </row>
    <row r="384" spans="1:7" ht="13.5" customHeight="1" x14ac:dyDescent="0.35">
      <c r="A384" s="47">
        <v>43618</v>
      </c>
      <c r="B384" s="45" t="s">
        <v>1801</v>
      </c>
      <c r="C384" s="45" t="s">
        <v>1274</v>
      </c>
      <c r="D384" s="45" t="s">
        <v>159</v>
      </c>
      <c r="E384" s="53">
        <v>75</v>
      </c>
      <c r="F384" s="45" t="s">
        <v>1467</v>
      </c>
      <c r="G384" s="45" t="s">
        <v>179</v>
      </c>
    </row>
    <row r="385" spans="1:7" ht="13.5" customHeight="1" x14ac:dyDescent="0.35">
      <c r="A385" s="47">
        <v>43618</v>
      </c>
      <c r="B385" s="45" t="s">
        <v>2712</v>
      </c>
      <c r="C385" s="45" t="s">
        <v>1274</v>
      </c>
      <c r="D385" s="45" t="s">
        <v>160</v>
      </c>
      <c r="E385" s="53">
        <v>75</v>
      </c>
      <c r="F385" s="45" t="s">
        <v>1467</v>
      </c>
      <c r="G385" s="45" t="s">
        <v>179</v>
      </c>
    </row>
    <row r="386" spans="1:7" ht="13.5" customHeight="1" x14ac:dyDescent="0.35">
      <c r="A386" s="47">
        <v>43617</v>
      </c>
      <c r="B386" s="45" t="s">
        <v>2713</v>
      </c>
      <c r="C386" s="426" t="s">
        <v>1276</v>
      </c>
      <c r="D386" s="426" t="s">
        <v>161</v>
      </c>
      <c r="E386" s="567">
        <v>1030</v>
      </c>
      <c r="F386" s="426" t="s">
        <v>1078</v>
      </c>
      <c r="G386" s="426" t="s">
        <v>175</v>
      </c>
    </row>
    <row r="387" spans="1:7" ht="13.5" customHeight="1" x14ac:dyDescent="0.35">
      <c r="A387" s="47">
        <v>43617</v>
      </c>
      <c r="B387" s="45" t="s">
        <v>2714</v>
      </c>
      <c r="C387" s="426" t="s">
        <v>1278</v>
      </c>
      <c r="D387" s="426" t="s">
        <v>161</v>
      </c>
      <c r="E387" s="567">
        <v>60</v>
      </c>
      <c r="F387" s="426" t="s">
        <v>292</v>
      </c>
      <c r="G387" s="426" t="s">
        <v>175</v>
      </c>
    </row>
    <row r="388" spans="1:7" ht="13.5" customHeight="1" x14ac:dyDescent="0.35">
      <c r="A388" s="47"/>
      <c r="B388" s="45"/>
      <c r="C388" s="45"/>
      <c r="D388" s="45"/>
      <c r="E388" s="53"/>
      <c r="F388" s="45"/>
      <c r="G388" s="45"/>
    </row>
    <row r="389" spans="1:7" ht="13.5" customHeight="1" x14ac:dyDescent="0.35">
      <c r="A389" s="47">
        <v>43615</v>
      </c>
      <c r="B389" s="45" t="s">
        <v>2145</v>
      </c>
      <c r="C389" s="45" t="s">
        <v>28</v>
      </c>
      <c r="D389" s="45" t="s">
        <v>160</v>
      </c>
      <c r="E389" s="53">
        <v>20</v>
      </c>
      <c r="F389" s="45" t="s">
        <v>1236</v>
      </c>
      <c r="G389" s="45" t="s">
        <v>174</v>
      </c>
    </row>
    <row r="390" spans="1:7" ht="13.5" customHeight="1" x14ac:dyDescent="0.35">
      <c r="A390" s="47">
        <v>43614</v>
      </c>
      <c r="B390" s="45" t="s">
        <v>2715</v>
      </c>
      <c r="C390" s="45" t="s">
        <v>1274</v>
      </c>
      <c r="D390" s="45" t="s">
        <v>160</v>
      </c>
      <c r="E390" s="53">
        <v>75</v>
      </c>
      <c r="F390" s="45" t="s">
        <v>1467</v>
      </c>
      <c r="G390" s="45" t="s">
        <v>175</v>
      </c>
    </row>
    <row r="391" spans="1:7" ht="13.5" customHeight="1" x14ac:dyDescent="0.35">
      <c r="A391" s="47">
        <v>43613</v>
      </c>
      <c r="B391" s="45" t="s">
        <v>2716</v>
      </c>
      <c r="C391" s="45" t="s">
        <v>1274</v>
      </c>
      <c r="D391" s="45" t="s">
        <v>159</v>
      </c>
      <c r="E391" s="53">
        <v>10</v>
      </c>
      <c r="F391" s="45" t="s">
        <v>324</v>
      </c>
      <c r="G391" s="45" t="s">
        <v>175</v>
      </c>
    </row>
    <row r="392" spans="1:7" ht="13.5" customHeight="1" x14ac:dyDescent="0.35">
      <c r="A392" s="47">
        <v>43614</v>
      </c>
      <c r="B392" s="45" t="s">
        <v>2717</v>
      </c>
      <c r="C392" s="45" t="s">
        <v>28</v>
      </c>
      <c r="D392" s="45" t="s">
        <v>160</v>
      </c>
      <c r="E392" s="53">
        <v>395</v>
      </c>
      <c r="F392" s="45" t="s">
        <v>1058</v>
      </c>
      <c r="G392" s="45" t="s">
        <v>174</v>
      </c>
    </row>
    <row r="393" spans="1:7" ht="13.5" customHeight="1" x14ac:dyDescent="0.35">
      <c r="A393" s="47">
        <v>43613</v>
      </c>
      <c r="B393" s="45" t="s">
        <v>732</v>
      </c>
      <c r="C393" s="45" t="s">
        <v>1274</v>
      </c>
      <c r="D393" s="45" t="s">
        <v>159</v>
      </c>
      <c r="E393" s="53">
        <v>10</v>
      </c>
      <c r="F393" s="45" t="s">
        <v>324</v>
      </c>
      <c r="G393" s="45" t="s">
        <v>175</v>
      </c>
    </row>
    <row r="394" spans="1:7" ht="13.5" customHeight="1" x14ac:dyDescent="0.35">
      <c r="A394" s="47">
        <v>43612</v>
      </c>
      <c r="B394" s="45" t="s">
        <v>2649</v>
      </c>
      <c r="C394" s="45" t="s">
        <v>1274</v>
      </c>
      <c r="D394" s="45" t="s">
        <v>159</v>
      </c>
      <c r="E394" s="53">
        <v>75</v>
      </c>
      <c r="F394" s="45" t="s">
        <v>501</v>
      </c>
      <c r="G394" s="45" t="s">
        <v>174</v>
      </c>
    </row>
    <row r="395" spans="1:7" ht="13.5" customHeight="1" x14ac:dyDescent="0.35">
      <c r="A395" s="47">
        <v>43612</v>
      </c>
      <c r="B395" s="45" t="s">
        <v>2489</v>
      </c>
      <c r="C395" s="45" t="s">
        <v>1274</v>
      </c>
      <c r="D395" s="45" t="s">
        <v>160</v>
      </c>
      <c r="E395" s="53">
        <v>75</v>
      </c>
      <c r="F395" s="45" t="s">
        <v>501</v>
      </c>
      <c r="G395" s="45" t="s">
        <v>175</v>
      </c>
    </row>
    <row r="396" spans="1:7" ht="13.5" customHeight="1" x14ac:dyDescent="0.35">
      <c r="A396" s="47">
        <v>43611</v>
      </c>
      <c r="B396" s="45" t="s">
        <v>2718</v>
      </c>
      <c r="C396" s="45" t="s">
        <v>1274</v>
      </c>
      <c r="D396" s="45" t="s">
        <v>159</v>
      </c>
      <c r="E396" s="53">
        <v>75</v>
      </c>
      <c r="F396" s="45" t="s">
        <v>501</v>
      </c>
      <c r="G396" s="45" t="s">
        <v>179</v>
      </c>
    </row>
    <row r="397" spans="1:7" ht="13.5" customHeight="1" x14ac:dyDescent="0.35">
      <c r="A397" s="47">
        <v>43608</v>
      </c>
      <c r="B397" s="45" t="s">
        <v>2659</v>
      </c>
      <c r="C397" s="45" t="s">
        <v>1274</v>
      </c>
      <c r="D397" s="45" t="s">
        <v>166</v>
      </c>
      <c r="E397" s="53">
        <v>119</v>
      </c>
      <c r="F397" s="45" t="s">
        <v>161</v>
      </c>
      <c r="G397" s="45" t="s">
        <v>175</v>
      </c>
    </row>
    <row r="398" spans="1:7" ht="13.5" customHeight="1" x14ac:dyDescent="0.35">
      <c r="A398" s="47">
        <v>43608</v>
      </c>
      <c r="B398" s="45" t="s">
        <v>2659</v>
      </c>
      <c r="C398" s="45" t="s">
        <v>1277</v>
      </c>
      <c r="D398" s="45" t="s">
        <v>166</v>
      </c>
      <c r="E398" s="53">
        <v>-119</v>
      </c>
      <c r="F398" s="45" t="s">
        <v>161</v>
      </c>
      <c r="G398" s="45" t="s">
        <v>175</v>
      </c>
    </row>
    <row r="399" spans="1:7" ht="13.5" customHeight="1" x14ac:dyDescent="0.35">
      <c r="A399" s="47">
        <v>43607</v>
      </c>
      <c r="B399" s="45" t="s">
        <v>2719</v>
      </c>
      <c r="C399" s="45" t="s">
        <v>1279</v>
      </c>
      <c r="D399" s="45" t="s">
        <v>159</v>
      </c>
      <c r="E399" s="53">
        <v>100</v>
      </c>
      <c r="F399" s="48" t="s">
        <v>941</v>
      </c>
      <c r="G399" s="45" t="s">
        <v>174</v>
      </c>
    </row>
    <row r="400" spans="1:7" ht="13.5" customHeight="1" x14ac:dyDescent="0.35">
      <c r="A400" s="47">
        <v>43607</v>
      </c>
      <c r="B400" s="45" t="s">
        <v>2720</v>
      </c>
      <c r="C400" s="45" t="s">
        <v>2517</v>
      </c>
      <c r="D400" s="45" t="s">
        <v>159</v>
      </c>
      <c r="E400" s="53">
        <v>30</v>
      </c>
      <c r="F400" s="45" t="s">
        <v>734</v>
      </c>
      <c r="G400" s="45" t="s">
        <v>174</v>
      </c>
    </row>
    <row r="401" spans="1:7" ht="13.5" customHeight="1" x14ac:dyDescent="0.35">
      <c r="A401" s="47">
        <v>43605</v>
      </c>
      <c r="B401" s="45" t="s">
        <v>2721</v>
      </c>
      <c r="C401" s="45" t="s">
        <v>1274</v>
      </c>
      <c r="D401" s="45" t="s">
        <v>160</v>
      </c>
      <c r="E401" s="53">
        <v>75</v>
      </c>
      <c r="F401" s="45" t="s">
        <v>1467</v>
      </c>
      <c r="G401" s="45" t="s">
        <v>174</v>
      </c>
    </row>
    <row r="402" spans="1:7" ht="13.5" customHeight="1" x14ac:dyDescent="0.35">
      <c r="A402" s="47">
        <v>43605</v>
      </c>
      <c r="B402" s="45" t="s">
        <v>2235</v>
      </c>
      <c r="C402" s="45" t="s">
        <v>1274</v>
      </c>
      <c r="D402" s="45" t="s">
        <v>166</v>
      </c>
      <c r="E402" s="53">
        <v>960</v>
      </c>
      <c r="F402" s="45" t="s">
        <v>2685</v>
      </c>
      <c r="G402" s="45" t="s">
        <v>175</v>
      </c>
    </row>
    <row r="403" spans="1:7" ht="13.5" customHeight="1" x14ac:dyDescent="0.35">
      <c r="A403" s="47">
        <v>43605</v>
      </c>
      <c r="B403" s="45" t="s">
        <v>2235</v>
      </c>
      <c r="C403" s="45" t="s">
        <v>1277</v>
      </c>
      <c r="D403" s="45" t="s">
        <v>166</v>
      </c>
      <c r="E403" s="53">
        <v>-960</v>
      </c>
      <c r="F403" s="45" t="s">
        <v>2685</v>
      </c>
      <c r="G403" s="45" t="s">
        <v>175</v>
      </c>
    </row>
    <row r="404" spans="1:7" ht="13.5" customHeight="1" x14ac:dyDescent="0.35">
      <c r="A404" s="47">
        <v>43604</v>
      </c>
      <c r="B404" s="45" t="s">
        <v>2722</v>
      </c>
      <c r="C404" s="45" t="s">
        <v>1274</v>
      </c>
      <c r="D404" s="45" t="s">
        <v>159</v>
      </c>
      <c r="E404" s="53">
        <v>475</v>
      </c>
      <c r="F404" s="45" t="s">
        <v>496</v>
      </c>
      <c r="G404" s="45" t="s">
        <v>175</v>
      </c>
    </row>
    <row r="405" spans="1:7" ht="13.5" customHeight="1" x14ac:dyDescent="0.35">
      <c r="A405" s="47">
        <v>43602</v>
      </c>
      <c r="B405" s="45" t="s">
        <v>2096</v>
      </c>
      <c r="C405" s="45" t="s">
        <v>1274</v>
      </c>
      <c r="D405" s="45" t="s">
        <v>159</v>
      </c>
      <c r="E405" s="53">
        <v>725</v>
      </c>
      <c r="F405" s="45" t="s">
        <v>504</v>
      </c>
      <c r="G405" s="45" t="s">
        <v>174</v>
      </c>
    </row>
    <row r="406" spans="1:7" ht="13.5" customHeight="1" x14ac:dyDescent="0.35">
      <c r="A406" s="47">
        <v>43602</v>
      </c>
      <c r="B406" s="45" t="s">
        <v>2202</v>
      </c>
      <c r="C406" s="45" t="s">
        <v>1274</v>
      </c>
      <c r="D406" s="45" t="s">
        <v>160</v>
      </c>
      <c r="E406" s="53">
        <v>75</v>
      </c>
      <c r="F406" s="45" t="s">
        <v>1467</v>
      </c>
      <c r="G406" s="45" t="s">
        <v>179</v>
      </c>
    </row>
    <row r="407" spans="1:7" ht="13.5" customHeight="1" x14ac:dyDescent="0.35">
      <c r="A407" s="47">
        <v>43602</v>
      </c>
      <c r="B407" s="45" t="s">
        <v>1675</v>
      </c>
      <c r="C407" s="45" t="s">
        <v>1274</v>
      </c>
      <c r="D407" s="45" t="s">
        <v>159</v>
      </c>
      <c r="E407" s="53">
        <v>725</v>
      </c>
      <c r="F407" s="45" t="s">
        <v>504</v>
      </c>
      <c r="G407" s="45" t="s">
        <v>175</v>
      </c>
    </row>
    <row r="408" spans="1:7" ht="13.5" customHeight="1" x14ac:dyDescent="0.35">
      <c r="A408" s="47">
        <v>43602</v>
      </c>
      <c r="B408" s="45" t="s">
        <v>2723</v>
      </c>
      <c r="C408" s="45" t="s">
        <v>28</v>
      </c>
      <c r="D408" s="45" t="s">
        <v>159</v>
      </c>
      <c r="E408" s="53">
        <v>20</v>
      </c>
      <c r="F408" s="45" t="s">
        <v>1236</v>
      </c>
      <c r="G408" s="45" t="s">
        <v>174</v>
      </c>
    </row>
    <row r="409" spans="1:7" ht="13.5" customHeight="1" x14ac:dyDescent="0.35">
      <c r="A409" s="47">
        <v>43601</v>
      </c>
      <c r="B409" s="45" t="s">
        <v>2724</v>
      </c>
      <c r="C409" s="45" t="s">
        <v>1274</v>
      </c>
      <c r="D409" s="45" t="s">
        <v>159</v>
      </c>
      <c r="E409" s="53">
        <v>10</v>
      </c>
      <c r="F409" s="45" t="s">
        <v>324</v>
      </c>
      <c r="G409" s="45" t="s">
        <v>175</v>
      </c>
    </row>
    <row r="410" spans="1:7" ht="13.5" customHeight="1" x14ac:dyDescent="0.35">
      <c r="A410" s="47">
        <v>43599</v>
      </c>
      <c r="B410" s="45" t="s">
        <v>732</v>
      </c>
      <c r="C410" s="45" t="s">
        <v>1279</v>
      </c>
      <c r="D410" s="45" t="s">
        <v>162</v>
      </c>
      <c r="E410" s="53">
        <v>235</v>
      </c>
      <c r="F410" s="48" t="s">
        <v>2725</v>
      </c>
      <c r="G410" s="45" t="s">
        <v>175</v>
      </c>
    </row>
    <row r="411" spans="1:7" ht="13.5" customHeight="1" x14ac:dyDescent="0.35">
      <c r="A411" s="47">
        <v>43599</v>
      </c>
      <c r="B411" s="45" t="s">
        <v>2095</v>
      </c>
      <c r="C411" s="45" t="s">
        <v>1274</v>
      </c>
      <c r="D411" s="45" t="s">
        <v>160</v>
      </c>
      <c r="E411" s="53">
        <v>675</v>
      </c>
      <c r="F411" s="45" t="s">
        <v>504</v>
      </c>
      <c r="G411" s="45" t="s">
        <v>175</v>
      </c>
    </row>
    <row r="412" spans="1:7" ht="13.5" customHeight="1" x14ac:dyDescent="0.35">
      <c r="A412" s="47">
        <v>43599</v>
      </c>
      <c r="B412" s="45" t="s">
        <v>2097</v>
      </c>
      <c r="C412" s="45" t="s">
        <v>1274</v>
      </c>
      <c r="D412" s="45" t="s">
        <v>160</v>
      </c>
      <c r="E412" s="53">
        <v>675</v>
      </c>
      <c r="F412" s="45" t="s">
        <v>504</v>
      </c>
      <c r="G412" s="45" t="s">
        <v>174</v>
      </c>
    </row>
    <row r="413" spans="1:7" ht="13.5" customHeight="1" x14ac:dyDescent="0.35">
      <c r="A413" s="47">
        <v>43593</v>
      </c>
      <c r="B413" s="45" t="s">
        <v>2726</v>
      </c>
      <c r="C413" s="45" t="s">
        <v>1274</v>
      </c>
      <c r="D413" s="45" t="s">
        <v>159</v>
      </c>
      <c r="E413" s="53">
        <v>75</v>
      </c>
      <c r="F413" s="45" t="s">
        <v>501</v>
      </c>
      <c r="G413" s="45" t="s">
        <v>174</v>
      </c>
    </row>
    <row r="414" spans="1:7" ht="13.5" customHeight="1" x14ac:dyDescent="0.35">
      <c r="A414" s="47">
        <v>43592</v>
      </c>
      <c r="B414" s="45" t="s">
        <v>2727</v>
      </c>
      <c r="C414" s="45" t="s">
        <v>1274</v>
      </c>
      <c r="D414" s="45" t="s">
        <v>160</v>
      </c>
      <c r="E414" s="53">
        <v>99</v>
      </c>
      <c r="F414" s="45" t="s">
        <v>2728</v>
      </c>
      <c r="G414" s="45" t="s">
        <v>174</v>
      </c>
    </row>
    <row r="415" spans="1:7" ht="13.5" customHeight="1" x14ac:dyDescent="0.35">
      <c r="A415" s="47">
        <v>43590</v>
      </c>
      <c r="B415" s="45" t="s">
        <v>2729</v>
      </c>
      <c r="C415" s="45" t="s">
        <v>28</v>
      </c>
      <c r="D415" s="45" t="s">
        <v>160</v>
      </c>
      <c r="E415" s="53">
        <v>20</v>
      </c>
      <c r="F415" s="45" t="s">
        <v>1236</v>
      </c>
      <c r="G415" s="45" t="s">
        <v>174</v>
      </c>
    </row>
    <row r="416" spans="1:7" ht="13.5" customHeight="1" x14ac:dyDescent="0.35">
      <c r="A416" s="47">
        <v>43588</v>
      </c>
      <c r="B416" s="45" t="s">
        <v>2705</v>
      </c>
      <c r="C416" s="45" t="s">
        <v>1279</v>
      </c>
      <c r="D416" s="45" t="s">
        <v>159</v>
      </c>
      <c r="E416" s="53">
        <v>360</v>
      </c>
      <c r="F416" s="45" t="s">
        <v>2730</v>
      </c>
      <c r="G416" s="45" t="s">
        <v>175</v>
      </c>
    </row>
    <row r="417" spans="1:7" ht="13.5" customHeight="1" x14ac:dyDescent="0.35">
      <c r="A417" s="47">
        <v>43588</v>
      </c>
      <c r="B417" s="45" t="s">
        <v>2621</v>
      </c>
      <c r="C417" s="45" t="s">
        <v>28</v>
      </c>
      <c r="D417" s="45" t="s">
        <v>159</v>
      </c>
      <c r="E417" s="53">
        <v>400</v>
      </c>
      <c r="F417" s="45" t="s">
        <v>2731</v>
      </c>
      <c r="G417" s="45" t="s">
        <v>175</v>
      </c>
    </row>
    <row r="418" spans="1:7" ht="13.5" customHeight="1" x14ac:dyDescent="0.35">
      <c r="A418" s="47">
        <v>38386</v>
      </c>
      <c r="B418" s="45" t="s">
        <v>2732</v>
      </c>
      <c r="C418" s="45" t="s">
        <v>1274</v>
      </c>
      <c r="D418" s="45" t="s">
        <v>159</v>
      </c>
      <c r="E418" s="53">
        <v>99</v>
      </c>
      <c r="F418" s="45" t="s">
        <v>2669</v>
      </c>
      <c r="G418" s="45" t="s">
        <v>177</v>
      </c>
    </row>
    <row r="419" spans="1:7" ht="13.5" customHeight="1" x14ac:dyDescent="0.35">
      <c r="A419" s="47">
        <v>43587</v>
      </c>
      <c r="B419" s="45" t="s">
        <v>1187</v>
      </c>
      <c r="C419" s="45" t="s">
        <v>1274</v>
      </c>
      <c r="D419" s="45" t="s">
        <v>162</v>
      </c>
      <c r="E419" s="53">
        <v>10</v>
      </c>
      <c r="F419" s="45" t="s">
        <v>324</v>
      </c>
      <c r="G419" s="45" t="s">
        <v>175</v>
      </c>
    </row>
    <row r="420" spans="1:7" ht="13.5" customHeight="1" x14ac:dyDescent="0.35">
      <c r="A420" s="47">
        <v>43587</v>
      </c>
      <c r="B420" s="45" t="s">
        <v>2733</v>
      </c>
      <c r="C420" s="45" t="s">
        <v>1274</v>
      </c>
      <c r="D420" s="45" t="s">
        <v>160</v>
      </c>
      <c r="E420" s="53">
        <v>75</v>
      </c>
      <c r="F420" s="45" t="s">
        <v>1467</v>
      </c>
      <c r="G420" s="45" t="s">
        <v>174</v>
      </c>
    </row>
    <row r="421" spans="1:7" ht="13.5" customHeight="1" x14ac:dyDescent="0.35">
      <c r="A421" s="47">
        <v>43586</v>
      </c>
      <c r="B421" s="45" t="s">
        <v>2734</v>
      </c>
      <c r="C421" s="426" t="s">
        <v>1276</v>
      </c>
      <c r="D421" s="426" t="s">
        <v>161</v>
      </c>
      <c r="E421" s="567">
        <v>1105</v>
      </c>
      <c r="F421" s="426" t="s">
        <v>1078</v>
      </c>
      <c r="G421" s="426" t="s">
        <v>175</v>
      </c>
    </row>
    <row r="422" spans="1:7" ht="13.5" customHeight="1" x14ac:dyDescent="0.35">
      <c r="A422" s="47">
        <v>43586</v>
      </c>
      <c r="B422" s="45" t="s">
        <v>2735</v>
      </c>
      <c r="C422" s="426" t="s">
        <v>1278</v>
      </c>
      <c r="D422" s="426" t="s">
        <v>161</v>
      </c>
      <c r="E422" s="567">
        <v>80</v>
      </c>
      <c r="F422" s="426" t="s">
        <v>292</v>
      </c>
      <c r="G422" s="426" t="s">
        <v>175</v>
      </c>
    </row>
    <row r="423" spans="1:7" ht="13.5" customHeight="1" x14ac:dyDescent="0.35">
      <c r="A423" s="47"/>
      <c r="B423" s="45"/>
      <c r="C423" s="45"/>
      <c r="D423" s="45"/>
      <c r="E423" s="53"/>
      <c r="F423" s="45"/>
      <c r="G423" s="45"/>
    </row>
    <row r="424" spans="1:7" ht="13.5" customHeight="1" x14ac:dyDescent="0.35">
      <c r="A424" s="47"/>
      <c r="B424" s="45"/>
      <c r="C424" s="45"/>
      <c r="D424" s="45"/>
      <c r="E424" s="53"/>
      <c r="F424" s="45"/>
      <c r="G424" s="45"/>
    </row>
    <row r="425" spans="1:7" ht="13.5" customHeight="1" x14ac:dyDescent="0.35">
      <c r="A425" s="47">
        <v>43585</v>
      </c>
      <c r="B425" s="45" t="s">
        <v>2621</v>
      </c>
      <c r="C425" s="45" t="s">
        <v>1279</v>
      </c>
      <c r="D425" s="45" t="s">
        <v>160</v>
      </c>
      <c r="E425" s="53">
        <v>195</v>
      </c>
      <c r="F425" s="48" t="s">
        <v>941</v>
      </c>
      <c r="G425" s="45" t="s">
        <v>179</v>
      </c>
    </row>
    <row r="426" spans="1:7" ht="13.5" customHeight="1" x14ac:dyDescent="0.35">
      <c r="A426" s="47">
        <v>43585</v>
      </c>
      <c r="B426" s="45" t="s">
        <v>2736</v>
      </c>
      <c r="C426" s="45" t="s">
        <v>28</v>
      </c>
      <c r="D426" s="45" t="s">
        <v>166</v>
      </c>
      <c r="E426" s="53">
        <v>250</v>
      </c>
      <c r="F426" s="45" t="s">
        <v>2737</v>
      </c>
      <c r="G426" s="45" t="s">
        <v>175</v>
      </c>
    </row>
    <row r="427" spans="1:7" ht="13.5" customHeight="1" x14ac:dyDescent="0.35">
      <c r="A427" s="47">
        <v>43585</v>
      </c>
      <c r="B427" s="45" t="s">
        <v>2736</v>
      </c>
      <c r="C427" s="45" t="s">
        <v>1277</v>
      </c>
      <c r="D427" s="45" t="s">
        <v>166</v>
      </c>
      <c r="E427" s="53">
        <v>-250</v>
      </c>
      <c r="F427" s="45" t="s">
        <v>2737</v>
      </c>
      <c r="G427" s="45" t="s">
        <v>175</v>
      </c>
    </row>
    <row r="428" spans="1:7" ht="13.5" customHeight="1" x14ac:dyDescent="0.35">
      <c r="A428" s="47">
        <v>43585</v>
      </c>
      <c r="B428" s="45" t="s">
        <v>2738</v>
      </c>
      <c r="C428" s="45" t="s">
        <v>1279</v>
      </c>
      <c r="D428" s="45" t="s">
        <v>159</v>
      </c>
      <c r="E428" s="53">
        <v>65</v>
      </c>
      <c r="F428" s="48" t="s">
        <v>941</v>
      </c>
      <c r="G428" s="45" t="s">
        <v>175</v>
      </c>
    </row>
    <row r="429" spans="1:7" ht="13.5" customHeight="1" x14ac:dyDescent="0.35">
      <c r="A429" s="47">
        <v>43585</v>
      </c>
      <c r="B429" s="45" t="s">
        <v>2738</v>
      </c>
      <c r="C429" s="45" t="s">
        <v>1274</v>
      </c>
      <c r="D429" s="45" t="s">
        <v>159</v>
      </c>
      <c r="E429" s="53">
        <v>75</v>
      </c>
      <c r="F429" s="45" t="s">
        <v>1467</v>
      </c>
      <c r="G429" s="45" t="s">
        <v>175</v>
      </c>
    </row>
    <row r="430" spans="1:7" ht="13.5" customHeight="1" x14ac:dyDescent="0.35">
      <c r="A430" s="47">
        <v>43584</v>
      </c>
      <c r="B430" s="45" t="s">
        <v>2394</v>
      </c>
      <c r="C430" s="45" t="s">
        <v>1274</v>
      </c>
      <c r="D430" s="45" t="s">
        <v>159</v>
      </c>
      <c r="E430" s="53">
        <v>20</v>
      </c>
      <c r="F430" s="45" t="s">
        <v>324</v>
      </c>
      <c r="G430" s="45" t="s">
        <v>175</v>
      </c>
    </row>
    <row r="431" spans="1:7" ht="13.5" customHeight="1" x14ac:dyDescent="0.35">
      <c r="A431" s="47">
        <v>43584</v>
      </c>
      <c r="B431" s="45" t="s">
        <v>2739</v>
      </c>
      <c r="C431" s="45" t="s">
        <v>2517</v>
      </c>
      <c r="D431" s="45" t="s">
        <v>159</v>
      </c>
      <c r="E431" s="53">
        <v>30</v>
      </c>
      <c r="F431" s="45" t="s">
        <v>734</v>
      </c>
      <c r="G431" s="45" t="s">
        <v>174</v>
      </c>
    </row>
    <row r="432" spans="1:7" ht="13.5" customHeight="1" x14ac:dyDescent="0.35">
      <c r="A432" s="47">
        <v>43583</v>
      </c>
      <c r="B432" s="45" t="s">
        <v>2740</v>
      </c>
      <c r="C432" s="45" t="s">
        <v>28</v>
      </c>
      <c r="D432" s="45" t="s">
        <v>160</v>
      </c>
      <c r="E432" s="53">
        <v>250</v>
      </c>
      <c r="F432" s="45" t="s">
        <v>2741</v>
      </c>
      <c r="G432" s="45" t="s">
        <v>175</v>
      </c>
    </row>
    <row r="433" spans="1:7" ht="13.5" customHeight="1" x14ac:dyDescent="0.35">
      <c r="A433" s="47">
        <v>43581</v>
      </c>
      <c r="B433" s="45" t="s">
        <v>2742</v>
      </c>
      <c r="C433" s="45" t="s">
        <v>28</v>
      </c>
      <c r="D433" s="45" t="s">
        <v>159</v>
      </c>
      <c r="E433" s="53">
        <v>250</v>
      </c>
      <c r="F433" s="45" t="s">
        <v>2743</v>
      </c>
      <c r="G433" s="45" t="s">
        <v>175</v>
      </c>
    </row>
    <row r="434" spans="1:7" ht="13.5" customHeight="1" x14ac:dyDescent="0.35">
      <c r="A434" s="47">
        <v>43580</v>
      </c>
      <c r="B434" s="45" t="s">
        <v>276</v>
      </c>
      <c r="C434" s="45" t="s">
        <v>1274</v>
      </c>
      <c r="D434" s="45" t="s">
        <v>160</v>
      </c>
      <c r="E434" s="53">
        <v>99</v>
      </c>
      <c r="F434" s="45" t="s">
        <v>230</v>
      </c>
      <c r="G434" s="45" t="s">
        <v>175</v>
      </c>
    </row>
    <row r="435" spans="1:7" ht="13.5" customHeight="1" x14ac:dyDescent="0.35">
      <c r="A435" s="47">
        <v>43580</v>
      </c>
      <c r="B435" s="45" t="s">
        <v>1187</v>
      </c>
      <c r="C435" s="45" t="s">
        <v>1274</v>
      </c>
      <c r="D435" s="45" t="s">
        <v>162</v>
      </c>
      <c r="E435" s="53">
        <v>99</v>
      </c>
      <c r="F435" s="45" t="s">
        <v>230</v>
      </c>
      <c r="G435" s="45" t="s">
        <v>175</v>
      </c>
    </row>
    <row r="436" spans="1:7" ht="13.5" customHeight="1" x14ac:dyDescent="0.35">
      <c r="A436" s="47">
        <v>43580</v>
      </c>
      <c r="B436" s="45" t="s">
        <v>2744</v>
      </c>
      <c r="C436" s="45" t="s">
        <v>1274</v>
      </c>
      <c r="D436" s="45" t="s">
        <v>159</v>
      </c>
      <c r="E436" s="53">
        <v>198</v>
      </c>
      <c r="F436" s="45" t="s">
        <v>2745</v>
      </c>
      <c r="G436" s="45" t="s">
        <v>174</v>
      </c>
    </row>
    <row r="437" spans="1:7" ht="13.5" customHeight="1" x14ac:dyDescent="0.35">
      <c r="A437" s="47">
        <v>43579</v>
      </c>
      <c r="B437" s="45" t="s">
        <v>2746</v>
      </c>
      <c r="C437" s="45" t="s">
        <v>1274</v>
      </c>
      <c r="D437" s="45" t="s">
        <v>166</v>
      </c>
      <c r="E437" s="53">
        <v>63.75</v>
      </c>
      <c r="F437" s="45" t="s">
        <v>2743</v>
      </c>
      <c r="G437" s="45" t="s">
        <v>175</v>
      </c>
    </row>
    <row r="438" spans="1:7" ht="13.5" customHeight="1" x14ac:dyDescent="0.35">
      <c r="A438" s="47">
        <v>43579</v>
      </c>
      <c r="B438" s="45" t="s">
        <v>2746</v>
      </c>
      <c r="C438" s="45" t="s">
        <v>1277</v>
      </c>
      <c r="D438" s="45" t="s">
        <v>166</v>
      </c>
      <c r="E438" s="53">
        <v>-63.75</v>
      </c>
      <c r="F438" s="45" t="s">
        <v>2743</v>
      </c>
      <c r="G438" s="45" t="s">
        <v>175</v>
      </c>
    </row>
    <row r="439" spans="1:7" ht="13.5" customHeight="1" x14ac:dyDescent="0.35">
      <c r="A439" s="47">
        <v>43579</v>
      </c>
      <c r="B439" s="45" t="s">
        <v>2746</v>
      </c>
      <c r="C439" s="45" t="s">
        <v>28</v>
      </c>
      <c r="D439" s="45" t="s">
        <v>166</v>
      </c>
      <c r="E439" s="53">
        <v>212.5</v>
      </c>
      <c r="F439" s="45" t="s">
        <v>2743</v>
      </c>
      <c r="G439" s="45" t="s">
        <v>175</v>
      </c>
    </row>
    <row r="440" spans="1:7" ht="13.5" customHeight="1" x14ac:dyDescent="0.35">
      <c r="A440" s="47">
        <v>43579</v>
      </c>
      <c r="B440" s="45" t="s">
        <v>2746</v>
      </c>
      <c r="C440" s="45" t="s">
        <v>1277</v>
      </c>
      <c r="D440" s="45" t="s">
        <v>166</v>
      </c>
      <c r="E440" s="53">
        <v>-212.5</v>
      </c>
      <c r="F440" s="45" t="s">
        <v>2743</v>
      </c>
      <c r="G440" s="45" t="s">
        <v>175</v>
      </c>
    </row>
    <row r="441" spans="1:7" ht="13.5" customHeight="1" x14ac:dyDescent="0.35">
      <c r="A441" s="47">
        <v>43578</v>
      </c>
      <c r="B441" s="45" t="s">
        <v>2746</v>
      </c>
      <c r="C441" s="45" t="s">
        <v>1276</v>
      </c>
      <c r="D441" s="45" t="s">
        <v>159</v>
      </c>
      <c r="E441" s="53">
        <v>187.5</v>
      </c>
      <c r="F441" s="45" t="s">
        <v>2747</v>
      </c>
      <c r="G441" s="45" t="s">
        <v>175</v>
      </c>
    </row>
    <row r="442" spans="1:7" ht="13.5" customHeight="1" x14ac:dyDescent="0.35">
      <c r="A442" s="47">
        <v>43577</v>
      </c>
      <c r="B442" s="45" t="s">
        <v>2748</v>
      </c>
      <c r="C442" s="45" t="s">
        <v>28</v>
      </c>
      <c r="D442" s="45" t="s">
        <v>160</v>
      </c>
      <c r="E442" s="53">
        <v>250</v>
      </c>
      <c r="F442" s="45" t="s">
        <v>2741</v>
      </c>
      <c r="G442" s="45" t="s">
        <v>174</v>
      </c>
    </row>
    <row r="443" spans="1:7" ht="13.5" customHeight="1" x14ac:dyDescent="0.35">
      <c r="A443" s="47">
        <v>43574</v>
      </c>
      <c r="B443" s="45" t="s">
        <v>2749</v>
      </c>
      <c r="C443" s="45" t="s">
        <v>28</v>
      </c>
      <c r="D443" s="45" t="s">
        <v>159</v>
      </c>
      <c r="E443" s="53">
        <v>250</v>
      </c>
      <c r="F443" s="45" t="s">
        <v>2741</v>
      </c>
      <c r="G443" s="45" t="s">
        <v>174</v>
      </c>
    </row>
    <row r="444" spans="1:7" ht="13.5" customHeight="1" x14ac:dyDescent="0.35">
      <c r="A444" s="47">
        <v>43573</v>
      </c>
      <c r="B444" s="45" t="s">
        <v>1187</v>
      </c>
      <c r="C444" s="45" t="s">
        <v>1274</v>
      </c>
      <c r="D444" s="45" t="s">
        <v>166</v>
      </c>
      <c r="E444" s="53">
        <v>403.75</v>
      </c>
      <c r="F444" s="45" t="s">
        <v>219</v>
      </c>
      <c r="G444" s="45" t="s">
        <v>175</v>
      </c>
    </row>
    <row r="445" spans="1:7" ht="13.5" customHeight="1" x14ac:dyDescent="0.35">
      <c r="A445" s="47">
        <v>43573</v>
      </c>
      <c r="B445" s="45" t="s">
        <v>1187</v>
      </c>
      <c r="C445" s="45" t="s">
        <v>1277</v>
      </c>
      <c r="D445" s="45" t="s">
        <v>166</v>
      </c>
      <c r="E445" s="53">
        <v>-403.75</v>
      </c>
      <c r="F445" s="45" t="s">
        <v>219</v>
      </c>
      <c r="G445" s="45" t="s">
        <v>175</v>
      </c>
    </row>
    <row r="446" spans="1:7" ht="13.5" customHeight="1" x14ac:dyDescent="0.35">
      <c r="A446" s="47">
        <v>43572</v>
      </c>
      <c r="B446" s="45" t="s">
        <v>2750</v>
      </c>
      <c r="C446" s="45" t="s">
        <v>28</v>
      </c>
      <c r="D446" s="45" t="s">
        <v>159</v>
      </c>
      <c r="E446" s="53">
        <v>250</v>
      </c>
      <c r="F446" s="45" t="s">
        <v>2751</v>
      </c>
      <c r="G446" s="45" t="s">
        <v>177</v>
      </c>
    </row>
    <row r="447" spans="1:7" ht="13.5" customHeight="1" x14ac:dyDescent="0.35">
      <c r="A447" s="47">
        <v>43572</v>
      </c>
      <c r="B447" s="45" t="s">
        <v>2752</v>
      </c>
      <c r="C447" s="45" t="s">
        <v>28</v>
      </c>
      <c r="D447" s="45" t="s">
        <v>159</v>
      </c>
      <c r="E447" s="53">
        <v>250</v>
      </c>
      <c r="F447" s="45" t="s">
        <v>2195</v>
      </c>
      <c r="G447" s="45" t="s">
        <v>175</v>
      </c>
    </row>
    <row r="448" spans="1:7" ht="13.5" customHeight="1" x14ac:dyDescent="0.35">
      <c r="A448" s="47">
        <v>43571</v>
      </c>
      <c r="B448" s="45" t="s">
        <v>2753</v>
      </c>
      <c r="C448" s="45" t="s">
        <v>1274</v>
      </c>
      <c r="D448" s="45" t="s">
        <v>159</v>
      </c>
      <c r="E448" s="53">
        <v>100</v>
      </c>
      <c r="F448" s="45" t="s">
        <v>230</v>
      </c>
      <c r="G448" s="45" t="s">
        <v>175</v>
      </c>
    </row>
    <row r="449" spans="1:7" ht="13.5" customHeight="1" x14ac:dyDescent="0.35">
      <c r="A449" s="47">
        <v>43571</v>
      </c>
      <c r="B449" s="45" t="s">
        <v>2754</v>
      </c>
      <c r="C449" s="45" t="s">
        <v>1274</v>
      </c>
      <c r="D449" s="45" t="s">
        <v>164</v>
      </c>
      <c r="E449" s="53">
        <v>99</v>
      </c>
      <c r="F449" s="45" t="s">
        <v>230</v>
      </c>
      <c r="G449" s="45" t="s">
        <v>175</v>
      </c>
    </row>
    <row r="450" spans="1:7" ht="13.5" customHeight="1" x14ac:dyDescent="0.35">
      <c r="A450" s="47">
        <v>43571</v>
      </c>
      <c r="B450" s="45" t="s">
        <v>2754</v>
      </c>
      <c r="C450" s="45" t="s">
        <v>1279</v>
      </c>
      <c r="D450" s="45" t="s">
        <v>166</v>
      </c>
      <c r="E450" s="53">
        <v>360</v>
      </c>
      <c r="F450" s="45" t="s">
        <v>2755</v>
      </c>
      <c r="G450" s="45" t="s">
        <v>175</v>
      </c>
    </row>
    <row r="451" spans="1:7" ht="13.5" customHeight="1" x14ac:dyDescent="0.35">
      <c r="A451" s="47">
        <v>43571</v>
      </c>
      <c r="B451" s="45" t="s">
        <v>2754</v>
      </c>
      <c r="C451" s="45" t="s">
        <v>1277</v>
      </c>
      <c r="D451" s="45" t="s">
        <v>166</v>
      </c>
      <c r="E451" s="53">
        <v>-360</v>
      </c>
      <c r="F451" s="45" t="s">
        <v>2755</v>
      </c>
      <c r="G451" s="45" t="s">
        <v>175</v>
      </c>
    </row>
    <row r="452" spans="1:7" ht="13.5" customHeight="1" x14ac:dyDescent="0.35">
      <c r="A452" s="47">
        <v>43570</v>
      </c>
      <c r="B452" s="45" t="s">
        <v>2528</v>
      </c>
      <c r="C452" s="45" t="s">
        <v>1279</v>
      </c>
      <c r="D452" s="45" t="s">
        <v>159</v>
      </c>
      <c r="E452" s="53">
        <v>360</v>
      </c>
      <c r="F452" s="45" t="s">
        <v>2755</v>
      </c>
      <c r="G452" s="45" t="s">
        <v>174</v>
      </c>
    </row>
    <row r="453" spans="1:7" ht="13.5" customHeight="1" x14ac:dyDescent="0.35">
      <c r="A453" s="47">
        <v>43568</v>
      </c>
      <c r="B453" s="45" t="s">
        <v>2756</v>
      </c>
      <c r="C453" s="45" t="s">
        <v>1274</v>
      </c>
      <c r="D453" s="45" t="s">
        <v>159</v>
      </c>
      <c r="E453" s="53">
        <v>10</v>
      </c>
      <c r="F453" s="45" t="s">
        <v>324</v>
      </c>
      <c r="G453" s="45" t="s">
        <v>174</v>
      </c>
    </row>
    <row r="454" spans="1:7" ht="13.5" customHeight="1" x14ac:dyDescent="0.35">
      <c r="A454" s="47">
        <v>43568</v>
      </c>
      <c r="B454" s="45" t="s">
        <v>2757</v>
      </c>
      <c r="C454" s="45" t="s">
        <v>1274</v>
      </c>
      <c r="D454" s="45" t="s">
        <v>160</v>
      </c>
      <c r="E454" s="53">
        <v>20</v>
      </c>
      <c r="F454" s="45" t="s">
        <v>324</v>
      </c>
      <c r="G454" s="45" t="s">
        <v>175</v>
      </c>
    </row>
    <row r="455" spans="1:7" ht="13.5" customHeight="1" x14ac:dyDescent="0.35">
      <c r="A455" s="47">
        <v>43568</v>
      </c>
      <c r="B455" s="426" t="s">
        <v>2758</v>
      </c>
      <c r="C455" s="45" t="s">
        <v>1278</v>
      </c>
      <c r="D455" s="45" t="s">
        <v>159</v>
      </c>
      <c r="E455" s="435">
        <v>20</v>
      </c>
      <c r="F455" s="45" t="s">
        <v>293</v>
      </c>
      <c r="G455" s="45" t="s">
        <v>174</v>
      </c>
    </row>
    <row r="456" spans="1:7" ht="13.5" customHeight="1" x14ac:dyDescent="0.35">
      <c r="A456" s="47">
        <v>43567</v>
      </c>
      <c r="B456" s="45" t="s">
        <v>2738</v>
      </c>
      <c r="C456" s="45" t="s">
        <v>1274</v>
      </c>
      <c r="D456" s="45" t="s">
        <v>159</v>
      </c>
      <c r="E456" s="53">
        <v>99</v>
      </c>
      <c r="F456" s="45" t="s">
        <v>230</v>
      </c>
      <c r="G456" s="45" t="s">
        <v>175</v>
      </c>
    </row>
    <row r="457" spans="1:7" ht="13.5" customHeight="1" x14ac:dyDescent="0.35">
      <c r="A457" s="47">
        <v>43566</v>
      </c>
      <c r="B457" s="45" t="s">
        <v>2753</v>
      </c>
      <c r="C457" s="45" t="s">
        <v>1274</v>
      </c>
      <c r="D457" s="45" t="s">
        <v>159</v>
      </c>
      <c r="E457" s="53">
        <v>50</v>
      </c>
      <c r="F457" s="45" t="s">
        <v>2759</v>
      </c>
      <c r="G457" s="45" t="s">
        <v>175</v>
      </c>
    </row>
    <row r="458" spans="1:7" ht="13.5" customHeight="1" x14ac:dyDescent="0.35">
      <c r="A458" s="47">
        <v>43566</v>
      </c>
      <c r="B458" s="45" t="s">
        <v>2754</v>
      </c>
      <c r="C458" s="45" t="s">
        <v>1274</v>
      </c>
      <c r="D458" s="45" t="s">
        <v>166</v>
      </c>
      <c r="E458" s="53">
        <v>67.5</v>
      </c>
      <c r="F458" s="45" t="s">
        <v>2759</v>
      </c>
      <c r="G458" s="45" t="s">
        <v>175</v>
      </c>
    </row>
    <row r="459" spans="1:7" ht="13.5" customHeight="1" x14ac:dyDescent="0.35">
      <c r="A459" s="47">
        <v>43566</v>
      </c>
      <c r="B459" s="45" t="s">
        <v>2754</v>
      </c>
      <c r="C459" s="45" t="s">
        <v>1277</v>
      </c>
      <c r="D459" s="45" t="s">
        <v>166</v>
      </c>
      <c r="E459" s="53">
        <v>-67.5</v>
      </c>
      <c r="F459" s="45" t="s">
        <v>2759</v>
      </c>
      <c r="G459" s="45" t="s">
        <v>175</v>
      </c>
    </row>
    <row r="460" spans="1:7" ht="13.5" customHeight="1" x14ac:dyDescent="0.35">
      <c r="A460" s="47">
        <v>43565</v>
      </c>
      <c r="B460" s="45" t="s">
        <v>2760</v>
      </c>
      <c r="C460" s="45" t="s">
        <v>2517</v>
      </c>
      <c r="D460" s="45" t="s">
        <v>159</v>
      </c>
      <c r="E460" s="53">
        <v>100</v>
      </c>
      <c r="F460" s="45" t="s">
        <v>734</v>
      </c>
      <c r="G460" s="45" t="s">
        <v>174</v>
      </c>
    </row>
    <row r="461" spans="1:7" ht="13.5" customHeight="1" x14ac:dyDescent="0.35">
      <c r="A461" s="47">
        <v>43564</v>
      </c>
      <c r="B461" s="45" t="s">
        <v>2761</v>
      </c>
      <c r="C461" s="45" t="s">
        <v>1274</v>
      </c>
      <c r="D461" s="45" t="s">
        <v>159</v>
      </c>
      <c r="E461" s="53">
        <v>99</v>
      </c>
      <c r="F461" s="45" t="s">
        <v>2762</v>
      </c>
      <c r="G461" s="45" t="s">
        <v>174</v>
      </c>
    </row>
    <row r="462" spans="1:7" ht="13.5" customHeight="1" x14ac:dyDescent="0.35">
      <c r="A462" s="47">
        <v>43563</v>
      </c>
      <c r="B462" s="45" t="s">
        <v>2571</v>
      </c>
      <c r="C462" s="45" t="s">
        <v>28</v>
      </c>
      <c r="D462" s="45" t="s">
        <v>160</v>
      </c>
      <c r="E462" s="53">
        <v>50</v>
      </c>
      <c r="F462" s="45" t="s">
        <v>2763</v>
      </c>
      <c r="G462" s="45" t="s">
        <v>174</v>
      </c>
    </row>
    <row r="463" spans="1:7" ht="13.5" customHeight="1" x14ac:dyDescent="0.35">
      <c r="A463" s="47">
        <v>43561</v>
      </c>
      <c r="B463" s="45" t="s">
        <v>2694</v>
      </c>
      <c r="C463" s="45" t="s">
        <v>1274</v>
      </c>
      <c r="D463" s="45" t="s">
        <v>159</v>
      </c>
      <c r="E463" s="53">
        <v>99</v>
      </c>
      <c r="F463" s="45" t="s">
        <v>230</v>
      </c>
      <c r="G463" s="45" t="s">
        <v>175</v>
      </c>
    </row>
    <row r="464" spans="1:7" ht="13.5" customHeight="1" x14ac:dyDescent="0.35">
      <c r="A464" s="47">
        <v>43561</v>
      </c>
      <c r="B464" s="45" t="s">
        <v>2764</v>
      </c>
      <c r="C464" s="45" t="s">
        <v>28</v>
      </c>
      <c r="D464" s="45" t="s">
        <v>166</v>
      </c>
      <c r="E464" s="53">
        <v>45</v>
      </c>
      <c r="F464" s="45" t="s">
        <v>2763</v>
      </c>
      <c r="G464" s="45" t="s">
        <v>175</v>
      </c>
    </row>
    <row r="465" spans="1:7" ht="13.5" customHeight="1" x14ac:dyDescent="0.35">
      <c r="A465" s="47">
        <v>43561</v>
      </c>
      <c r="B465" s="45" t="s">
        <v>2764</v>
      </c>
      <c r="C465" s="45" t="s">
        <v>1277</v>
      </c>
      <c r="D465" s="45" t="s">
        <v>166</v>
      </c>
      <c r="E465" s="53">
        <v>-45</v>
      </c>
      <c r="F465" s="45" t="s">
        <v>2763</v>
      </c>
      <c r="G465" s="45" t="s">
        <v>175</v>
      </c>
    </row>
    <row r="466" spans="1:7" ht="13.5" customHeight="1" x14ac:dyDescent="0.35">
      <c r="A466" s="47">
        <v>43561</v>
      </c>
      <c r="B466" s="45" t="s">
        <v>2765</v>
      </c>
      <c r="C466" s="45" t="s">
        <v>28</v>
      </c>
      <c r="D466" s="45" t="s">
        <v>159</v>
      </c>
      <c r="E466" s="53">
        <v>80</v>
      </c>
      <c r="F466" s="45" t="s">
        <v>2763</v>
      </c>
      <c r="G466" s="45" t="s">
        <v>175</v>
      </c>
    </row>
    <row r="467" spans="1:7" ht="13.5" customHeight="1" x14ac:dyDescent="0.35">
      <c r="A467" s="47">
        <v>43560</v>
      </c>
      <c r="B467" s="45" t="s">
        <v>2766</v>
      </c>
      <c r="C467" s="45" t="s">
        <v>1274</v>
      </c>
      <c r="D467" s="45" t="s">
        <v>166</v>
      </c>
      <c r="E467" s="53">
        <v>112.5</v>
      </c>
      <c r="F467" s="45" t="s">
        <v>230</v>
      </c>
      <c r="G467" s="45" t="s">
        <v>175</v>
      </c>
    </row>
    <row r="468" spans="1:7" ht="13.5" customHeight="1" x14ac:dyDescent="0.35">
      <c r="A468" s="47">
        <v>43560</v>
      </c>
      <c r="B468" s="45" t="s">
        <v>2766</v>
      </c>
      <c r="C468" s="45" t="s">
        <v>1277</v>
      </c>
      <c r="D468" s="45" t="s">
        <v>166</v>
      </c>
      <c r="E468" s="53">
        <v>-112.5</v>
      </c>
      <c r="F468" s="45" t="s">
        <v>230</v>
      </c>
      <c r="G468" s="45" t="s">
        <v>175</v>
      </c>
    </row>
    <row r="469" spans="1:7" ht="13.5" customHeight="1" x14ac:dyDescent="0.35">
      <c r="A469" s="47">
        <v>43560</v>
      </c>
      <c r="B469" s="45" t="s">
        <v>2767</v>
      </c>
      <c r="C469" s="45" t="s">
        <v>1274</v>
      </c>
      <c r="D469" s="45" t="s">
        <v>160</v>
      </c>
      <c r="E469" s="53">
        <v>125</v>
      </c>
      <c r="F469" s="45" t="s">
        <v>230</v>
      </c>
      <c r="G469" s="45" t="s">
        <v>179</v>
      </c>
    </row>
    <row r="470" spans="1:7" ht="13.5" customHeight="1" x14ac:dyDescent="0.35">
      <c r="A470" s="47">
        <v>43559</v>
      </c>
      <c r="B470" s="45" t="s">
        <v>2460</v>
      </c>
      <c r="C470" s="45" t="s">
        <v>28</v>
      </c>
      <c r="D470" s="45" t="s">
        <v>160</v>
      </c>
      <c r="E470" s="53">
        <v>50</v>
      </c>
      <c r="F470" s="45" t="s">
        <v>2737</v>
      </c>
      <c r="G470" s="45" t="s">
        <v>175</v>
      </c>
    </row>
    <row r="471" spans="1:7" ht="13.5" customHeight="1" x14ac:dyDescent="0.35">
      <c r="A471" s="47">
        <v>43559</v>
      </c>
      <c r="B471" s="45" t="s">
        <v>2231</v>
      </c>
      <c r="C471" s="45" t="s">
        <v>2520</v>
      </c>
      <c r="D471" s="45" t="s">
        <v>159</v>
      </c>
      <c r="E471" s="53">
        <v>35</v>
      </c>
      <c r="F471" s="45" t="s">
        <v>753</v>
      </c>
      <c r="G471" s="45" t="s">
        <v>175</v>
      </c>
    </row>
    <row r="472" spans="1:7" ht="13.5" customHeight="1" x14ac:dyDescent="0.35">
      <c r="A472" s="47">
        <v>43559</v>
      </c>
      <c r="B472" s="45" t="s">
        <v>2754</v>
      </c>
      <c r="C472" s="45" t="s">
        <v>28</v>
      </c>
      <c r="D472" s="45" t="s">
        <v>166</v>
      </c>
      <c r="E472" s="53">
        <v>355.5</v>
      </c>
      <c r="F472" s="45" t="s">
        <v>1058</v>
      </c>
      <c r="G472" s="45" t="s">
        <v>175</v>
      </c>
    </row>
    <row r="473" spans="1:7" ht="13.5" customHeight="1" x14ac:dyDescent="0.35">
      <c r="A473" s="47">
        <v>43559</v>
      </c>
      <c r="B473" s="45" t="s">
        <v>2754</v>
      </c>
      <c r="C473" s="45" t="s">
        <v>1277</v>
      </c>
      <c r="D473" s="45" t="s">
        <v>166</v>
      </c>
      <c r="E473" s="53">
        <v>-355.5</v>
      </c>
      <c r="F473" s="45" t="s">
        <v>1058</v>
      </c>
      <c r="G473" s="45" t="s">
        <v>175</v>
      </c>
    </row>
    <row r="474" spans="1:7" ht="13.5" customHeight="1" x14ac:dyDescent="0.35">
      <c r="A474" s="47">
        <v>43558</v>
      </c>
      <c r="B474" s="45" t="s">
        <v>2768</v>
      </c>
      <c r="C474" s="45" t="s">
        <v>1274</v>
      </c>
      <c r="D474" s="45" t="s">
        <v>159</v>
      </c>
      <c r="E474" s="53">
        <v>99</v>
      </c>
      <c r="F474" s="45" t="s">
        <v>2762</v>
      </c>
      <c r="G474" s="45" t="s">
        <v>174</v>
      </c>
    </row>
    <row r="475" spans="1:7" ht="13.5" customHeight="1" x14ac:dyDescent="0.35">
      <c r="A475" s="47">
        <v>43558</v>
      </c>
      <c r="B475" s="45" t="s">
        <v>2216</v>
      </c>
      <c r="C475" s="45" t="s">
        <v>2517</v>
      </c>
      <c r="D475" s="45" t="s">
        <v>160</v>
      </c>
      <c r="E475" s="53">
        <v>50</v>
      </c>
      <c r="F475" s="45" t="s">
        <v>734</v>
      </c>
      <c r="G475" s="45" t="s">
        <v>174</v>
      </c>
    </row>
    <row r="476" spans="1:7" ht="13.5" customHeight="1" x14ac:dyDescent="0.35">
      <c r="A476" s="47">
        <v>43557</v>
      </c>
      <c r="B476" s="45" t="s">
        <v>2769</v>
      </c>
      <c r="C476" s="45" t="s">
        <v>1274</v>
      </c>
      <c r="D476" s="45" t="s">
        <v>159</v>
      </c>
      <c r="E476" s="53">
        <v>99</v>
      </c>
      <c r="F476" s="45" t="s">
        <v>230</v>
      </c>
      <c r="G476" s="45" t="s">
        <v>175</v>
      </c>
    </row>
    <row r="477" spans="1:7" ht="13.5" customHeight="1" x14ac:dyDescent="0.35">
      <c r="A477" s="47">
        <v>43557</v>
      </c>
      <c r="B477" s="45" t="s">
        <v>2694</v>
      </c>
      <c r="C477" s="426" t="s">
        <v>1278</v>
      </c>
      <c r="D477" s="45" t="s">
        <v>159</v>
      </c>
      <c r="E477" s="53">
        <v>20</v>
      </c>
      <c r="F477" s="45" t="s">
        <v>293</v>
      </c>
      <c r="G477" s="45" t="s">
        <v>174</v>
      </c>
    </row>
    <row r="478" spans="1:7" ht="13.5" customHeight="1" x14ac:dyDescent="0.35">
      <c r="A478" s="47">
        <v>43557</v>
      </c>
      <c r="B478" s="45" t="s">
        <v>2754</v>
      </c>
      <c r="C478" s="426" t="s">
        <v>1276</v>
      </c>
      <c r="D478" s="45" t="s">
        <v>159</v>
      </c>
      <c r="E478" s="53">
        <v>75</v>
      </c>
      <c r="F478" s="45" t="s">
        <v>2770</v>
      </c>
      <c r="G478" s="45" t="s">
        <v>175</v>
      </c>
    </row>
    <row r="479" spans="1:7" ht="13.5" customHeight="1" x14ac:dyDescent="0.35">
      <c r="A479" s="47">
        <v>43556</v>
      </c>
      <c r="B479" s="45" t="s">
        <v>784</v>
      </c>
      <c r="C479" s="45" t="s">
        <v>1274</v>
      </c>
      <c r="D479" s="45" t="s">
        <v>162</v>
      </c>
      <c r="E479" s="53">
        <v>225</v>
      </c>
      <c r="F479" s="45" t="s">
        <v>467</v>
      </c>
      <c r="G479" s="45" t="s">
        <v>175</v>
      </c>
    </row>
    <row r="480" spans="1:7" ht="13.5" customHeight="1" x14ac:dyDescent="0.35">
      <c r="A480" s="47">
        <v>43556</v>
      </c>
      <c r="B480" s="45" t="s">
        <v>2738</v>
      </c>
      <c r="C480" s="45" t="s">
        <v>1279</v>
      </c>
      <c r="D480" s="45" t="s">
        <v>159</v>
      </c>
      <c r="E480" s="53">
        <v>65</v>
      </c>
      <c r="F480" s="48" t="s">
        <v>941</v>
      </c>
      <c r="G480" s="45" t="s">
        <v>175</v>
      </c>
    </row>
    <row r="481" spans="1:7" ht="13.5" customHeight="1" x14ac:dyDescent="0.35">
      <c r="A481" s="47">
        <v>43556</v>
      </c>
      <c r="B481" s="45" t="s">
        <v>2394</v>
      </c>
      <c r="C481" s="45" t="s">
        <v>1274</v>
      </c>
      <c r="D481" s="45" t="s">
        <v>164</v>
      </c>
      <c r="E481" s="53">
        <v>10</v>
      </c>
      <c r="F481" s="45" t="s">
        <v>324</v>
      </c>
      <c r="G481" s="45" t="s">
        <v>175</v>
      </c>
    </row>
    <row r="482" spans="1:7" ht="13.5" customHeight="1" x14ac:dyDescent="0.35">
      <c r="A482" s="47">
        <v>43556</v>
      </c>
      <c r="B482" s="45" t="s">
        <v>2771</v>
      </c>
      <c r="C482" s="426" t="s">
        <v>1276</v>
      </c>
      <c r="D482" s="426" t="s">
        <v>161</v>
      </c>
      <c r="E482" s="567">
        <v>580</v>
      </c>
      <c r="F482" s="426" t="s">
        <v>1078</v>
      </c>
      <c r="G482" s="426" t="s">
        <v>175</v>
      </c>
    </row>
    <row r="483" spans="1:7" ht="13.5" customHeight="1" x14ac:dyDescent="0.35">
      <c r="A483" s="47">
        <v>43556</v>
      </c>
      <c r="B483" s="45" t="s">
        <v>2772</v>
      </c>
      <c r="C483" s="426" t="s">
        <v>1278</v>
      </c>
      <c r="D483" s="426" t="s">
        <v>161</v>
      </c>
      <c r="E483" s="567">
        <v>60</v>
      </c>
      <c r="F483" s="426" t="s">
        <v>292</v>
      </c>
      <c r="G483" s="426" t="s">
        <v>175</v>
      </c>
    </row>
    <row r="484" spans="1:7" ht="13.5" customHeight="1" x14ac:dyDescent="0.35">
      <c r="A484" s="47"/>
      <c r="B484" s="45"/>
      <c r="C484" s="45"/>
      <c r="D484" s="45"/>
      <c r="E484" s="53"/>
      <c r="F484" s="45"/>
      <c r="G484" s="45"/>
    </row>
    <row r="485" spans="1:7" ht="13.5" customHeight="1" x14ac:dyDescent="0.35">
      <c r="A485" s="47"/>
      <c r="B485" s="45"/>
      <c r="C485" s="45"/>
      <c r="D485" s="45"/>
      <c r="E485" s="53"/>
      <c r="F485" s="45"/>
      <c r="G485" s="45"/>
    </row>
    <row r="486" spans="1:7" ht="13.5" customHeight="1" x14ac:dyDescent="0.35">
      <c r="A486" s="47">
        <v>43554</v>
      </c>
      <c r="B486" s="45" t="s">
        <v>2773</v>
      </c>
      <c r="C486" s="45" t="s">
        <v>1274</v>
      </c>
      <c r="D486" s="45" t="s">
        <v>159</v>
      </c>
      <c r="E486" s="53">
        <v>99</v>
      </c>
      <c r="F486" s="45" t="s">
        <v>230</v>
      </c>
      <c r="G486" s="45" t="s">
        <v>175</v>
      </c>
    </row>
    <row r="487" spans="1:7" ht="13.5" customHeight="1" x14ac:dyDescent="0.35">
      <c r="A487" s="47">
        <v>43554</v>
      </c>
      <c r="B487" s="45" t="s">
        <v>2774</v>
      </c>
      <c r="C487" s="45" t="s">
        <v>1274</v>
      </c>
      <c r="D487" s="45" t="s">
        <v>159</v>
      </c>
      <c r="E487" s="53">
        <v>50</v>
      </c>
      <c r="F487" s="45" t="s">
        <v>2775</v>
      </c>
      <c r="G487" s="45" t="s">
        <v>179</v>
      </c>
    </row>
    <row r="488" spans="1:7" ht="13.5" customHeight="1" x14ac:dyDescent="0.35">
      <c r="A488" s="47">
        <v>43554</v>
      </c>
      <c r="B488" s="45" t="s">
        <v>2774</v>
      </c>
      <c r="C488" s="45" t="s">
        <v>1274</v>
      </c>
      <c r="D488" s="45" t="s">
        <v>159</v>
      </c>
      <c r="E488" s="53">
        <v>99</v>
      </c>
      <c r="F488" s="45" t="s">
        <v>230</v>
      </c>
      <c r="G488" s="45" t="s">
        <v>179</v>
      </c>
    </row>
    <row r="489" spans="1:7" ht="13.5" customHeight="1" x14ac:dyDescent="0.35">
      <c r="A489" s="47">
        <v>43549</v>
      </c>
      <c r="B489" s="45" t="s">
        <v>2153</v>
      </c>
      <c r="C489" s="45" t="s">
        <v>1274</v>
      </c>
      <c r="D489" s="45" t="s">
        <v>166</v>
      </c>
      <c r="E489" s="53">
        <v>112.5</v>
      </c>
      <c r="F489" s="45" t="s">
        <v>224</v>
      </c>
      <c r="G489" s="45" t="s">
        <v>175</v>
      </c>
    </row>
    <row r="490" spans="1:7" ht="13.5" customHeight="1" x14ac:dyDescent="0.35">
      <c r="A490" s="47">
        <v>43549</v>
      </c>
      <c r="B490" s="45" t="s">
        <v>2153</v>
      </c>
      <c r="C490" s="45" t="s">
        <v>1277</v>
      </c>
      <c r="D490" s="45" t="s">
        <v>166</v>
      </c>
      <c r="E490" s="53">
        <v>-112.5</v>
      </c>
      <c r="F490" s="45" t="s">
        <v>224</v>
      </c>
      <c r="G490" s="45" t="s">
        <v>175</v>
      </c>
    </row>
    <row r="491" spans="1:7" ht="13.5" customHeight="1" x14ac:dyDescent="0.35">
      <c r="A491" s="47">
        <v>43549</v>
      </c>
      <c r="B491" s="45" t="s">
        <v>2153</v>
      </c>
      <c r="C491" s="45" t="s">
        <v>1274</v>
      </c>
      <c r="D491" s="45" t="s">
        <v>166</v>
      </c>
      <c r="E491" s="53">
        <v>427.5</v>
      </c>
      <c r="F491" s="45" t="s">
        <v>219</v>
      </c>
      <c r="G491" s="45" t="s">
        <v>175</v>
      </c>
    </row>
    <row r="492" spans="1:7" ht="13.5" customHeight="1" x14ac:dyDescent="0.35">
      <c r="A492" s="47">
        <v>43549</v>
      </c>
      <c r="B492" s="45" t="s">
        <v>2153</v>
      </c>
      <c r="C492" s="45" t="s">
        <v>1277</v>
      </c>
      <c r="D492" s="45" t="s">
        <v>166</v>
      </c>
      <c r="E492" s="53">
        <v>-427.5</v>
      </c>
      <c r="F492" s="45" t="s">
        <v>219</v>
      </c>
      <c r="G492" s="45" t="s">
        <v>175</v>
      </c>
    </row>
    <row r="493" spans="1:7" ht="13.5" customHeight="1" x14ac:dyDescent="0.35">
      <c r="A493" s="47">
        <v>43547</v>
      </c>
      <c r="B493" s="45" t="s">
        <v>2776</v>
      </c>
      <c r="C493" s="45" t="s">
        <v>1274</v>
      </c>
      <c r="D493" s="45" t="s">
        <v>159</v>
      </c>
      <c r="E493" s="53">
        <v>99</v>
      </c>
      <c r="F493" s="45" t="s">
        <v>230</v>
      </c>
      <c r="G493" s="45" t="s">
        <v>179</v>
      </c>
    </row>
    <row r="494" spans="1:7" ht="13.5" customHeight="1" x14ac:dyDescent="0.35">
      <c r="A494" s="47">
        <v>43546</v>
      </c>
      <c r="B494" s="45" t="s">
        <v>2357</v>
      </c>
      <c r="C494" s="45" t="s">
        <v>28</v>
      </c>
      <c r="D494" s="45" t="s">
        <v>159</v>
      </c>
      <c r="E494" s="53">
        <v>30</v>
      </c>
      <c r="F494" s="45" t="s">
        <v>1521</v>
      </c>
      <c r="G494" s="45" t="s">
        <v>174</v>
      </c>
    </row>
    <row r="495" spans="1:7" ht="13.5" customHeight="1" x14ac:dyDescent="0.35">
      <c r="A495" s="47">
        <v>43546</v>
      </c>
      <c r="B495" s="45" t="s">
        <v>2777</v>
      </c>
      <c r="C495" s="45" t="s">
        <v>1274</v>
      </c>
      <c r="D495" s="45" t="s">
        <v>160</v>
      </c>
      <c r="E495" s="53">
        <v>50</v>
      </c>
      <c r="F495" s="45" t="s">
        <v>2778</v>
      </c>
      <c r="G495" s="45" t="s">
        <v>175</v>
      </c>
    </row>
    <row r="496" spans="1:7" ht="13.5" customHeight="1" x14ac:dyDescent="0.35">
      <c r="A496" s="47">
        <v>43545</v>
      </c>
      <c r="B496" s="45" t="s">
        <v>2752</v>
      </c>
      <c r="C496" s="45" t="s">
        <v>28</v>
      </c>
      <c r="D496" s="45" t="s">
        <v>159</v>
      </c>
      <c r="E496" s="53">
        <v>230</v>
      </c>
      <c r="F496" s="45" t="s">
        <v>2779</v>
      </c>
      <c r="G496" s="45" t="s">
        <v>175</v>
      </c>
    </row>
    <row r="497" spans="1:7" ht="13.5" customHeight="1" x14ac:dyDescent="0.35">
      <c r="A497" s="47">
        <v>43545</v>
      </c>
      <c r="B497" s="45" t="s">
        <v>2780</v>
      </c>
      <c r="C497" s="45" t="s">
        <v>1274</v>
      </c>
      <c r="D497" s="45" t="s">
        <v>159</v>
      </c>
      <c r="E497" s="53">
        <v>125</v>
      </c>
      <c r="F497" s="45" t="s">
        <v>219</v>
      </c>
      <c r="G497" s="45" t="s">
        <v>174</v>
      </c>
    </row>
    <row r="498" spans="1:7" ht="13.5" customHeight="1" x14ac:dyDescent="0.35">
      <c r="A498" s="47">
        <v>43545</v>
      </c>
      <c r="B498" s="45" t="s">
        <v>2781</v>
      </c>
      <c r="C498" s="45" t="s">
        <v>1279</v>
      </c>
      <c r="D498" s="45" t="s">
        <v>159</v>
      </c>
      <c r="E498" s="53">
        <v>360</v>
      </c>
      <c r="F498" s="48" t="s">
        <v>2782</v>
      </c>
      <c r="G498" s="45" t="s">
        <v>175</v>
      </c>
    </row>
    <row r="499" spans="1:7" ht="13.5" customHeight="1" x14ac:dyDescent="0.35">
      <c r="A499" s="47">
        <v>43545</v>
      </c>
      <c r="B499" s="45" t="s">
        <v>1947</v>
      </c>
      <c r="C499" s="45" t="s">
        <v>28</v>
      </c>
      <c r="D499" s="45" t="s">
        <v>162</v>
      </c>
      <c r="E499" s="53">
        <v>250</v>
      </c>
      <c r="F499" s="45" t="s">
        <v>2779</v>
      </c>
      <c r="G499" s="45" t="s">
        <v>1311</v>
      </c>
    </row>
    <row r="500" spans="1:7" ht="13.5" customHeight="1" x14ac:dyDescent="0.35">
      <c r="A500" s="47">
        <v>43543</v>
      </c>
      <c r="B500" s="426" t="s">
        <v>2742</v>
      </c>
      <c r="C500" s="45" t="s">
        <v>28</v>
      </c>
      <c r="D500" s="45" t="s">
        <v>159</v>
      </c>
      <c r="E500" s="53">
        <v>250</v>
      </c>
      <c r="F500" s="45" t="s">
        <v>2779</v>
      </c>
      <c r="G500" s="45" t="s">
        <v>175</v>
      </c>
    </row>
    <row r="501" spans="1:7" ht="13.5" customHeight="1" x14ac:dyDescent="0.35">
      <c r="A501" s="47">
        <v>43543</v>
      </c>
      <c r="B501" s="45" t="s">
        <v>2783</v>
      </c>
      <c r="C501" s="45" t="s">
        <v>1274</v>
      </c>
      <c r="D501" s="45" t="s">
        <v>160</v>
      </c>
      <c r="E501" s="53">
        <v>75</v>
      </c>
      <c r="F501" s="45" t="s">
        <v>230</v>
      </c>
      <c r="G501" s="45" t="s">
        <v>179</v>
      </c>
    </row>
    <row r="502" spans="1:7" ht="13.5" customHeight="1" x14ac:dyDescent="0.35">
      <c r="A502" s="47">
        <v>43543</v>
      </c>
      <c r="B502" s="45" t="s">
        <v>2752</v>
      </c>
      <c r="C502" s="45" t="s">
        <v>28</v>
      </c>
      <c r="D502" s="45" t="s">
        <v>164</v>
      </c>
      <c r="E502" s="53">
        <v>20</v>
      </c>
      <c r="F502" s="45" t="s">
        <v>2779</v>
      </c>
      <c r="G502" s="45" t="s">
        <v>175</v>
      </c>
    </row>
    <row r="503" spans="1:7" ht="13.5" customHeight="1" x14ac:dyDescent="0.35">
      <c r="A503" s="47">
        <v>43543</v>
      </c>
      <c r="B503" s="45" t="s">
        <v>2746</v>
      </c>
      <c r="C503" s="45" t="s">
        <v>28</v>
      </c>
      <c r="D503" s="45" t="s">
        <v>159</v>
      </c>
      <c r="E503" s="53">
        <v>250</v>
      </c>
      <c r="F503" s="45" t="s">
        <v>2779</v>
      </c>
      <c r="G503" s="45" t="s">
        <v>175</v>
      </c>
    </row>
    <row r="504" spans="1:7" ht="13.5" customHeight="1" x14ac:dyDescent="0.35">
      <c r="A504" s="47">
        <v>43542</v>
      </c>
      <c r="B504" s="45" t="s">
        <v>2231</v>
      </c>
      <c r="C504" s="45" t="s">
        <v>1274</v>
      </c>
      <c r="D504" s="45" t="s">
        <v>159</v>
      </c>
      <c r="E504" s="53">
        <v>50</v>
      </c>
      <c r="F504" s="45" t="s">
        <v>2778</v>
      </c>
      <c r="G504" s="45" t="s">
        <v>175</v>
      </c>
    </row>
    <row r="505" spans="1:7" ht="13.5" customHeight="1" x14ac:dyDescent="0.35">
      <c r="A505" s="47">
        <v>43541</v>
      </c>
      <c r="B505" s="45" t="s">
        <v>2784</v>
      </c>
      <c r="C505" s="45" t="s">
        <v>1274</v>
      </c>
      <c r="D505" s="45" t="s">
        <v>159</v>
      </c>
      <c r="E505" s="53">
        <v>75</v>
      </c>
      <c r="F505" s="45" t="s">
        <v>230</v>
      </c>
      <c r="G505" s="45" t="s">
        <v>179</v>
      </c>
    </row>
    <row r="506" spans="1:7" ht="13.5" customHeight="1" x14ac:dyDescent="0.35">
      <c r="A506" s="47">
        <v>43541</v>
      </c>
      <c r="B506" s="45" t="s">
        <v>2649</v>
      </c>
      <c r="C506" s="45" t="s">
        <v>1274</v>
      </c>
      <c r="D506" s="45" t="s">
        <v>160</v>
      </c>
      <c r="E506" s="53">
        <v>62.5</v>
      </c>
      <c r="F506" s="45" t="s">
        <v>230</v>
      </c>
      <c r="G506" s="45" t="s">
        <v>179</v>
      </c>
    </row>
    <row r="507" spans="1:7" ht="13.5" customHeight="1" x14ac:dyDescent="0.35">
      <c r="A507" s="47">
        <v>43540</v>
      </c>
      <c r="B507" s="45" t="s">
        <v>2754</v>
      </c>
      <c r="C507" s="45" t="s">
        <v>1274</v>
      </c>
      <c r="D507" s="45" t="s">
        <v>159</v>
      </c>
      <c r="E507" s="53">
        <v>50</v>
      </c>
      <c r="F507" s="45" t="s">
        <v>2778</v>
      </c>
      <c r="G507" s="45" t="s">
        <v>175</v>
      </c>
    </row>
    <row r="508" spans="1:7" ht="13.5" customHeight="1" x14ac:dyDescent="0.35">
      <c r="A508" s="47">
        <v>43539</v>
      </c>
      <c r="B508" s="45" t="s">
        <v>1943</v>
      </c>
      <c r="C508" s="45" t="s">
        <v>28</v>
      </c>
      <c r="D508" s="45" t="s">
        <v>162</v>
      </c>
      <c r="E508" s="53">
        <v>200</v>
      </c>
      <c r="F508" s="45" t="s">
        <v>2779</v>
      </c>
      <c r="G508" s="45" t="s">
        <v>1311</v>
      </c>
    </row>
    <row r="509" spans="1:7" ht="13.5" customHeight="1" x14ac:dyDescent="0.35">
      <c r="A509" s="47">
        <v>43539</v>
      </c>
      <c r="B509" s="45" t="s">
        <v>2785</v>
      </c>
      <c r="C509" s="45" t="s">
        <v>1274</v>
      </c>
      <c r="D509" s="45" t="s">
        <v>159</v>
      </c>
      <c r="E509" s="53">
        <v>62.5</v>
      </c>
      <c r="F509" s="45" t="s">
        <v>230</v>
      </c>
      <c r="G509" s="45" t="s">
        <v>179</v>
      </c>
    </row>
    <row r="510" spans="1:7" ht="13.5" customHeight="1" x14ac:dyDescent="0.35">
      <c r="A510" s="47">
        <v>43539</v>
      </c>
      <c r="B510" s="45" t="s">
        <v>1186</v>
      </c>
      <c r="C510" s="45" t="s">
        <v>1274</v>
      </c>
      <c r="D510" s="45" t="s">
        <v>160</v>
      </c>
      <c r="E510" s="53">
        <v>62.5</v>
      </c>
      <c r="F510" s="45" t="s">
        <v>230</v>
      </c>
      <c r="G510" s="45" t="s">
        <v>175</v>
      </c>
    </row>
    <row r="511" spans="1:7" ht="13.5" customHeight="1" x14ac:dyDescent="0.35">
      <c r="A511" s="47">
        <v>43539</v>
      </c>
      <c r="B511" s="45" t="s">
        <v>1126</v>
      </c>
      <c r="C511" s="45" t="s">
        <v>1274</v>
      </c>
      <c r="D511" s="45" t="s">
        <v>159</v>
      </c>
      <c r="E511" s="53">
        <v>62.5</v>
      </c>
      <c r="F511" s="45" t="s">
        <v>230</v>
      </c>
      <c r="G511" s="45" t="s">
        <v>175</v>
      </c>
    </row>
    <row r="512" spans="1:7" ht="13.5" customHeight="1" x14ac:dyDescent="0.35">
      <c r="A512" s="47">
        <v>43538</v>
      </c>
      <c r="B512" s="45" t="s">
        <v>1667</v>
      </c>
      <c r="C512" s="45" t="s">
        <v>1274</v>
      </c>
      <c r="D512" s="45" t="s">
        <v>160</v>
      </c>
      <c r="E512" s="53">
        <v>50</v>
      </c>
      <c r="F512" s="45" t="s">
        <v>2778</v>
      </c>
      <c r="G512" s="45" t="s">
        <v>175</v>
      </c>
    </row>
    <row r="513" spans="1:7" ht="13.5" customHeight="1" x14ac:dyDescent="0.35">
      <c r="A513" s="47">
        <v>43538</v>
      </c>
      <c r="B513" s="45" t="s">
        <v>2223</v>
      </c>
      <c r="C513" s="45" t="s">
        <v>1274</v>
      </c>
      <c r="D513" s="45" t="s">
        <v>159</v>
      </c>
      <c r="E513" s="53">
        <v>10</v>
      </c>
      <c r="F513" s="45" t="s">
        <v>2786</v>
      </c>
      <c r="G513" s="45" t="s">
        <v>174</v>
      </c>
    </row>
    <row r="514" spans="1:7" ht="13.5" customHeight="1" x14ac:dyDescent="0.35">
      <c r="A514" s="47">
        <v>43538</v>
      </c>
      <c r="B514" s="45" t="s">
        <v>2231</v>
      </c>
      <c r="C514" s="45" t="s">
        <v>1274</v>
      </c>
      <c r="D514" s="45" t="s">
        <v>159</v>
      </c>
      <c r="E514" s="53">
        <v>50</v>
      </c>
      <c r="F514" s="45" t="s">
        <v>2787</v>
      </c>
      <c r="G514" s="45" t="s">
        <v>175</v>
      </c>
    </row>
    <row r="515" spans="1:7" ht="13.5" customHeight="1" x14ac:dyDescent="0.35">
      <c r="A515" s="47">
        <v>43538</v>
      </c>
      <c r="B515" s="45" t="s">
        <v>2231</v>
      </c>
      <c r="C515" s="45" t="s">
        <v>1274</v>
      </c>
      <c r="D515" s="45" t="s">
        <v>159</v>
      </c>
      <c r="E515" s="53">
        <v>62.5</v>
      </c>
      <c r="F515" s="45" t="s">
        <v>230</v>
      </c>
      <c r="G515" s="45" t="s">
        <v>175</v>
      </c>
    </row>
    <row r="516" spans="1:7" ht="13.5" customHeight="1" x14ac:dyDescent="0.35">
      <c r="A516" s="47">
        <v>43537</v>
      </c>
      <c r="B516" s="45" t="s">
        <v>2788</v>
      </c>
      <c r="C516" s="45" t="s">
        <v>1279</v>
      </c>
      <c r="D516" s="45" t="s">
        <v>162</v>
      </c>
      <c r="E516" s="53">
        <v>220</v>
      </c>
      <c r="F516" s="48" t="s">
        <v>2789</v>
      </c>
      <c r="G516" s="45" t="s">
        <v>175</v>
      </c>
    </row>
    <row r="517" spans="1:7" ht="13.5" customHeight="1" x14ac:dyDescent="0.35">
      <c r="A517" s="47">
        <v>43537</v>
      </c>
      <c r="B517" s="45" t="s">
        <v>2790</v>
      </c>
      <c r="C517" s="45" t="s">
        <v>2519</v>
      </c>
      <c r="D517" s="45" t="s">
        <v>162</v>
      </c>
      <c r="E517" s="53">
        <v>300</v>
      </c>
      <c r="F517" s="45" t="s">
        <v>2045</v>
      </c>
      <c r="G517" s="45" t="s">
        <v>174</v>
      </c>
    </row>
    <row r="518" spans="1:7" ht="13.5" customHeight="1" x14ac:dyDescent="0.35">
      <c r="A518" s="47">
        <v>43537</v>
      </c>
      <c r="B518" s="45" t="s">
        <v>2446</v>
      </c>
      <c r="C518" s="45" t="s">
        <v>1274</v>
      </c>
      <c r="D518" s="45" t="s">
        <v>159</v>
      </c>
      <c r="E518" s="53">
        <v>62.5</v>
      </c>
      <c r="F518" s="45" t="s">
        <v>230</v>
      </c>
      <c r="G518" s="45" t="s">
        <v>175</v>
      </c>
    </row>
    <row r="519" spans="1:7" ht="13.5" customHeight="1" x14ac:dyDescent="0.35">
      <c r="A519" s="47">
        <v>43536</v>
      </c>
      <c r="B519" s="45" t="s">
        <v>2791</v>
      </c>
      <c r="C519" s="45" t="s">
        <v>28</v>
      </c>
      <c r="D519" s="45" t="s">
        <v>160</v>
      </c>
      <c r="E519" s="53">
        <v>30</v>
      </c>
      <c r="F519" s="45" t="s">
        <v>2792</v>
      </c>
      <c r="G519" s="45" t="s">
        <v>174</v>
      </c>
    </row>
    <row r="520" spans="1:7" ht="13.5" customHeight="1" x14ac:dyDescent="0.35">
      <c r="A520" s="47">
        <v>43535</v>
      </c>
      <c r="B520" s="45" t="s">
        <v>2742</v>
      </c>
      <c r="C520" s="45" t="s">
        <v>28</v>
      </c>
      <c r="D520" s="45" t="s">
        <v>159</v>
      </c>
      <c r="E520" s="53">
        <v>30</v>
      </c>
      <c r="F520" s="45" t="s">
        <v>2792</v>
      </c>
      <c r="G520" s="45" t="s">
        <v>174</v>
      </c>
    </row>
    <row r="521" spans="1:7" ht="13.5" customHeight="1" x14ac:dyDescent="0.35">
      <c r="A521" s="47">
        <v>43535</v>
      </c>
      <c r="B521" s="45" t="s">
        <v>345</v>
      </c>
      <c r="C521" s="45" t="s">
        <v>28</v>
      </c>
      <c r="D521" s="45" t="s">
        <v>159</v>
      </c>
      <c r="E521" s="53">
        <v>60</v>
      </c>
      <c r="F521" s="45" t="s">
        <v>2792</v>
      </c>
      <c r="G521" s="45" t="s">
        <v>175</v>
      </c>
    </row>
    <row r="522" spans="1:7" ht="13.5" customHeight="1" x14ac:dyDescent="0.35">
      <c r="A522" s="47">
        <v>43534</v>
      </c>
      <c r="B522" s="45" t="s">
        <v>2793</v>
      </c>
      <c r="C522" s="45" t="s">
        <v>1278</v>
      </c>
      <c r="D522" s="45" t="s">
        <v>159</v>
      </c>
      <c r="E522" s="53">
        <v>20</v>
      </c>
      <c r="F522" s="45" t="s">
        <v>293</v>
      </c>
      <c r="G522" s="45" t="s">
        <v>174</v>
      </c>
    </row>
    <row r="523" spans="1:7" ht="13.5" customHeight="1" x14ac:dyDescent="0.35">
      <c r="A523" s="47">
        <v>43533</v>
      </c>
      <c r="B523" s="45" t="s">
        <v>2794</v>
      </c>
      <c r="C523" s="45" t="s">
        <v>28</v>
      </c>
      <c r="D523" s="45" t="s">
        <v>160</v>
      </c>
      <c r="E523" s="53">
        <v>30</v>
      </c>
      <c r="F523" s="45" t="s">
        <v>2792</v>
      </c>
      <c r="G523" s="45" t="s">
        <v>174</v>
      </c>
    </row>
    <row r="524" spans="1:7" ht="13.5" customHeight="1" x14ac:dyDescent="0.35">
      <c r="A524" s="47">
        <v>43530</v>
      </c>
      <c r="B524" s="45" t="s">
        <v>2752</v>
      </c>
      <c r="C524" s="45" t="s">
        <v>28</v>
      </c>
      <c r="D524" s="45" t="s">
        <v>159</v>
      </c>
      <c r="E524" s="53">
        <v>30</v>
      </c>
      <c r="F524" s="45" t="s">
        <v>2792</v>
      </c>
      <c r="G524" s="45" t="s">
        <v>174</v>
      </c>
    </row>
    <row r="525" spans="1:7" ht="13.5" customHeight="1" x14ac:dyDescent="0.35">
      <c r="A525" s="47">
        <v>43528</v>
      </c>
      <c r="B525" s="45" t="s">
        <v>2446</v>
      </c>
      <c r="C525" s="45" t="s">
        <v>1278</v>
      </c>
      <c r="D525" s="45" t="s">
        <v>159</v>
      </c>
      <c r="E525" s="53">
        <v>20</v>
      </c>
      <c r="F525" s="45" t="s">
        <v>293</v>
      </c>
      <c r="G525" s="45" t="s">
        <v>175</v>
      </c>
    </row>
    <row r="526" spans="1:7" ht="13.5" customHeight="1" x14ac:dyDescent="0.35">
      <c r="A526" s="47">
        <v>43528</v>
      </c>
      <c r="B526" s="45" t="s">
        <v>2766</v>
      </c>
      <c r="C526" s="45" t="s">
        <v>28</v>
      </c>
      <c r="D526" s="45" t="s">
        <v>166</v>
      </c>
      <c r="E526" s="53">
        <v>225</v>
      </c>
      <c r="F526" s="45" t="s">
        <v>2795</v>
      </c>
      <c r="G526" s="45" t="s">
        <v>175</v>
      </c>
    </row>
    <row r="527" spans="1:7" ht="13.5" customHeight="1" x14ac:dyDescent="0.35">
      <c r="A527" s="47">
        <v>43528</v>
      </c>
      <c r="B527" s="45" t="s">
        <v>2766</v>
      </c>
      <c r="C527" s="45" t="s">
        <v>1277</v>
      </c>
      <c r="D527" s="45" t="s">
        <v>166</v>
      </c>
      <c r="E527" s="53">
        <v>-225</v>
      </c>
      <c r="F527" s="45" t="s">
        <v>2795</v>
      </c>
      <c r="G527" s="45" t="s">
        <v>175</v>
      </c>
    </row>
    <row r="528" spans="1:7" ht="13.5" customHeight="1" x14ac:dyDescent="0.35">
      <c r="A528" s="47">
        <v>43528</v>
      </c>
      <c r="B528" s="45" t="s">
        <v>2766</v>
      </c>
      <c r="C528" s="45" t="s">
        <v>1274</v>
      </c>
      <c r="D528" s="45" t="s">
        <v>166</v>
      </c>
      <c r="E528" s="53">
        <v>67.5</v>
      </c>
      <c r="F528" s="45" t="s">
        <v>2786</v>
      </c>
      <c r="G528" s="45" t="s">
        <v>175</v>
      </c>
    </row>
    <row r="529" spans="1:7" ht="13.5" customHeight="1" x14ac:dyDescent="0.35">
      <c r="A529" s="47">
        <v>43528</v>
      </c>
      <c r="B529" s="45" t="s">
        <v>2766</v>
      </c>
      <c r="C529" s="45" t="s">
        <v>1277</v>
      </c>
      <c r="D529" s="45" t="s">
        <v>166</v>
      </c>
      <c r="E529" s="53">
        <v>-67.5</v>
      </c>
      <c r="F529" s="45" t="s">
        <v>2786</v>
      </c>
      <c r="G529" s="45" t="s">
        <v>175</v>
      </c>
    </row>
    <row r="530" spans="1:7" ht="13.5" customHeight="1" x14ac:dyDescent="0.35">
      <c r="A530" s="47">
        <v>43528</v>
      </c>
      <c r="B530" s="45" t="s">
        <v>2766</v>
      </c>
      <c r="C530" s="45" t="s">
        <v>1274</v>
      </c>
      <c r="D530" s="45" t="s">
        <v>166</v>
      </c>
      <c r="E530" s="53">
        <v>67.5</v>
      </c>
      <c r="F530" s="45" t="s">
        <v>2787</v>
      </c>
      <c r="G530" s="45" t="s">
        <v>175</v>
      </c>
    </row>
    <row r="531" spans="1:7" ht="13.5" customHeight="1" x14ac:dyDescent="0.35">
      <c r="A531" s="47">
        <v>43528</v>
      </c>
      <c r="B531" s="45" t="s">
        <v>2766</v>
      </c>
      <c r="C531" s="45" t="s">
        <v>1277</v>
      </c>
      <c r="D531" s="45" t="s">
        <v>166</v>
      </c>
      <c r="E531" s="53">
        <v>-67.5</v>
      </c>
      <c r="F531" s="45" t="s">
        <v>2787</v>
      </c>
      <c r="G531" s="45" t="s">
        <v>175</v>
      </c>
    </row>
    <row r="532" spans="1:7" ht="13.5" customHeight="1" x14ac:dyDescent="0.35">
      <c r="A532" s="47">
        <v>43525</v>
      </c>
      <c r="B532" s="45" t="s">
        <v>2796</v>
      </c>
      <c r="C532" s="426" t="s">
        <v>1276</v>
      </c>
      <c r="D532" s="426" t="s">
        <v>161</v>
      </c>
      <c r="E532" s="567">
        <f>995-187.5</f>
        <v>807.5</v>
      </c>
      <c r="F532" s="426" t="s">
        <v>1078</v>
      </c>
      <c r="G532" s="426" t="s">
        <v>175</v>
      </c>
    </row>
    <row r="533" spans="1:7" ht="13.5" customHeight="1" x14ac:dyDescent="0.35">
      <c r="A533" s="47">
        <v>43525</v>
      </c>
      <c r="B533" s="45" t="s">
        <v>2797</v>
      </c>
      <c r="C533" s="426" t="s">
        <v>1278</v>
      </c>
      <c r="D533" s="426" t="s">
        <v>161</v>
      </c>
      <c r="E533" s="567">
        <v>20</v>
      </c>
      <c r="F533" s="426" t="s">
        <v>292</v>
      </c>
      <c r="G533" s="426" t="s">
        <v>175</v>
      </c>
    </row>
    <row r="534" spans="1:7" ht="13.5" customHeight="1" x14ac:dyDescent="0.35">
      <c r="A534" s="47"/>
      <c r="B534" s="45"/>
      <c r="C534" s="45"/>
      <c r="D534" s="45"/>
      <c r="E534" s="53"/>
      <c r="F534" s="45"/>
      <c r="G534" s="45"/>
    </row>
    <row r="535" spans="1:7" ht="13.5" customHeight="1" x14ac:dyDescent="0.35">
      <c r="A535" s="47"/>
      <c r="B535" s="45"/>
      <c r="C535" s="45"/>
      <c r="D535" s="45"/>
      <c r="E535" s="53"/>
      <c r="F535" s="45"/>
      <c r="G535" s="45"/>
    </row>
    <row r="536" spans="1:7" ht="13.5" customHeight="1" x14ac:dyDescent="0.35">
      <c r="A536" s="47">
        <v>43524</v>
      </c>
      <c r="B536" s="45" t="s">
        <v>1009</v>
      </c>
      <c r="C536" s="426" t="s">
        <v>1276</v>
      </c>
      <c r="D536" s="45" t="s">
        <v>162</v>
      </c>
      <c r="E536" s="53">
        <v>187.5</v>
      </c>
      <c r="F536" s="45" t="s">
        <v>2798</v>
      </c>
      <c r="G536" s="45" t="s">
        <v>175</v>
      </c>
    </row>
    <row r="537" spans="1:7" ht="13.5" customHeight="1" x14ac:dyDescent="0.35">
      <c r="A537" s="47">
        <v>43524</v>
      </c>
      <c r="B537" s="426" t="s">
        <v>2799</v>
      </c>
      <c r="C537" s="45" t="s">
        <v>1274</v>
      </c>
      <c r="D537" s="45" t="s">
        <v>159</v>
      </c>
      <c r="E537" s="435">
        <v>99</v>
      </c>
      <c r="F537" s="48" t="s">
        <v>230</v>
      </c>
      <c r="G537" s="45" t="s">
        <v>175</v>
      </c>
    </row>
    <row r="538" spans="1:7" ht="13.5" customHeight="1" x14ac:dyDescent="0.35">
      <c r="A538" s="47">
        <v>43523</v>
      </c>
      <c r="B538" s="45" t="s">
        <v>2675</v>
      </c>
      <c r="C538" s="45" t="s">
        <v>1274</v>
      </c>
      <c r="D538" s="45" t="s">
        <v>160</v>
      </c>
      <c r="E538" s="53">
        <v>69</v>
      </c>
      <c r="F538" s="48" t="s">
        <v>230</v>
      </c>
      <c r="G538" s="45" t="s">
        <v>175</v>
      </c>
    </row>
    <row r="539" spans="1:7" ht="13.5" customHeight="1" x14ac:dyDescent="0.35">
      <c r="A539" s="47">
        <v>43522</v>
      </c>
      <c r="B539" s="45" t="s">
        <v>2137</v>
      </c>
      <c r="C539" s="45" t="s">
        <v>28</v>
      </c>
      <c r="D539" s="45" t="s">
        <v>166</v>
      </c>
      <c r="E539" s="53">
        <v>45</v>
      </c>
      <c r="F539" s="48" t="s">
        <v>2800</v>
      </c>
      <c r="G539" s="45" t="s">
        <v>175</v>
      </c>
    </row>
    <row r="540" spans="1:7" ht="13.5" customHeight="1" x14ac:dyDescent="0.35">
      <c r="A540" s="47">
        <v>43522</v>
      </c>
      <c r="B540" s="45" t="s">
        <v>2137</v>
      </c>
      <c r="C540" s="45" t="s">
        <v>1277</v>
      </c>
      <c r="D540" s="45" t="s">
        <v>166</v>
      </c>
      <c r="E540" s="53">
        <v>-45</v>
      </c>
      <c r="F540" s="48" t="s">
        <v>2800</v>
      </c>
      <c r="G540" s="45" t="s">
        <v>175</v>
      </c>
    </row>
    <row r="541" spans="1:7" ht="13.5" customHeight="1" x14ac:dyDescent="0.35">
      <c r="A541" s="47">
        <v>43522</v>
      </c>
      <c r="B541" s="45" t="s">
        <v>732</v>
      </c>
      <c r="C541" s="45" t="s">
        <v>1274</v>
      </c>
      <c r="D541" s="45" t="s">
        <v>166</v>
      </c>
      <c r="E541" s="53">
        <v>15</v>
      </c>
      <c r="F541" s="48" t="s">
        <v>2801</v>
      </c>
      <c r="G541" s="45" t="s">
        <v>175</v>
      </c>
    </row>
    <row r="542" spans="1:7" ht="13.5" customHeight="1" x14ac:dyDescent="0.35">
      <c r="A542" s="47">
        <v>43522</v>
      </c>
      <c r="B542" s="45" t="s">
        <v>732</v>
      </c>
      <c r="C542" s="45" t="s">
        <v>1277</v>
      </c>
      <c r="D542" s="45" t="s">
        <v>166</v>
      </c>
      <c r="E542" s="53">
        <v>-15</v>
      </c>
      <c r="F542" s="48" t="s">
        <v>2801</v>
      </c>
      <c r="G542" s="45" t="s">
        <v>175</v>
      </c>
    </row>
    <row r="543" spans="1:7" ht="13.5" customHeight="1" x14ac:dyDescent="0.35">
      <c r="A543" s="47">
        <v>43522</v>
      </c>
      <c r="B543" s="45" t="s">
        <v>2137</v>
      </c>
      <c r="C543" s="45" t="s">
        <v>1274</v>
      </c>
      <c r="D543" s="45" t="s">
        <v>166</v>
      </c>
      <c r="E543" s="53">
        <v>89.1</v>
      </c>
      <c r="F543" s="48" t="s">
        <v>2801</v>
      </c>
      <c r="G543" s="45" t="s">
        <v>175</v>
      </c>
    </row>
    <row r="544" spans="1:7" ht="13.5" customHeight="1" x14ac:dyDescent="0.35">
      <c r="A544" s="47">
        <v>43522</v>
      </c>
      <c r="B544" s="45" t="s">
        <v>2137</v>
      </c>
      <c r="C544" s="45" t="s">
        <v>1277</v>
      </c>
      <c r="D544" s="45" t="s">
        <v>166</v>
      </c>
      <c r="E544" s="53">
        <v>-89.1</v>
      </c>
      <c r="F544" s="48" t="s">
        <v>2801</v>
      </c>
      <c r="G544" s="45" t="s">
        <v>175</v>
      </c>
    </row>
    <row r="545" spans="1:7" ht="13.5" customHeight="1" x14ac:dyDescent="0.35">
      <c r="A545" s="47">
        <v>43521</v>
      </c>
      <c r="B545" s="45" t="s">
        <v>2802</v>
      </c>
      <c r="C545" s="45" t="s">
        <v>2520</v>
      </c>
      <c r="D545" s="45" t="s">
        <v>159</v>
      </c>
      <c r="E545" s="53">
        <v>35</v>
      </c>
      <c r="F545" s="45" t="s">
        <v>753</v>
      </c>
      <c r="G545" s="45" t="s">
        <v>175</v>
      </c>
    </row>
    <row r="546" spans="1:7" ht="13.5" customHeight="1" x14ac:dyDescent="0.35">
      <c r="A546" s="47">
        <v>43521</v>
      </c>
      <c r="B546" s="45" t="s">
        <v>2803</v>
      </c>
      <c r="C546" s="45" t="s">
        <v>1274</v>
      </c>
      <c r="D546" s="45" t="s">
        <v>159</v>
      </c>
      <c r="E546" s="53">
        <v>50</v>
      </c>
      <c r="F546" s="45" t="s">
        <v>2804</v>
      </c>
      <c r="G546" s="45" t="s">
        <v>175</v>
      </c>
    </row>
    <row r="547" spans="1:7" ht="13.5" customHeight="1" x14ac:dyDescent="0.35">
      <c r="A547" s="47">
        <v>43520</v>
      </c>
      <c r="B547" s="45" t="s">
        <v>784</v>
      </c>
      <c r="C547" s="45" t="s">
        <v>1274</v>
      </c>
      <c r="D547" s="45" t="s">
        <v>159</v>
      </c>
      <c r="E547" s="53">
        <v>100</v>
      </c>
      <c r="F547" s="45" t="s">
        <v>2805</v>
      </c>
      <c r="G547" s="45" t="s">
        <v>175</v>
      </c>
    </row>
    <row r="548" spans="1:7" ht="13.5" customHeight="1" x14ac:dyDescent="0.35">
      <c r="A548" s="47">
        <v>43520</v>
      </c>
      <c r="B548" s="45" t="s">
        <v>2803</v>
      </c>
      <c r="C548" s="45" t="s">
        <v>1274</v>
      </c>
      <c r="D548" s="45" t="s">
        <v>159</v>
      </c>
      <c r="E548" s="53">
        <v>99</v>
      </c>
      <c r="F548" s="45" t="s">
        <v>2804</v>
      </c>
      <c r="G548" s="45" t="s">
        <v>175</v>
      </c>
    </row>
    <row r="549" spans="1:7" ht="13.5" customHeight="1" x14ac:dyDescent="0.35">
      <c r="A549" s="47">
        <v>43520</v>
      </c>
      <c r="B549" s="45" t="s">
        <v>967</v>
      </c>
      <c r="C549" s="45" t="s">
        <v>28</v>
      </c>
      <c r="D549" s="45" t="s">
        <v>159</v>
      </c>
      <c r="E549" s="53">
        <v>175</v>
      </c>
      <c r="F549" s="45" t="s">
        <v>2128</v>
      </c>
      <c r="G549" s="45" t="s">
        <v>175</v>
      </c>
    </row>
    <row r="550" spans="1:7" ht="13.5" customHeight="1" x14ac:dyDescent="0.35">
      <c r="A550" s="47">
        <v>43516</v>
      </c>
      <c r="B550" s="45" t="s">
        <v>2659</v>
      </c>
      <c r="C550" s="45" t="s">
        <v>1274</v>
      </c>
      <c r="D550" s="45" t="s">
        <v>166</v>
      </c>
      <c r="E550" s="53">
        <v>112.5</v>
      </c>
      <c r="F550" s="45" t="s">
        <v>2806</v>
      </c>
      <c r="G550" s="45" t="s">
        <v>175</v>
      </c>
    </row>
    <row r="551" spans="1:7" ht="13.5" customHeight="1" x14ac:dyDescent="0.35">
      <c r="A551" s="47">
        <v>43516</v>
      </c>
      <c r="B551" s="45" t="s">
        <v>2659</v>
      </c>
      <c r="C551" s="45" t="s">
        <v>1277</v>
      </c>
      <c r="D551" s="45" t="s">
        <v>166</v>
      </c>
      <c r="E551" s="53">
        <v>-112.5</v>
      </c>
      <c r="F551" s="45" t="s">
        <v>2806</v>
      </c>
      <c r="G551" s="45" t="s">
        <v>175</v>
      </c>
    </row>
    <row r="552" spans="1:7" ht="13.5" customHeight="1" x14ac:dyDescent="0.35">
      <c r="A552" s="47">
        <v>43516</v>
      </c>
      <c r="B552" s="45" t="s">
        <v>2659</v>
      </c>
      <c r="C552" s="45" t="s">
        <v>28</v>
      </c>
      <c r="D552" s="45" t="s">
        <v>166</v>
      </c>
      <c r="E552" s="53">
        <v>225</v>
      </c>
      <c r="F552" s="45" t="s">
        <v>2807</v>
      </c>
      <c r="G552" s="45" t="s">
        <v>175</v>
      </c>
    </row>
    <row r="553" spans="1:7" ht="13.5" customHeight="1" x14ac:dyDescent="0.35">
      <c r="A553" s="47">
        <v>43516</v>
      </c>
      <c r="B553" s="45" t="s">
        <v>2659</v>
      </c>
      <c r="C553" s="45" t="s">
        <v>1277</v>
      </c>
      <c r="D553" s="45" t="s">
        <v>166</v>
      </c>
      <c r="E553" s="53">
        <v>-225</v>
      </c>
      <c r="F553" s="45" t="s">
        <v>2807</v>
      </c>
      <c r="G553" s="45" t="s">
        <v>175</v>
      </c>
    </row>
    <row r="554" spans="1:7" ht="13.5" customHeight="1" x14ac:dyDescent="0.35">
      <c r="A554" s="47">
        <v>43518</v>
      </c>
      <c r="B554" s="45" t="s">
        <v>2137</v>
      </c>
      <c r="C554" s="45" t="s">
        <v>1279</v>
      </c>
      <c r="D554" s="45" t="s">
        <v>166</v>
      </c>
      <c r="E554" s="53">
        <v>65</v>
      </c>
      <c r="F554" s="48" t="s">
        <v>941</v>
      </c>
      <c r="G554" s="45" t="s">
        <v>175</v>
      </c>
    </row>
    <row r="555" spans="1:7" ht="13.5" customHeight="1" x14ac:dyDescent="0.35">
      <c r="A555" s="47">
        <v>43518</v>
      </c>
      <c r="B555" s="45" t="s">
        <v>2137</v>
      </c>
      <c r="C555" s="45" t="s">
        <v>1277</v>
      </c>
      <c r="D555" s="45" t="s">
        <v>166</v>
      </c>
      <c r="E555" s="53">
        <v>-65</v>
      </c>
      <c r="F555" s="48" t="s">
        <v>941</v>
      </c>
      <c r="G555" s="45" t="s">
        <v>175</v>
      </c>
    </row>
    <row r="556" spans="1:7" ht="13.5" customHeight="1" x14ac:dyDescent="0.35">
      <c r="A556" s="47">
        <v>43518</v>
      </c>
      <c r="B556" s="45" t="s">
        <v>1429</v>
      </c>
      <c r="C556" s="45" t="s">
        <v>28</v>
      </c>
      <c r="D556" s="45" t="s">
        <v>162</v>
      </c>
      <c r="E556" s="53">
        <v>150</v>
      </c>
      <c r="F556" s="45" t="s">
        <v>2128</v>
      </c>
      <c r="G556" s="45" t="s">
        <v>175</v>
      </c>
    </row>
    <row r="557" spans="1:7" ht="13.5" customHeight="1" x14ac:dyDescent="0.35">
      <c r="A557" s="47">
        <v>43514</v>
      </c>
      <c r="B557" s="45" t="s">
        <v>345</v>
      </c>
      <c r="C557" s="45" t="s">
        <v>28</v>
      </c>
      <c r="D557" s="45" t="s">
        <v>160</v>
      </c>
      <c r="E557" s="53">
        <v>150</v>
      </c>
      <c r="F557" s="45" t="s">
        <v>2808</v>
      </c>
      <c r="G557" s="45" t="s">
        <v>174</v>
      </c>
    </row>
    <row r="558" spans="1:7" ht="13.5" customHeight="1" x14ac:dyDescent="0.35">
      <c r="A558" s="47">
        <v>43514</v>
      </c>
      <c r="B558" s="45" t="s">
        <v>2809</v>
      </c>
      <c r="C558" s="45" t="s">
        <v>1274</v>
      </c>
      <c r="D558" s="45" t="s">
        <v>160</v>
      </c>
      <c r="E558" s="53">
        <v>75</v>
      </c>
      <c r="F558" s="45" t="s">
        <v>2810</v>
      </c>
      <c r="G558" s="45" t="s">
        <v>174</v>
      </c>
    </row>
    <row r="559" spans="1:7" ht="13.5" customHeight="1" x14ac:dyDescent="0.35">
      <c r="A559" s="47">
        <v>43513</v>
      </c>
      <c r="B559" s="45" t="s">
        <v>1235</v>
      </c>
      <c r="C559" s="45" t="s">
        <v>28</v>
      </c>
      <c r="D559" s="45" t="s">
        <v>159</v>
      </c>
      <c r="E559" s="53">
        <v>30</v>
      </c>
      <c r="F559" s="45" t="s">
        <v>2811</v>
      </c>
      <c r="G559" s="45" t="s">
        <v>174</v>
      </c>
    </row>
    <row r="560" spans="1:7" ht="13.5" customHeight="1" x14ac:dyDescent="0.35">
      <c r="A560" s="47">
        <v>43510</v>
      </c>
      <c r="B560" s="45" t="s">
        <v>732</v>
      </c>
      <c r="C560" s="45" t="s">
        <v>28</v>
      </c>
      <c r="D560" s="45" t="s">
        <v>166</v>
      </c>
      <c r="E560" s="53">
        <v>150</v>
      </c>
      <c r="F560" s="45" t="s">
        <v>2128</v>
      </c>
      <c r="G560" s="45" t="s">
        <v>175</v>
      </c>
    </row>
    <row r="561" spans="1:7" ht="13.5" customHeight="1" x14ac:dyDescent="0.35">
      <c r="A561" s="47">
        <v>43510</v>
      </c>
      <c r="B561" s="45" t="s">
        <v>732</v>
      </c>
      <c r="C561" s="45" t="s">
        <v>1277</v>
      </c>
      <c r="D561" s="45" t="s">
        <v>166</v>
      </c>
      <c r="E561" s="53">
        <v>-150</v>
      </c>
      <c r="F561" s="45" t="s">
        <v>2128</v>
      </c>
      <c r="G561" s="45" t="s">
        <v>175</v>
      </c>
    </row>
    <row r="562" spans="1:7" ht="13.5" customHeight="1" x14ac:dyDescent="0.35">
      <c r="A562" s="47">
        <v>43510</v>
      </c>
      <c r="B562" s="45" t="s">
        <v>732</v>
      </c>
      <c r="C562" s="45" t="s">
        <v>1274</v>
      </c>
      <c r="D562" s="45" t="s">
        <v>166</v>
      </c>
      <c r="E562" s="53">
        <v>510</v>
      </c>
      <c r="F562" s="45" t="s">
        <v>1793</v>
      </c>
      <c r="G562" s="45" t="s">
        <v>175</v>
      </c>
    </row>
    <row r="563" spans="1:7" ht="13.5" customHeight="1" x14ac:dyDescent="0.35">
      <c r="A563" s="47">
        <v>43510</v>
      </c>
      <c r="B563" s="45" t="s">
        <v>732</v>
      </c>
      <c r="C563" s="45" t="s">
        <v>1277</v>
      </c>
      <c r="D563" s="45" t="s">
        <v>166</v>
      </c>
      <c r="E563" s="53">
        <v>-510</v>
      </c>
      <c r="F563" s="45" t="s">
        <v>1793</v>
      </c>
      <c r="G563" s="45" t="s">
        <v>175</v>
      </c>
    </row>
    <row r="564" spans="1:7" ht="13.5" customHeight="1" x14ac:dyDescent="0.35">
      <c r="A564" s="47">
        <v>43510</v>
      </c>
      <c r="B564" s="45" t="s">
        <v>732</v>
      </c>
      <c r="C564" s="426" t="s">
        <v>1276</v>
      </c>
      <c r="D564" s="45" t="s">
        <v>162</v>
      </c>
      <c r="E564" s="53">
        <v>200</v>
      </c>
      <c r="F564" s="45" t="s">
        <v>2812</v>
      </c>
      <c r="G564" s="45" t="s">
        <v>175</v>
      </c>
    </row>
    <row r="565" spans="1:7" ht="13.5" customHeight="1" x14ac:dyDescent="0.35">
      <c r="A565" s="47">
        <v>43509</v>
      </c>
      <c r="B565" s="45" t="s">
        <v>2813</v>
      </c>
      <c r="C565" s="45" t="s">
        <v>28</v>
      </c>
      <c r="D565" s="45" t="s">
        <v>159</v>
      </c>
      <c r="E565" s="53">
        <v>30</v>
      </c>
      <c r="F565" s="45" t="s">
        <v>2811</v>
      </c>
      <c r="G565" s="45" t="s">
        <v>174</v>
      </c>
    </row>
    <row r="566" spans="1:7" ht="13.5" customHeight="1" x14ac:dyDescent="0.35">
      <c r="A566" s="47">
        <v>43509</v>
      </c>
      <c r="B566" s="45" t="s">
        <v>2814</v>
      </c>
      <c r="C566" s="45" t="s">
        <v>1278</v>
      </c>
      <c r="D566" s="45" t="s">
        <v>160</v>
      </c>
      <c r="E566" s="53">
        <v>200</v>
      </c>
      <c r="F566" s="45" t="s">
        <v>2815</v>
      </c>
      <c r="G566" s="45" t="s">
        <v>175</v>
      </c>
    </row>
    <row r="567" spans="1:7" ht="13.5" customHeight="1" x14ac:dyDescent="0.35">
      <c r="A567" s="47">
        <v>43508</v>
      </c>
      <c r="B567" s="45" t="s">
        <v>2736</v>
      </c>
      <c r="C567" s="45" t="s">
        <v>28</v>
      </c>
      <c r="D567" s="45" t="s">
        <v>166</v>
      </c>
      <c r="E567" s="53">
        <v>250</v>
      </c>
      <c r="F567" s="45" t="s">
        <v>291</v>
      </c>
      <c r="G567" s="45" t="s">
        <v>175</v>
      </c>
    </row>
    <row r="568" spans="1:7" ht="13.5" customHeight="1" x14ac:dyDescent="0.35">
      <c r="A568" s="47">
        <v>43508</v>
      </c>
      <c r="B568" s="45" t="s">
        <v>2736</v>
      </c>
      <c r="C568" s="45" t="s">
        <v>1277</v>
      </c>
      <c r="D568" s="45" t="s">
        <v>166</v>
      </c>
      <c r="E568" s="53">
        <v>-250</v>
      </c>
      <c r="F568" s="45" t="s">
        <v>291</v>
      </c>
      <c r="G568" s="45" t="s">
        <v>175</v>
      </c>
    </row>
    <row r="569" spans="1:7" ht="13.5" customHeight="1" x14ac:dyDescent="0.35">
      <c r="A569" s="47">
        <v>43508</v>
      </c>
      <c r="B569" s="45" t="s">
        <v>2285</v>
      </c>
      <c r="C569" s="45" t="s">
        <v>28</v>
      </c>
      <c r="D569" s="45" t="s">
        <v>159</v>
      </c>
      <c r="E569" s="53">
        <v>150</v>
      </c>
      <c r="F569" s="45" t="s">
        <v>2816</v>
      </c>
      <c r="G569" s="45" t="s">
        <v>175</v>
      </c>
    </row>
    <row r="570" spans="1:7" ht="13.5" customHeight="1" x14ac:dyDescent="0.35">
      <c r="A570" s="47">
        <v>43508</v>
      </c>
      <c r="B570" s="45" t="s">
        <v>2499</v>
      </c>
      <c r="C570" s="45" t="s">
        <v>1274</v>
      </c>
      <c r="D570" s="45" t="s">
        <v>159</v>
      </c>
      <c r="E570" s="53">
        <v>10</v>
      </c>
      <c r="F570" s="45" t="s">
        <v>324</v>
      </c>
      <c r="G570" s="45" t="s">
        <v>174</v>
      </c>
    </row>
    <row r="571" spans="1:7" ht="13.5" customHeight="1" x14ac:dyDescent="0.35">
      <c r="A571" s="47">
        <v>43508</v>
      </c>
      <c r="B571" s="45" t="s">
        <v>1766</v>
      </c>
      <c r="C571" s="45" t="s">
        <v>1274</v>
      </c>
      <c r="D571" s="45" t="s">
        <v>159</v>
      </c>
      <c r="E571" s="53">
        <v>10</v>
      </c>
      <c r="F571" s="45" t="s">
        <v>324</v>
      </c>
      <c r="G571" s="45" t="s">
        <v>175</v>
      </c>
    </row>
    <row r="572" spans="1:7" ht="13.5" customHeight="1" x14ac:dyDescent="0.35">
      <c r="A572" s="47">
        <v>43506</v>
      </c>
      <c r="B572" s="45" t="s">
        <v>732</v>
      </c>
      <c r="C572" s="45" t="s">
        <v>1274</v>
      </c>
      <c r="D572" s="45" t="s">
        <v>159</v>
      </c>
      <c r="E572" s="53">
        <v>10</v>
      </c>
      <c r="F572" s="45" t="s">
        <v>324</v>
      </c>
      <c r="G572" s="45" t="s">
        <v>175</v>
      </c>
    </row>
    <row r="573" spans="1:7" ht="13.5" customHeight="1" x14ac:dyDescent="0.35">
      <c r="A573" s="47">
        <v>43500</v>
      </c>
      <c r="B573" s="45" t="s">
        <v>2446</v>
      </c>
      <c r="C573" s="45" t="s">
        <v>1278</v>
      </c>
      <c r="D573" s="45" t="s">
        <v>159</v>
      </c>
      <c r="E573" s="53">
        <v>20</v>
      </c>
      <c r="F573" s="45" t="s">
        <v>293</v>
      </c>
      <c r="G573" s="45" t="s">
        <v>175</v>
      </c>
    </row>
    <row r="574" spans="1:7" ht="13.5" customHeight="1" x14ac:dyDescent="0.35">
      <c r="A574" s="47">
        <v>43499</v>
      </c>
      <c r="B574" s="45" t="s">
        <v>2236</v>
      </c>
      <c r="C574" s="45" t="s">
        <v>1274</v>
      </c>
      <c r="D574" s="45" t="s">
        <v>160</v>
      </c>
      <c r="E574" s="53">
        <v>20</v>
      </c>
      <c r="F574" s="45" t="s">
        <v>324</v>
      </c>
      <c r="G574" s="45" t="s">
        <v>174</v>
      </c>
    </row>
    <row r="575" spans="1:7" ht="13.5" customHeight="1" x14ac:dyDescent="0.35">
      <c r="A575" s="47">
        <v>43499</v>
      </c>
      <c r="B575" s="45" t="s">
        <v>2736</v>
      </c>
      <c r="C575" s="45" t="s">
        <v>1274</v>
      </c>
      <c r="D575" s="45" t="s">
        <v>166</v>
      </c>
      <c r="E575" s="53">
        <v>10</v>
      </c>
      <c r="F575" s="45" t="s">
        <v>324</v>
      </c>
      <c r="G575" s="45" t="s">
        <v>175</v>
      </c>
    </row>
    <row r="576" spans="1:7" ht="13.5" customHeight="1" x14ac:dyDescent="0.35">
      <c r="A576" s="47">
        <v>43499</v>
      </c>
      <c r="B576" s="45" t="s">
        <v>2736</v>
      </c>
      <c r="C576" s="45" t="s">
        <v>1277</v>
      </c>
      <c r="D576" s="45" t="s">
        <v>166</v>
      </c>
      <c r="E576" s="53">
        <v>-10</v>
      </c>
      <c r="F576" s="45" t="s">
        <v>324</v>
      </c>
      <c r="G576" s="45" t="s">
        <v>175</v>
      </c>
    </row>
    <row r="577" spans="1:7" ht="13.5" customHeight="1" x14ac:dyDescent="0.35">
      <c r="A577" s="47">
        <v>43499</v>
      </c>
      <c r="B577" s="45" t="s">
        <v>1766</v>
      </c>
      <c r="C577" s="45" t="s">
        <v>1274</v>
      </c>
      <c r="D577" s="45" t="s">
        <v>159</v>
      </c>
      <c r="E577" s="53">
        <v>10</v>
      </c>
      <c r="F577" s="45" t="s">
        <v>324</v>
      </c>
      <c r="G577" s="45" t="s">
        <v>175</v>
      </c>
    </row>
    <row r="578" spans="1:7" ht="13.5" customHeight="1" x14ac:dyDescent="0.35">
      <c r="A578" s="47">
        <v>43498</v>
      </c>
      <c r="B578" s="45" t="s">
        <v>784</v>
      </c>
      <c r="C578" s="45" t="s">
        <v>1274</v>
      </c>
      <c r="D578" s="45" t="s">
        <v>159</v>
      </c>
      <c r="E578" s="53">
        <v>10</v>
      </c>
      <c r="F578" s="45" t="s">
        <v>324</v>
      </c>
      <c r="G578" s="45" t="s">
        <v>175</v>
      </c>
    </row>
    <row r="579" spans="1:7" ht="13.5" customHeight="1" x14ac:dyDescent="0.35">
      <c r="A579" s="47">
        <v>43497</v>
      </c>
      <c r="B579" s="45" t="s">
        <v>2736</v>
      </c>
      <c r="C579" s="426" t="s">
        <v>1276</v>
      </c>
      <c r="D579" s="45" t="s">
        <v>162</v>
      </c>
      <c r="E579" s="53">
        <v>250</v>
      </c>
      <c r="F579" s="45" t="s">
        <v>2812</v>
      </c>
      <c r="G579" s="45" t="s">
        <v>175</v>
      </c>
    </row>
    <row r="580" spans="1:7" ht="13.5" customHeight="1" x14ac:dyDescent="0.35">
      <c r="A580" s="47">
        <v>43497</v>
      </c>
      <c r="B580" s="45" t="s">
        <v>2481</v>
      </c>
      <c r="C580" s="426" t="s">
        <v>1276</v>
      </c>
      <c r="D580" s="426" t="s">
        <v>161</v>
      </c>
      <c r="E580" s="567">
        <f>830-250</f>
        <v>580</v>
      </c>
      <c r="F580" s="426" t="s">
        <v>1078</v>
      </c>
      <c r="G580" s="426" t="s">
        <v>175</v>
      </c>
    </row>
    <row r="581" spans="1:7" ht="13.5" customHeight="1" x14ac:dyDescent="0.35">
      <c r="A581" s="47">
        <v>43497</v>
      </c>
      <c r="B581" s="45" t="s">
        <v>2482</v>
      </c>
      <c r="C581" s="426" t="s">
        <v>1278</v>
      </c>
      <c r="D581" s="426" t="s">
        <v>161</v>
      </c>
      <c r="E581" s="567">
        <v>20</v>
      </c>
      <c r="F581" s="426" t="s">
        <v>292</v>
      </c>
      <c r="G581" s="426" t="s">
        <v>175</v>
      </c>
    </row>
    <row r="582" spans="1:7" ht="13.5" customHeight="1" x14ac:dyDescent="0.35">
      <c r="A582" s="47"/>
      <c r="B582" s="45"/>
      <c r="C582" s="45"/>
      <c r="D582" s="45"/>
      <c r="E582" s="53"/>
      <c r="F582" s="45"/>
      <c r="G582" s="45"/>
    </row>
    <row r="583" spans="1:7" ht="13.5" customHeight="1" x14ac:dyDescent="0.35">
      <c r="A583" s="47">
        <v>43496</v>
      </c>
      <c r="B583" s="45" t="s">
        <v>2817</v>
      </c>
      <c r="C583" s="45" t="s">
        <v>1274</v>
      </c>
      <c r="D583" s="45" t="s">
        <v>160</v>
      </c>
      <c r="E583" s="53">
        <v>10</v>
      </c>
      <c r="F583" s="45" t="s">
        <v>324</v>
      </c>
      <c r="G583" s="45" t="s">
        <v>175</v>
      </c>
    </row>
    <row r="584" spans="1:7" ht="13.5" customHeight="1" x14ac:dyDescent="0.35">
      <c r="A584" s="47">
        <v>43495</v>
      </c>
      <c r="B584" s="45" t="s">
        <v>2818</v>
      </c>
      <c r="C584" s="426" t="s">
        <v>28</v>
      </c>
      <c r="D584" s="45" t="s">
        <v>161</v>
      </c>
      <c r="E584" s="53">
        <v>0</v>
      </c>
      <c r="F584" s="45" t="s">
        <v>2819</v>
      </c>
      <c r="G584" s="45" t="s">
        <v>174</v>
      </c>
    </row>
    <row r="585" spans="1:7" ht="13.5" customHeight="1" x14ac:dyDescent="0.35">
      <c r="A585" s="47">
        <v>43495</v>
      </c>
      <c r="B585" s="45" t="s">
        <v>2820</v>
      </c>
      <c r="C585" s="45" t="s">
        <v>1274</v>
      </c>
      <c r="D585" s="45" t="s">
        <v>162</v>
      </c>
      <c r="E585" s="53">
        <v>595</v>
      </c>
      <c r="F585" s="45" t="s">
        <v>496</v>
      </c>
      <c r="G585" s="45" t="s">
        <v>175</v>
      </c>
    </row>
    <row r="586" spans="1:7" ht="13.5" customHeight="1" x14ac:dyDescent="0.35">
      <c r="A586" s="47">
        <v>43495</v>
      </c>
      <c r="B586" s="45" t="s">
        <v>2821</v>
      </c>
      <c r="C586" s="45" t="s">
        <v>1274</v>
      </c>
      <c r="D586" s="45" t="s">
        <v>162</v>
      </c>
      <c r="E586" s="53">
        <v>515</v>
      </c>
      <c r="F586" s="45" t="s">
        <v>2822</v>
      </c>
      <c r="G586" s="45" t="s">
        <v>175</v>
      </c>
    </row>
    <row r="587" spans="1:7" ht="13.5" customHeight="1" x14ac:dyDescent="0.35">
      <c r="A587" s="47">
        <v>43494</v>
      </c>
      <c r="B587" s="45" t="s">
        <v>1187</v>
      </c>
      <c r="C587" s="45" t="s">
        <v>1274</v>
      </c>
      <c r="D587" s="45" t="s">
        <v>166</v>
      </c>
      <c r="E587" s="53">
        <v>400</v>
      </c>
      <c r="F587" s="45" t="s">
        <v>2822</v>
      </c>
      <c r="G587" s="45" t="s">
        <v>175</v>
      </c>
    </row>
    <row r="588" spans="1:7" ht="13.5" customHeight="1" x14ac:dyDescent="0.35">
      <c r="A588" s="47">
        <v>43494</v>
      </c>
      <c r="B588" s="45" t="s">
        <v>1187</v>
      </c>
      <c r="C588" s="45" t="s">
        <v>1277</v>
      </c>
      <c r="D588" s="45" t="s">
        <v>166</v>
      </c>
      <c r="E588" s="53">
        <v>-400</v>
      </c>
      <c r="F588" s="45" t="s">
        <v>2822</v>
      </c>
      <c r="G588" s="45" t="s">
        <v>175</v>
      </c>
    </row>
    <row r="589" spans="1:7" ht="13.5" customHeight="1" x14ac:dyDescent="0.35">
      <c r="A589" s="47">
        <v>43493</v>
      </c>
      <c r="B589" s="45" t="s">
        <v>2446</v>
      </c>
      <c r="C589" s="426" t="s">
        <v>28</v>
      </c>
      <c r="D589" s="45" t="s">
        <v>159</v>
      </c>
      <c r="E589" s="53">
        <v>50</v>
      </c>
      <c r="F589" s="45" t="s">
        <v>2823</v>
      </c>
      <c r="G589" s="45" t="s">
        <v>175</v>
      </c>
    </row>
    <row r="590" spans="1:7" ht="13.5" customHeight="1" x14ac:dyDescent="0.35">
      <c r="A590" s="47">
        <v>43492</v>
      </c>
      <c r="B590" s="45" t="s">
        <v>2824</v>
      </c>
      <c r="C590" s="45" t="s">
        <v>1274</v>
      </c>
      <c r="D590" s="45" t="s">
        <v>159</v>
      </c>
      <c r="E590" s="53">
        <v>70</v>
      </c>
      <c r="F590" s="45" t="s">
        <v>2825</v>
      </c>
      <c r="G590" s="45" t="s">
        <v>175</v>
      </c>
    </row>
    <row r="591" spans="1:7" ht="13.5" customHeight="1" x14ac:dyDescent="0.35">
      <c r="A591" s="47">
        <v>43490</v>
      </c>
      <c r="B591" s="45" t="s">
        <v>2659</v>
      </c>
      <c r="C591" s="45" t="s">
        <v>1274</v>
      </c>
      <c r="D591" s="45" t="s">
        <v>166</v>
      </c>
      <c r="E591" s="53">
        <v>10</v>
      </c>
      <c r="F591" s="45" t="s">
        <v>324</v>
      </c>
      <c r="G591" s="45" t="s">
        <v>175</v>
      </c>
    </row>
    <row r="592" spans="1:7" ht="13.5" customHeight="1" x14ac:dyDescent="0.35">
      <c r="A592" s="47">
        <v>43490</v>
      </c>
      <c r="B592" s="45" t="s">
        <v>2659</v>
      </c>
      <c r="C592" s="45" t="s">
        <v>1277</v>
      </c>
      <c r="D592" s="45" t="s">
        <v>166</v>
      </c>
      <c r="E592" s="53">
        <v>-10</v>
      </c>
      <c r="F592" s="45" t="s">
        <v>324</v>
      </c>
      <c r="G592" s="45" t="s">
        <v>175</v>
      </c>
    </row>
    <row r="593" spans="1:7" ht="13.5" customHeight="1" x14ac:dyDescent="0.35">
      <c r="A593" s="47">
        <v>43490</v>
      </c>
      <c r="B593" s="45" t="s">
        <v>2659</v>
      </c>
      <c r="C593" s="45" t="s">
        <v>1274</v>
      </c>
      <c r="D593" s="45" t="s">
        <v>166</v>
      </c>
      <c r="E593" s="53">
        <v>99</v>
      </c>
      <c r="F593" s="45" t="s">
        <v>2801</v>
      </c>
      <c r="G593" s="45" t="s">
        <v>175</v>
      </c>
    </row>
    <row r="594" spans="1:7" ht="13.5" customHeight="1" x14ac:dyDescent="0.35">
      <c r="A594" s="47">
        <v>43490</v>
      </c>
      <c r="B594" s="45" t="s">
        <v>2659</v>
      </c>
      <c r="C594" s="45" t="s">
        <v>1277</v>
      </c>
      <c r="D594" s="45" t="s">
        <v>166</v>
      </c>
      <c r="E594" s="53">
        <v>-99</v>
      </c>
      <c r="F594" s="45" t="s">
        <v>2801</v>
      </c>
      <c r="G594" s="45" t="s">
        <v>175</v>
      </c>
    </row>
    <row r="595" spans="1:7" ht="13.5" customHeight="1" x14ac:dyDescent="0.35">
      <c r="A595" s="47">
        <v>43490</v>
      </c>
      <c r="B595" s="45" t="s">
        <v>2826</v>
      </c>
      <c r="C595" s="426" t="s">
        <v>28</v>
      </c>
      <c r="D595" s="45" t="s">
        <v>159</v>
      </c>
      <c r="E595" s="53">
        <v>30</v>
      </c>
      <c r="F595" s="45" t="s">
        <v>1924</v>
      </c>
      <c r="G595" s="45" t="s">
        <v>174</v>
      </c>
    </row>
    <row r="596" spans="1:7" ht="13.5" customHeight="1" x14ac:dyDescent="0.35">
      <c r="A596" s="47">
        <v>43490</v>
      </c>
      <c r="B596" s="45" t="s">
        <v>2827</v>
      </c>
      <c r="C596" s="426" t="s">
        <v>1274</v>
      </c>
      <c r="D596" s="45" t="s">
        <v>160</v>
      </c>
      <c r="E596" s="53">
        <v>475</v>
      </c>
      <c r="F596" s="45" t="s">
        <v>2828</v>
      </c>
      <c r="G596" s="45" t="s">
        <v>174</v>
      </c>
    </row>
    <row r="597" spans="1:7" ht="13.5" customHeight="1" x14ac:dyDescent="0.35">
      <c r="A597" s="47">
        <v>43490</v>
      </c>
      <c r="B597" s="45" t="s">
        <v>2137</v>
      </c>
      <c r="C597" s="45" t="s">
        <v>1276</v>
      </c>
      <c r="D597" s="45" t="s">
        <v>164</v>
      </c>
      <c r="E597" s="53">
        <v>525</v>
      </c>
      <c r="F597" s="45" t="s">
        <v>2747</v>
      </c>
      <c r="G597" s="45" t="s">
        <v>175</v>
      </c>
    </row>
    <row r="598" spans="1:7" ht="13.5" customHeight="1" x14ac:dyDescent="0.35">
      <c r="A598" s="47">
        <v>43489</v>
      </c>
      <c r="B598" s="45" t="s">
        <v>2821</v>
      </c>
      <c r="C598" s="426" t="s">
        <v>1274</v>
      </c>
      <c r="D598" s="45" t="s">
        <v>162</v>
      </c>
      <c r="E598" s="53">
        <v>755</v>
      </c>
      <c r="F598" s="45" t="s">
        <v>496</v>
      </c>
      <c r="G598" s="45" t="s">
        <v>174</v>
      </c>
    </row>
    <row r="599" spans="1:7" ht="13.5" customHeight="1" x14ac:dyDescent="0.35">
      <c r="A599" s="47">
        <v>43489</v>
      </c>
      <c r="B599" s="45" t="s">
        <v>2829</v>
      </c>
      <c r="C599" s="426" t="s">
        <v>28</v>
      </c>
      <c r="D599" s="45" t="s">
        <v>162</v>
      </c>
      <c r="E599" s="53">
        <v>250</v>
      </c>
      <c r="F599" s="45" t="s">
        <v>1180</v>
      </c>
      <c r="G599" s="45" t="s">
        <v>175</v>
      </c>
    </row>
    <row r="600" spans="1:7" ht="13.5" customHeight="1" x14ac:dyDescent="0.35">
      <c r="A600" s="47">
        <v>43482</v>
      </c>
      <c r="B600" s="45" t="s">
        <v>1766</v>
      </c>
      <c r="C600" s="426" t="s">
        <v>1279</v>
      </c>
      <c r="D600" s="45" t="s">
        <v>162</v>
      </c>
      <c r="E600" s="53">
        <v>250</v>
      </c>
      <c r="F600" s="45" t="s">
        <v>2830</v>
      </c>
      <c r="G600" s="45" t="s">
        <v>1311</v>
      </c>
    </row>
    <row r="601" spans="1:7" ht="13.5" customHeight="1" x14ac:dyDescent="0.35">
      <c r="A601" s="47">
        <v>43477</v>
      </c>
      <c r="B601" s="45" t="s">
        <v>2460</v>
      </c>
      <c r="C601" s="426" t="s">
        <v>1274</v>
      </c>
      <c r="D601" s="45" t="s">
        <v>160</v>
      </c>
      <c r="E601" s="53">
        <v>10</v>
      </c>
      <c r="F601" s="45" t="s">
        <v>324</v>
      </c>
      <c r="G601" s="45" t="s">
        <v>175</v>
      </c>
    </row>
    <row r="602" spans="1:7" ht="13.5" customHeight="1" x14ac:dyDescent="0.35">
      <c r="A602" s="47">
        <v>43476</v>
      </c>
      <c r="B602" s="45" t="s">
        <v>2736</v>
      </c>
      <c r="C602" s="426" t="s">
        <v>28</v>
      </c>
      <c r="D602" s="45" t="s">
        <v>160</v>
      </c>
      <c r="E602" s="53">
        <v>250</v>
      </c>
      <c r="F602" s="45" t="s">
        <v>1489</v>
      </c>
      <c r="G602" s="45" t="s">
        <v>174</v>
      </c>
    </row>
    <row r="603" spans="1:7" ht="13.5" customHeight="1" x14ac:dyDescent="0.35">
      <c r="A603" s="47">
        <v>43474</v>
      </c>
      <c r="B603" s="45" t="s">
        <v>2153</v>
      </c>
      <c r="C603" s="45" t="s">
        <v>1277</v>
      </c>
      <c r="D603" s="45" t="s">
        <v>166</v>
      </c>
      <c r="E603" s="53">
        <v>-427.5</v>
      </c>
      <c r="F603" s="45" t="s">
        <v>288</v>
      </c>
      <c r="G603" s="45" t="s">
        <v>175</v>
      </c>
    </row>
    <row r="604" spans="1:7" ht="13.5" customHeight="1" x14ac:dyDescent="0.35">
      <c r="A604" s="47">
        <v>43474</v>
      </c>
      <c r="B604" s="45" t="s">
        <v>2153</v>
      </c>
      <c r="C604" s="426" t="s">
        <v>1274</v>
      </c>
      <c r="D604" s="45" t="s">
        <v>166</v>
      </c>
      <c r="E604" s="53">
        <v>427.5</v>
      </c>
      <c r="F604" s="45" t="s">
        <v>288</v>
      </c>
      <c r="G604" s="45" t="s">
        <v>175</v>
      </c>
    </row>
    <row r="605" spans="1:7" ht="13.5" customHeight="1" x14ac:dyDescent="0.35">
      <c r="A605" s="47">
        <v>43474</v>
      </c>
      <c r="B605" s="45" t="s">
        <v>2831</v>
      </c>
      <c r="C605" s="426" t="s">
        <v>28</v>
      </c>
      <c r="D605" s="45" t="s">
        <v>159</v>
      </c>
      <c r="E605" s="53">
        <v>250</v>
      </c>
      <c r="F605" s="45" t="s">
        <v>1489</v>
      </c>
      <c r="G605" s="45" t="s">
        <v>175</v>
      </c>
    </row>
    <row r="606" spans="1:7" ht="13.5" customHeight="1" x14ac:dyDescent="0.35">
      <c r="A606" s="47">
        <v>43474</v>
      </c>
      <c r="B606" s="45" t="s">
        <v>2285</v>
      </c>
      <c r="C606" s="426" t="s">
        <v>28</v>
      </c>
      <c r="D606" s="45" t="s">
        <v>159</v>
      </c>
      <c r="E606" s="53">
        <v>100</v>
      </c>
      <c r="F606" s="45" t="s">
        <v>1489</v>
      </c>
      <c r="G606" s="45" t="s">
        <v>175</v>
      </c>
    </row>
    <row r="607" spans="1:7" ht="13.5" customHeight="1" x14ac:dyDescent="0.35">
      <c r="A607" s="47">
        <v>43474</v>
      </c>
      <c r="B607" s="45" t="s">
        <v>2820</v>
      </c>
      <c r="C607" s="426" t="s">
        <v>28</v>
      </c>
      <c r="D607" s="45" t="s">
        <v>159</v>
      </c>
      <c r="E607" s="53">
        <v>395</v>
      </c>
      <c r="F607" s="45" t="s">
        <v>2832</v>
      </c>
      <c r="G607" s="45" t="s">
        <v>174</v>
      </c>
    </row>
    <row r="608" spans="1:7" ht="13.5" customHeight="1" x14ac:dyDescent="0.35">
      <c r="A608" s="47">
        <v>43473</v>
      </c>
      <c r="B608" s="45" t="s">
        <v>2831</v>
      </c>
      <c r="C608" s="426" t="s">
        <v>28</v>
      </c>
      <c r="D608" s="45" t="s">
        <v>159</v>
      </c>
      <c r="E608" s="53">
        <v>30</v>
      </c>
      <c r="F608" s="45" t="s">
        <v>1924</v>
      </c>
      <c r="G608" s="45" t="s">
        <v>174</v>
      </c>
    </row>
    <row r="609" spans="1:7" ht="13.5" customHeight="1" x14ac:dyDescent="0.35">
      <c r="A609" s="47">
        <v>43473</v>
      </c>
      <c r="B609" s="45" t="s">
        <v>2833</v>
      </c>
      <c r="C609" s="426" t="s">
        <v>1274</v>
      </c>
      <c r="D609" s="45" t="s">
        <v>159</v>
      </c>
      <c r="E609" s="53">
        <v>10</v>
      </c>
      <c r="F609" s="45" t="s">
        <v>324</v>
      </c>
      <c r="G609" s="45" t="s">
        <v>175</v>
      </c>
    </row>
    <row r="610" spans="1:7" ht="13.5" customHeight="1" x14ac:dyDescent="0.35">
      <c r="A610" s="47">
        <v>43472</v>
      </c>
      <c r="B610" s="45" t="s">
        <v>2394</v>
      </c>
      <c r="C610" s="426" t="s">
        <v>1274</v>
      </c>
      <c r="D610" s="45" t="s">
        <v>164</v>
      </c>
      <c r="E610" s="53">
        <v>10</v>
      </c>
      <c r="F610" s="45" t="s">
        <v>324</v>
      </c>
      <c r="G610" s="45" t="s">
        <v>175</v>
      </c>
    </row>
    <row r="611" spans="1:7" ht="13.5" customHeight="1" x14ac:dyDescent="0.35">
      <c r="A611" s="47">
        <v>43472</v>
      </c>
      <c r="B611" s="45" t="s">
        <v>2834</v>
      </c>
      <c r="C611" s="426" t="s">
        <v>1279</v>
      </c>
      <c r="D611" s="45" t="s">
        <v>159</v>
      </c>
      <c r="E611" s="53">
        <v>395</v>
      </c>
      <c r="F611" s="45" t="s">
        <v>2835</v>
      </c>
      <c r="G611" s="45" t="s">
        <v>174</v>
      </c>
    </row>
    <row r="612" spans="1:7" ht="13.5" customHeight="1" x14ac:dyDescent="0.35">
      <c r="A612" s="47">
        <v>43472</v>
      </c>
      <c r="B612" s="45" t="s">
        <v>2836</v>
      </c>
      <c r="C612" s="426" t="s">
        <v>28</v>
      </c>
      <c r="D612" s="45" t="s">
        <v>159</v>
      </c>
      <c r="E612" s="53">
        <v>30</v>
      </c>
      <c r="F612" s="45" t="s">
        <v>1924</v>
      </c>
      <c r="G612" s="45" t="s">
        <v>174</v>
      </c>
    </row>
    <row r="613" spans="1:7" ht="13.5" customHeight="1" x14ac:dyDescent="0.35">
      <c r="A613" s="47">
        <v>43472</v>
      </c>
      <c r="B613" s="45" t="s">
        <v>2837</v>
      </c>
      <c r="C613" s="426" t="s">
        <v>1274</v>
      </c>
      <c r="D613" s="45" t="s">
        <v>159</v>
      </c>
      <c r="E613" s="53">
        <v>150</v>
      </c>
      <c r="F613" s="45" t="s">
        <v>2838</v>
      </c>
      <c r="G613" s="45" t="s">
        <v>175</v>
      </c>
    </row>
    <row r="614" spans="1:7" ht="13.5" customHeight="1" x14ac:dyDescent="0.35">
      <c r="A614" s="47">
        <v>43472</v>
      </c>
      <c r="B614" s="45" t="s">
        <v>1766</v>
      </c>
      <c r="C614" s="426" t="s">
        <v>1274</v>
      </c>
      <c r="D614" s="45" t="s">
        <v>159</v>
      </c>
      <c r="E614" s="53">
        <v>20</v>
      </c>
      <c r="F614" s="45" t="s">
        <v>324</v>
      </c>
      <c r="G614" s="45" t="s">
        <v>175</v>
      </c>
    </row>
    <row r="615" spans="1:7" ht="13.5" customHeight="1" x14ac:dyDescent="0.35">
      <c r="A615" s="47">
        <v>43472</v>
      </c>
      <c r="B615" s="45" t="s">
        <v>2839</v>
      </c>
      <c r="C615" s="426" t="s">
        <v>1274</v>
      </c>
      <c r="D615" s="45" t="s">
        <v>159</v>
      </c>
      <c r="E615" s="53">
        <v>20</v>
      </c>
      <c r="F615" s="45" t="s">
        <v>324</v>
      </c>
      <c r="G615" s="45" t="s">
        <v>174</v>
      </c>
    </row>
    <row r="616" spans="1:7" ht="13.5" customHeight="1" x14ac:dyDescent="0.35">
      <c r="A616" s="47">
        <v>43471</v>
      </c>
      <c r="B616" s="45" t="s">
        <v>2817</v>
      </c>
      <c r="C616" s="426" t="s">
        <v>1274</v>
      </c>
      <c r="D616" s="45" t="s">
        <v>160</v>
      </c>
      <c r="E616" s="53">
        <v>10</v>
      </c>
      <c r="F616" s="45" t="s">
        <v>324</v>
      </c>
      <c r="G616" s="45" t="s">
        <v>175</v>
      </c>
    </row>
    <row r="617" spans="1:7" ht="13.5" customHeight="1" x14ac:dyDescent="0.35">
      <c r="A617" s="47">
        <v>43469</v>
      </c>
      <c r="B617" s="45" t="s">
        <v>732</v>
      </c>
      <c r="C617" s="426" t="s">
        <v>1274</v>
      </c>
      <c r="D617" s="45" t="s">
        <v>159</v>
      </c>
      <c r="E617" s="53">
        <v>10</v>
      </c>
      <c r="F617" s="45" t="s">
        <v>324</v>
      </c>
      <c r="G617" s="45" t="s">
        <v>175</v>
      </c>
    </row>
    <row r="618" spans="1:7" ht="13.5" customHeight="1" x14ac:dyDescent="0.35">
      <c r="A618" s="47">
        <v>43468</v>
      </c>
      <c r="B618" s="45" t="s">
        <v>2840</v>
      </c>
      <c r="C618" s="426" t="s">
        <v>28</v>
      </c>
      <c r="D618" s="45" t="s">
        <v>161</v>
      </c>
      <c r="E618" s="53">
        <v>0</v>
      </c>
      <c r="F618" s="45" t="s">
        <v>2819</v>
      </c>
      <c r="G618" s="45" t="s">
        <v>174</v>
      </c>
    </row>
    <row r="619" spans="1:7" ht="13.5" customHeight="1" x14ac:dyDescent="0.35">
      <c r="A619" s="47">
        <v>43467</v>
      </c>
      <c r="B619" s="45" t="s">
        <v>2781</v>
      </c>
      <c r="C619" s="426" t="s">
        <v>1274</v>
      </c>
      <c r="D619" s="45" t="s">
        <v>159</v>
      </c>
      <c r="E619" s="53">
        <v>10</v>
      </c>
      <c r="F619" s="45" t="s">
        <v>324</v>
      </c>
      <c r="G619" s="45" t="s">
        <v>175</v>
      </c>
    </row>
    <row r="620" spans="1:7" ht="13.5" customHeight="1" x14ac:dyDescent="0.35">
      <c r="A620" s="47">
        <v>43466</v>
      </c>
      <c r="B620" s="45" t="s">
        <v>2511</v>
      </c>
      <c r="C620" s="426" t="s">
        <v>1276</v>
      </c>
      <c r="D620" s="426" t="s">
        <v>161</v>
      </c>
      <c r="E620" s="567">
        <v>626.07000000000005</v>
      </c>
      <c r="F620" s="426" t="s">
        <v>1078</v>
      </c>
      <c r="G620" s="426" t="s">
        <v>175</v>
      </c>
    </row>
    <row r="621" spans="1:7" ht="13.5" customHeight="1" x14ac:dyDescent="0.35">
      <c r="A621" s="47">
        <v>43466</v>
      </c>
      <c r="B621" s="45" t="s">
        <v>2512</v>
      </c>
      <c r="C621" s="426" t="s">
        <v>1278</v>
      </c>
      <c r="D621" s="426" t="s">
        <v>161</v>
      </c>
      <c r="E621" s="567">
        <v>40</v>
      </c>
      <c r="F621" s="426" t="s">
        <v>292</v>
      </c>
      <c r="G621" s="426" t="s">
        <v>175</v>
      </c>
    </row>
  </sheetData>
  <conditionalFormatting sqref="E1:E12 E14:E34 E37 E51:E54 E59 E61 E65:E142 E144:E145 E149 E153 E155 E157:E158 E163:E166 E276:E277 E281 E285:E290 E293:E299 E301:E304 E307:E310 E313 E316:E317 E319:E320 E322 E325:E326 E328:E329 E332:E342 E346:E353 E356:E362 E367:E370 E373:E377 V118:V1169 V1190:V1318 V1320:V1592 X4 X27:X32 X75 X83:X93 X103 X108 X117">
    <cfRule type="cellIs" dxfId="1901" priority="345" operator="lessThan">
      <formula>0</formula>
    </cfRule>
  </conditionalFormatting>
  <conditionalFormatting sqref="X25">
    <cfRule type="cellIs" dxfId="1900" priority="344" operator="lessThan">
      <formula>0</formula>
    </cfRule>
  </conditionalFormatting>
  <conditionalFormatting sqref="X4:X14">
    <cfRule type="cellIs" dxfId="1899" priority="217" operator="lessThan">
      <formula>0</formula>
    </cfRule>
    <cfRule type="cellIs" dxfId="1898" priority="218" operator="lessThan">
      <formula>0</formula>
    </cfRule>
    <cfRule type="cellIs" dxfId="1897" priority="219" operator="lessThan">
      <formula>0</formula>
    </cfRule>
    <cfRule type="cellIs" dxfId="1896" priority="220" operator="lessThan">
      <formula>0</formula>
    </cfRule>
    <cfRule type="cellIs" dxfId="1895" priority="221" operator="lessThan">
      <formula>0</formula>
    </cfRule>
    <cfRule type="cellIs" dxfId="1894" priority="222" operator="lessThan">
      <formula>0</formula>
    </cfRule>
    <cfRule type="cellIs" dxfId="1893" priority="223" operator="lessThan">
      <formula>0</formula>
    </cfRule>
    <cfRule type="cellIs" dxfId="1892" priority="224" operator="lessThan">
      <formula>0</formula>
    </cfRule>
    <cfRule type="cellIs" dxfId="1891" priority="225" operator="lessThan">
      <formula>0</formula>
    </cfRule>
    <cfRule type="cellIs" dxfId="1890" priority="226" operator="lessThan">
      <formula>0</formula>
    </cfRule>
    <cfRule type="cellIs" dxfId="1889" priority="227" operator="lessThan">
      <formula>0</formula>
    </cfRule>
    <cfRule type="cellIs" dxfId="1888" priority="228" operator="lessThan">
      <formula>0</formula>
    </cfRule>
    <cfRule type="cellIs" dxfId="1887" priority="229" operator="lessThan">
      <formula>0</formula>
    </cfRule>
    <cfRule type="cellIs" dxfId="1886" priority="230" operator="lessThan">
      <formula>0</formula>
    </cfRule>
    <cfRule type="cellIs" dxfId="1885" priority="231" operator="lessThan">
      <formula>0</formula>
    </cfRule>
    <cfRule type="cellIs" dxfId="1884" priority="232" operator="lessThan">
      <formula>0</formula>
    </cfRule>
    <cfRule type="cellIs" dxfId="1883" priority="233" operator="lessThan">
      <formula>0</formula>
    </cfRule>
    <cfRule type="cellIs" dxfId="1882" priority="237" operator="lessThan">
      <formula>0</formula>
    </cfRule>
    <cfRule type="cellIs" dxfId="1881" priority="296" operator="lessThan">
      <formula>0</formula>
    </cfRule>
    <cfRule type="cellIs" dxfId="1880" priority="298" operator="lessThan">
      <formula>0</formula>
    </cfRule>
    <cfRule type="cellIs" dxfId="1879" priority="307" operator="lessThan">
      <formula>0</formula>
    </cfRule>
    <cfRule type="cellIs" dxfId="1878" priority="317" operator="lessThan">
      <formula>0</formula>
    </cfRule>
    <cfRule type="cellIs" dxfId="1877" priority="323" operator="lessThan">
      <formula>0</formula>
    </cfRule>
    <cfRule type="cellIs" dxfId="1876" priority="328" operator="lessThan">
      <formula>0</formula>
    </cfRule>
    <cfRule type="cellIs" dxfId="1875" priority="329" operator="lessThan">
      <formula>0</formula>
    </cfRule>
    <cfRule type="cellIs" dxfId="1874" priority="332" operator="lessThan">
      <formula>0</formula>
    </cfRule>
    <cfRule type="cellIs" dxfId="1873" priority="339" operator="lessThan">
      <formula>0</formula>
    </cfRule>
    <cfRule type="cellIs" dxfId="1872" priority="340" operator="greaterThan">
      <formula>0</formula>
    </cfRule>
    <cfRule type="cellIs" dxfId="1871" priority="342" operator="lessThan">
      <formula>0</formula>
    </cfRule>
  </conditionalFormatting>
  <conditionalFormatting sqref="X26">
    <cfRule type="cellIs" dxfId="1870" priority="343" operator="lessThan">
      <formula>0</formula>
    </cfRule>
  </conditionalFormatting>
  <conditionalFormatting sqref="X14">
    <cfRule type="cellIs" dxfId="1869" priority="45" operator="lessThan">
      <formula>0</formula>
    </cfRule>
    <cfRule type="cellIs" dxfId="1868" priority="46" operator="lessThan">
      <formula>0</formula>
    </cfRule>
    <cfRule type="cellIs" dxfId="1867" priority="47" operator="lessThan">
      <formula>0</formula>
    </cfRule>
    <cfRule type="cellIs" dxfId="1866" priority="48" operator="lessThan">
      <formula>0</formula>
    </cfRule>
    <cfRule type="cellIs" dxfId="1865" priority="49" operator="lessThan">
      <formula>0</formula>
    </cfRule>
    <cfRule type="cellIs" dxfId="1864" priority="116" operator="lessThan">
      <formula>0</formula>
    </cfRule>
    <cfRule type="cellIs" dxfId="1863" priority="117" operator="lessThan">
      <formula>0</formula>
    </cfRule>
    <cfRule type="cellIs" dxfId="1862" priority="118" operator="lessThan">
      <formula>0</formula>
    </cfRule>
    <cfRule type="cellIs" dxfId="1861" priority="119" operator="lessThan">
      <formula>0</formula>
    </cfRule>
    <cfRule type="cellIs" dxfId="1860" priority="142" operator="lessThan">
      <formula>0</formula>
    </cfRule>
    <cfRule type="cellIs" dxfId="1859" priority="170" operator="lessThan">
      <formula>0</formula>
    </cfRule>
    <cfRule type="cellIs" dxfId="1858" priority="171" operator="lessThan">
      <formula>0</formula>
    </cfRule>
    <cfRule type="cellIs" dxfId="1857" priority="297" operator="lessThan">
      <formula>0</formula>
    </cfRule>
    <cfRule type="cellIs" dxfId="1856" priority="301" operator="lessThan">
      <formula>0</formula>
    </cfRule>
    <cfRule type="cellIs" dxfId="1855" priority="302" operator="lessThan">
      <formula>0</formula>
    </cfRule>
    <cfRule type="cellIs" dxfId="1854" priority="303" operator="lessThan">
      <formula>0</formula>
    </cfRule>
    <cfRule type="cellIs" dxfId="1853" priority="304" operator="lessThan">
      <formula>0</formula>
    </cfRule>
    <cfRule type="cellIs" dxfId="1852" priority="305" operator="lessThan">
      <formula>0</formula>
    </cfRule>
    <cfRule type="cellIs" dxfId="1851" priority="306" operator="lessThan">
      <formula>0</formula>
    </cfRule>
    <cfRule type="cellIs" dxfId="1850" priority="318" operator="lessThan">
      <formula>0</formula>
    </cfRule>
    <cfRule type="cellIs" dxfId="1849" priority="319" operator="lessThan">
      <formula>0</formula>
    </cfRule>
    <cfRule type="cellIs" dxfId="1848" priority="320" operator="lessThan">
      <formula>0</formula>
    </cfRule>
    <cfRule type="cellIs" dxfId="1847" priority="321" operator="lessThan">
      <formula>0</formula>
    </cfRule>
    <cfRule type="cellIs" dxfId="1846" priority="322" operator="lessThan">
      <formula>0</formula>
    </cfRule>
    <cfRule type="cellIs" dxfId="1845" priority="324" operator="lessThan">
      <formula>0</formula>
    </cfRule>
    <cfRule type="cellIs" dxfId="1844" priority="325" operator="lessThan">
      <formula>0</formula>
    </cfRule>
    <cfRule type="cellIs" dxfId="1843" priority="326" operator="lessThan">
      <formula>0</formula>
    </cfRule>
    <cfRule type="cellIs" dxfId="1842" priority="327" operator="lessThan">
      <formula>0</formula>
    </cfRule>
    <cfRule type="cellIs" dxfId="1841" priority="341" operator="lessThan">
      <formula>0</formula>
    </cfRule>
  </conditionalFormatting>
  <conditionalFormatting sqref="J30">
    <cfRule type="cellIs" dxfId="1840" priority="337" operator="greaterThan">
      <formula>0</formula>
    </cfRule>
    <cfRule type="cellIs" dxfId="1839" priority="338" operator="lessThan">
      <formula>0</formula>
    </cfRule>
  </conditionalFormatting>
  <conditionalFormatting sqref="Y4">
    <cfRule type="cellIs" dxfId="1838" priority="335" operator="greaterThan">
      <formula>0</formula>
    </cfRule>
    <cfRule type="cellIs" dxfId="1837" priority="336" operator="lessThan">
      <formula>0</formula>
    </cfRule>
  </conditionalFormatting>
  <conditionalFormatting sqref="Z4">
    <cfRule type="cellIs" dxfId="1836" priority="333" operator="greaterThan">
      <formula>0</formula>
    </cfRule>
    <cfRule type="cellIs" dxfId="1835" priority="334" operator="lessThan">
      <formula>0</formula>
    </cfRule>
  </conditionalFormatting>
  <conditionalFormatting sqref="AB4:AB14">
    <cfRule type="cellIs" dxfId="1834" priority="330" operator="lessThan">
      <formula>0</formula>
    </cfRule>
    <cfRule type="cellIs" dxfId="1833" priority="331" operator="greaterThan">
      <formula>0</formula>
    </cfRule>
  </conditionalFormatting>
  <conditionalFormatting sqref="Y14">
    <cfRule type="cellIs" dxfId="1832" priority="315" operator="greaterThan">
      <formula>0</formula>
    </cfRule>
    <cfRule type="cellIs" dxfId="1831" priority="316" operator="lessThan">
      <formula>0</formula>
    </cfRule>
  </conditionalFormatting>
  <conditionalFormatting sqref="W15">
    <cfRule type="cellIs" dxfId="1830" priority="312" operator="greaterThan">
      <formula>0.8</formula>
    </cfRule>
    <cfRule type="cellIs" dxfId="1829" priority="313" operator="between">
      <formula>0.51</formula>
      <formula>0.8</formula>
    </cfRule>
    <cfRule type="cellIs" dxfId="1828" priority="314" operator="lessThan">
      <formula>0.5</formula>
    </cfRule>
  </conditionalFormatting>
  <conditionalFormatting sqref="X95">
    <cfRule type="cellIs" dxfId="1827" priority="311" operator="lessThan">
      <formula>0</formula>
    </cfRule>
  </conditionalFormatting>
  <conditionalFormatting sqref="X105:X107">
    <cfRule type="cellIs" dxfId="1826" priority="310" operator="lessThan">
      <formula>0</formula>
    </cfRule>
  </conditionalFormatting>
  <conditionalFormatting sqref="Y5 Y7:Y13">
    <cfRule type="cellIs" dxfId="1825" priority="308" operator="greaterThan">
      <formula>0</formula>
    </cfRule>
    <cfRule type="cellIs" dxfId="1824" priority="309" operator="lessThan">
      <formula>0</formula>
    </cfRule>
  </conditionalFormatting>
  <conditionalFormatting sqref="Y22">
    <cfRule type="cellIs" dxfId="1823" priority="299" operator="greaterThan">
      <formula>0</formula>
    </cfRule>
    <cfRule type="cellIs" dxfId="1822" priority="300" operator="lessThan">
      <formula>0</formula>
    </cfRule>
  </conditionalFormatting>
  <conditionalFormatting sqref="X22">
    <cfRule type="cellIs" dxfId="1821" priority="289" operator="lessThan">
      <formula>0</formula>
    </cfRule>
    <cfRule type="cellIs" dxfId="1820" priority="290" operator="lessThan">
      <formula>0</formula>
    </cfRule>
    <cfRule type="cellIs" dxfId="1819" priority="291" operator="lessThan">
      <formula>0</formula>
    </cfRule>
    <cfRule type="cellIs" dxfId="1818" priority="292" operator="lessThan">
      <formula>0</formula>
    </cfRule>
    <cfRule type="cellIs" dxfId="1817" priority="293" operator="lessThan">
      <formula>0</formula>
    </cfRule>
    <cfRule type="cellIs" dxfId="1816" priority="294" operator="greaterThan">
      <formula>0</formula>
    </cfRule>
    <cfRule type="cellIs" dxfId="1815" priority="295" operator="lessThan">
      <formula>0</formula>
    </cfRule>
  </conditionalFormatting>
  <conditionalFormatting sqref="Z65:Z72">
    <cfRule type="cellIs" dxfId="1814" priority="287" operator="lessThan">
      <formula>0</formula>
    </cfRule>
    <cfRule type="cellIs" dxfId="1813" priority="288" operator="greaterThan">
      <formula>0</formula>
    </cfRule>
  </conditionalFormatting>
  <conditionalFormatting sqref="X110:X111">
    <cfRule type="cellIs" dxfId="1812" priority="286" operator="lessThan">
      <formula>0</formula>
    </cfRule>
  </conditionalFormatting>
  <conditionalFormatting sqref="X112:X113">
    <cfRule type="cellIs" dxfId="1811" priority="285" operator="lessThan">
      <formula>0</formula>
    </cfRule>
  </conditionalFormatting>
  <conditionalFormatting sqref="X115:X116">
    <cfRule type="cellIs" dxfId="1810" priority="284" operator="lessThan">
      <formula>0</formula>
    </cfRule>
  </conditionalFormatting>
  <conditionalFormatting sqref="X15:X16">
    <cfRule type="cellIs" dxfId="1809" priority="268" operator="lessThan">
      <formula>0</formula>
    </cfRule>
    <cfRule type="cellIs" dxfId="1808" priority="269" operator="lessThan">
      <formula>0</formula>
    </cfRule>
    <cfRule type="cellIs" dxfId="1807" priority="270" operator="lessThan">
      <formula>0</formula>
    </cfRule>
    <cfRule type="cellIs" dxfId="1806" priority="271" operator="lessThan">
      <formula>0</formula>
    </cfRule>
    <cfRule type="cellIs" dxfId="1805" priority="272" operator="lessThan">
      <formula>0</formula>
    </cfRule>
    <cfRule type="cellIs" dxfId="1804" priority="273" operator="greaterThan">
      <formula>0</formula>
    </cfRule>
    <cfRule type="cellIs" dxfId="1803" priority="274" operator="lessThan">
      <formula>0</formula>
    </cfRule>
  </conditionalFormatting>
  <conditionalFormatting sqref="Y15:Y16">
    <cfRule type="cellIs" dxfId="1802" priority="266" operator="greaterThan">
      <formula>0</formula>
    </cfRule>
    <cfRule type="cellIs" dxfId="1801" priority="267" operator="lessThan">
      <formula>0</formula>
    </cfRule>
  </conditionalFormatting>
  <conditionalFormatting sqref="X19:X21">
    <cfRule type="cellIs" dxfId="1800" priority="277" operator="lessThan">
      <formula>0</formula>
    </cfRule>
    <cfRule type="cellIs" dxfId="1799" priority="278" operator="lessThan">
      <formula>0</formula>
    </cfRule>
    <cfRule type="cellIs" dxfId="1798" priority="279" operator="lessThan">
      <formula>0</formula>
    </cfRule>
    <cfRule type="cellIs" dxfId="1797" priority="280" operator="lessThan">
      <formula>0</formula>
    </cfRule>
    <cfRule type="cellIs" dxfId="1796" priority="281" operator="lessThan">
      <formula>0</formula>
    </cfRule>
    <cfRule type="cellIs" dxfId="1795" priority="282" operator="greaterThan">
      <formula>0</formula>
    </cfRule>
    <cfRule type="cellIs" dxfId="1794" priority="283" operator="lessThan">
      <formula>0</formula>
    </cfRule>
  </conditionalFormatting>
  <conditionalFormatting sqref="Y19:Y21">
    <cfRule type="cellIs" dxfId="1793" priority="275" operator="greaterThan">
      <formula>0</formula>
    </cfRule>
    <cfRule type="cellIs" dxfId="1792" priority="276" operator="lessThan">
      <formula>0</formula>
    </cfRule>
  </conditionalFormatting>
  <conditionalFormatting sqref="K34:V40">
    <cfRule type="cellIs" dxfId="1791" priority="264" operator="lessThan">
      <formula>0</formula>
    </cfRule>
    <cfRule type="cellIs" dxfId="1790" priority="265" operator="greaterThan">
      <formula>0.1</formula>
    </cfRule>
  </conditionalFormatting>
  <conditionalFormatting sqref="K41">
    <cfRule type="cellIs" dxfId="1789" priority="262" operator="lessThan">
      <formula>0</formula>
    </cfRule>
    <cfRule type="cellIs" dxfId="1788" priority="263" operator="greaterThan">
      <formula>0.1</formula>
    </cfRule>
  </conditionalFormatting>
  <conditionalFormatting sqref="W34:W40">
    <cfRule type="cellIs" dxfId="1787" priority="260" operator="lessThan">
      <formula>0</formula>
    </cfRule>
    <cfRule type="cellIs" dxfId="1786" priority="261" operator="greaterThan">
      <formula>0.1</formula>
    </cfRule>
  </conditionalFormatting>
  <conditionalFormatting sqref="E1125 E1130 E1134 E1136:E1137 E1139:E1147 E1150:E1185">
    <cfRule type="cellIs" dxfId="1785" priority="259" operator="lessThan">
      <formula>0</formula>
    </cfRule>
  </conditionalFormatting>
  <conditionalFormatting sqref="L34:V36 L38:V40">
    <cfRule type="cellIs" dxfId="1784" priority="257" operator="lessThan">
      <formula>0</formula>
    </cfRule>
    <cfRule type="cellIs" dxfId="1783" priority="258" operator="greaterThan">
      <formula>0.1</formula>
    </cfRule>
  </conditionalFormatting>
  <conditionalFormatting sqref="K37">
    <cfRule type="cellIs" dxfId="1782" priority="253" operator="lessThan">
      <formula>0</formula>
    </cfRule>
    <cfRule type="cellIs" dxfId="1781" priority="254" operator="greaterThan">
      <formula>0.1</formula>
    </cfRule>
    <cfRule type="cellIs" dxfId="1780" priority="255" operator="lessThan">
      <formula>0</formula>
    </cfRule>
    <cfRule type="cellIs" dxfId="1779" priority="256" operator="greaterThan">
      <formula>0.1</formula>
    </cfRule>
  </conditionalFormatting>
  <conditionalFormatting sqref="L37:V37">
    <cfRule type="cellIs" dxfId="1778" priority="249" operator="lessThan">
      <formula>0</formula>
    </cfRule>
    <cfRule type="cellIs" dxfId="1777" priority="250" operator="greaterThan">
      <formula>0.1</formula>
    </cfRule>
    <cfRule type="cellIs" dxfId="1776" priority="251" operator="lessThan">
      <formula>0</formula>
    </cfRule>
    <cfRule type="cellIs" dxfId="1775" priority="252" operator="greaterThan">
      <formula>0.1</formula>
    </cfRule>
  </conditionalFormatting>
  <conditionalFormatting sqref="L41:W41">
    <cfRule type="cellIs" dxfId="1774" priority="247" operator="lessThan">
      <formula>0</formula>
    </cfRule>
    <cfRule type="cellIs" dxfId="1773" priority="248" operator="greaterThan">
      <formula>0.1</formula>
    </cfRule>
  </conditionalFormatting>
  <conditionalFormatting sqref="E1148">
    <cfRule type="cellIs" dxfId="1772" priority="246" operator="lessThan">
      <formula>0</formula>
    </cfRule>
  </conditionalFormatting>
  <conditionalFormatting sqref="Y6">
    <cfRule type="cellIs" dxfId="1771" priority="244" operator="greaterThan">
      <formula>0</formula>
    </cfRule>
    <cfRule type="cellIs" dxfId="1770" priority="245" operator="lessThan">
      <formula>0</formula>
    </cfRule>
  </conditionalFormatting>
  <conditionalFormatting sqref="E1138">
    <cfRule type="cellIs" dxfId="1769" priority="243" operator="lessThan">
      <formula>0</formula>
    </cfRule>
  </conditionalFormatting>
  <conditionalFormatting sqref="E1135">
    <cfRule type="cellIs" dxfId="1768" priority="242" operator="lessThan">
      <formula>0</formula>
    </cfRule>
  </conditionalFormatting>
  <conditionalFormatting sqref="E1126:E1129">
    <cfRule type="cellIs" dxfId="1767" priority="241" operator="lessThan">
      <formula>0</formula>
    </cfRule>
  </conditionalFormatting>
  <conditionalFormatting sqref="E1131:E1133">
    <cfRule type="cellIs" dxfId="1766" priority="240" operator="lessThan">
      <formula>0</formula>
    </cfRule>
  </conditionalFormatting>
  <conditionalFormatting sqref="E1099">
    <cfRule type="cellIs" dxfId="1765" priority="239" operator="lessThan">
      <formula>0</formula>
    </cfRule>
  </conditionalFormatting>
  <conditionalFormatting sqref="E1092:E1093">
    <cfRule type="cellIs" dxfId="1764" priority="238" operator="lessThan">
      <formula>0</formula>
    </cfRule>
  </conditionalFormatting>
  <conditionalFormatting sqref="E1037:E1256">
    <cfRule type="cellIs" dxfId="1763" priority="236" operator="lessThan">
      <formula>0</formula>
    </cfRule>
  </conditionalFormatting>
  <conditionalFormatting sqref="E1018:E1019">
    <cfRule type="cellIs" dxfId="1762" priority="234" operator="lessThan">
      <formula>0</formula>
    </cfRule>
    <cfRule type="cellIs" dxfId="1761" priority="235" operator="lessThan">
      <formula>0</formula>
    </cfRule>
  </conditionalFormatting>
  <conditionalFormatting sqref="E1005">
    <cfRule type="cellIs" dxfId="1760" priority="216" operator="lessThan">
      <formula>0</formula>
    </cfRule>
  </conditionalFormatting>
  <conditionalFormatting sqref="E1004">
    <cfRule type="cellIs" dxfId="1759" priority="215" operator="lessThan">
      <formula>0</formula>
    </cfRule>
  </conditionalFormatting>
  <conditionalFormatting sqref="E1001">
    <cfRule type="cellIs" dxfId="1758" priority="213" operator="lessThan">
      <formula>0</formula>
    </cfRule>
    <cfRule type="cellIs" dxfId="1757" priority="214" operator="lessThan">
      <formula>0</formula>
    </cfRule>
  </conditionalFormatting>
  <conditionalFormatting sqref="E994">
    <cfRule type="cellIs" dxfId="1756" priority="212" operator="lessThan">
      <formula>0</formula>
    </cfRule>
  </conditionalFormatting>
  <conditionalFormatting sqref="Y34:Y41">
    <cfRule type="cellIs" dxfId="1755" priority="210" operator="greaterThan">
      <formula>0</formula>
    </cfRule>
    <cfRule type="cellIs" dxfId="1754" priority="211" operator="lessThan">
      <formula>0</formula>
    </cfRule>
  </conditionalFormatting>
  <conditionalFormatting sqref="E984">
    <cfRule type="cellIs" dxfId="1753" priority="208" operator="lessThan">
      <formula>0</formula>
    </cfRule>
    <cfRule type="cellIs" dxfId="1752" priority="209" operator="lessThan">
      <formula>0</formula>
    </cfRule>
  </conditionalFormatting>
  <conditionalFormatting sqref="E981:E983">
    <cfRule type="cellIs" dxfId="1751" priority="206" operator="lessThan">
      <formula>0</formula>
    </cfRule>
    <cfRule type="cellIs" dxfId="1750" priority="207" operator="lessThan">
      <formula>0</formula>
    </cfRule>
  </conditionalFormatting>
  <conditionalFormatting sqref="E968">
    <cfRule type="cellIs" dxfId="1749" priority="205" operator="lessThan">
      <formula>0</formula>
    </cfRule>
  </conditionalFormatting>
  <conditionalFormatting sqref="E961">
    <cfRule type="cellIs" dxfId="1748" priority="203" operator="lessThan">
      <formula>0</formula>
    </cfRule>
    <cfRule type="cellIs" dxfId="1747" priority="204" operator="lessThan">
      <formula>0</formula>
    </cfRule>
  </conditionalFormatting>
  <conditionalFormatting sqref="Z24">
    <cfRule type="cellIs" dxfId="1746" priority="201" operator="greaterThan">
      <formula>0</formula>
    </cfRule>
    <cfRule type="cellIs" dxfId="1745" priority="202" operator="lessThan">
      <formula>0</formula>
    </cfRule>
  </conditionalFormatting>
  <conditionalFormatting sqref="E954:E955">
    <cfRule type="cellIs" dxfId="1744" priority="199" operator="lessThan">
      <formula>0</formula>
    </cfRule>
    <cfRule type="cellIs" dxfId="1743" priority="200" operator="lessThan">
      <formula>0</formula>
    </cfRule>
  </conditionalFormatting>
  <conditionalFormatting sqref="X5:X14">
    <cfRule type="cellIs" dxfId="1742" priority="33" operator="lessThan">
      <formula>0</formula>
    </cfRule>
    <cfRule type="cellIs" dxfId="1741" priority="38" operator="lessThan">
      <formula>0</formula>
    </cfRule>
    <cfRule type="cellIs" dxfId="1740" priority="62" operator="lessThan">
      <formula>0</formula>
    </cfRule>
    <cfRule type="cellIs" dxfId="1739" priority="77" operator="lessThan">
      <formula>0</formula>
    </cfRule>
    <cfRule type="cellIs" dxfId="1738" priority="86" operator="lessThan">
      <formula>0</formula>
    </cfRule>
    <cfRule type="cellIs" dxfId="1737" priority="99" operator="lessThan">
      <formula>0</formula>
    </cfRule>
    <cfRule type="cellIs" dxfId="1736" priority="106" operator="lessThan">
      <formula>0</formula>
    </cfRule>
    <cfRule type="cellIs" dxfId="1735" priority="109" operator="lessThan">
      <formula>0</formula>
    </cfRule>
    <cfRule type="cellIs" dxfId="1734" priority="121" operator="lessThan">
      <formula>0</formula>
    </cfRule>
    <cfRule type="cellIs" dxfId="1733" priority="135" operator="lessThan">
      <formula>0</formula>
    </cfRule>
    <cfRule type="cellIs" dxfId="1732" priority="137" operator="lessThan">
      <formula>0</formula>
    </cfRule>
    <cfRule type="cellIs" dxfId="1731" priority="144" operator="lessThan">
      <formula>0</formula>
    </cfRule>
    <cfRule type="cellIs" dxfId="1730" priority="147" operator="lessThan">
      <formula>0</formula>
    </cfRule>
    <cfRule type="cellIs" dxfId="1729" priority="153" operator="lessThan">
      <formula>0</formula>
    </cfRule>
    <cfRule type="cellIs" dxfId="1728" priority="188" operator="lessThan">
      <formula>0</formula>
    </cfRule>
    <cfRule type="cellIs" dxfId="1727" priority="198" operator="lessThan">
      <formula>0</formula>
    </cfRule>
  </conditionalFormatting>
  <conditionalFormatting sqref="E948">
    <cfRule type="cellIs" dxfId="1726" priority="197" operator="lessThan">
      <formula>0</formula>
    </cfRule>
  </conditionalFormatting>
  <conditionalFormatting sqref="E949">
    <cfRule type="cellIs" dxfId="1725" priority="196" operator="lessThan">
      <formula>0</formula>
    </cfRule>
  </conditionalFormatting>
  <conditionalFormatting sqref="E941">
    <cfRule type="cellIs" dxfId="1724" priority="195" operator="lessThan">
      <formula>0</formula>
    </cfRule>
  </conditionalFormatting>
  <conditionalFormatting sqref="E877:E879 E881:E887 E893:E897 E900 E903:E908 E916:E919 E922:E928 E930:E936 E939:E940 I875">
    <cfRule type="cellIs" dxfId="1723" priority="194" operator="lessThan">
      <formula>0</formula>
    </cfRule>
  </conditionalFormatting>
  <conditionalFormatting sqref="E938">
    <cfRule type="cellIs" dxfId="1722" priority="193" operator="lessThan">
      <formula>0</formula>
    </cfRule>
  </conditionalFormatting>
  <conditionalFormatting sqref="E937">
    <cfRule type="cellIs" dxfId="1721" priority="192" operator="lessThan">
      <formula>0</formula>
    </cfRule>
  </conditionalFormatting>
  <conditionalFormatting sqref="E929">
    <cfRule type="cellIs" dxfId="1720" priority="191" operator="lessThan">
      <formula>0</formula>
    </cfRule>
  </conditionalFormatting>
  <conditionalFormatting sqref="E921">
    <cfRule type="cellIs" dxfId="1719" priority="190" operator="lessThan">
      <formula>0</formula>
    </cfRule>
  </conditionalFormatting>
  <conditionalFormatting sqref="E920">
    <cfRule type="cellIs" dxfId="1718" priority="189" operator="lessThan">
      <formula>0</formula>
    </cfRule>
  </conditionalFormatting>
  <conditionalFormatting sqref="J914:J915">
    <cfRule type="cellIs" dxfId="1717" priority="185" operator="lessThan">
      <formula>0</formula>
    </cfRule>
    <cfRule type="cellIs" dxfId="1716" priority="186" operator="lessThan">
      <formula>0</formula>
    </cfRule>
  </conditionalFormatting>
  <conditionalFormatting sqref="J909:J913">
    <cfRule type="cellIs" dxfId="1715" priority="187" operator="lessThan">
      <formula>0</formula>
    </cfRule>
  </conditionalFormatting>
  <conditionalFormatting sqref="E909:E913">
    <cfRule type="cellIs" dxfId="1714" priority="184" operator="lessThan">
      <formula>0</formula>
    </cfRule>
  </conditionalFormatting>
  <conditionalFormatting sqref="E914:E915">
    <cfRule type="cellIs" dxfId="1713" priority="182" operator="lessThan">
      <formula>0</formula>
    </cfRule>
    <cfRule type="cellIs" dxfId="1712" priority="183" operator="lessThan">
      <formula>0</formula>
    </cfRule>
  </conditionalFormatting>
  <conditionalFormatting sqref="E901">
    <cfRule type="cellIs" dxfId="1711" priority="181" operator="lessThan">
      <formula>0</formula>
    </cfRule>
  </conditionalFormatting>
  <conditionalFormatting sqref="E899">
    <cfRule type="cellIs" dxfId="1710" priority="180" operator="lessThan">
      <formula>0</formula>
    </cfRule>
  </conditionalFormatting>
  <conditionalFormatting sqref="E898">
    <cfRule type="cellIs" dxfId="1709" priority="179" operator="lessThan">
      <formula>0</formula>
    </cfRule>
  </conditionalFormatting>
  <conditionalFormatting sqref="E892">
    <cfRule type="cellIs" dxfId="1708" priority="178" operator="lessThan">
      <formula>0</formula>
    </cfRule>
  </conditionalFormatting>
  <conditionalFormatting sqref="E891">
    <cfRule type="cellIs" dxfId="1707" priority="177" operator="lessThan">
      <formula>0</formula>
    </cfRule>
  </conditionalFormatting>
  <conditionalFormatting sqref="E890">
    <cfRule type="cellIs" dxfId="1706" priority="176" operator="lessThan">
      <formula>0</formula>
    </cfRule>
  </conditionalFormatting>
  <conditionalFormatting sqref="E888:E889">
    <cfRule type="cellIs" dxfId="1705" priority="175" operator="lessThan">
      <formula>0</formula>
    </cfRule>
  </conditionalFormatting>
  <conditionalFormatting sqref="E880">
    <cfRule type="cellIs" dxfId="1704" priority="174" operator="lessThan">
      <formula>0</formula>
    </cfRule>
  </conditionalFormatting>
  <conditionalFormatting sqref="X5:X13">
    <cfRule type="cellIs" dxfId="1703" priority="50" operator="lessThan">
      <formula>0</formula>
    </cfRule>
    <cfRule type="cellIs" dxfId="1702" priority="120" operator="lessThan">
      <formula>0</formula>
    </cfRule>
    <cfRule type="cellIs" dxfId="1701" priority="143" operator="lessThan">
      <formula>0</formula>
    </cfRule>
    <cfRule type="cellIs" dxfId="1700" priority="173" operator="lessThan">
      <formula>0</formula>
    </cfRule>
  </conditionalFormatting>
  <conditionalFormatting sqref="X13">
    <cfRule type="cellIs" dxfId="1699" priority="172" operator="lessThan">
      <formula>0</formula>
    </cfRule>
  </conditionalFormatting>
  <conditionalFormatting sqref="I876:I877">
    <cfRule type="cellIs" dxfId="1698" priority="168" operator="lessThan">
      <formula>0</formula>
    </cfRule>
    <cfRule type="cellIs" dxfId="1697" priority="169" operator="lessThan">
      <formula>0</formula>
    </cfRule>
  </conditionalFormatting>
  <conditionalFormatting sqref="E874">
    <cfRule type="cellIs" dxfId="1696" priority="167" operator="lessThan">
      <formula>0</formula>
    </cfRule>
  </conditionalFormatting>
  <conditionalFormatting sqref="E875:E876">
    <cfRule type="cellIs" dxfId="1695" priority="165" operator="lessThan">
      <formula>0</formula>
    </cfRule>
    <cfRule type="cellIs" dxfId="1694" priority="166" operator="lessThan">
      <formula>0</formula>
    </cfRule>
  </conditionalFormatting>
  <conditionalFormatting sqref="E865:E866">
    <cfRule type="cellIs" dxfId="1693" priority="164" operator="lessThan">
      <formula>0</formula>
    </cfRule>
  </conditionalFormatting>
  <conditionalFormatting sqref="K15:V15">
    <cfRule type="cellIs" dxfId="1692" priority="161" operator="greaterThan">
      <formula>0.81</formula>
    </cfRule>
    <cfRule type="cellIs" dxfId="1691" priority="162" operator="between">
      <formula>0.301</formula>
      <formula>0.8</formula>
    </cfRule>
    <cfRule type="cellIs" dxfId="1690" priority="163" operator="lessThan">
      <formula>0.3</formula>
    </cfRule>
  </conditionalFormatting>
  <conditionalFormatting sqref="K24:W24">
    <cfRule type="cellIs" dxfId="1689" priority="159" operator="lessThan">
      <formula>0</formula>
    </cfRule>
    <cfRule type="cellIs" dxfId="1688" priority="160" operator="greaterThan">
      <formula>0.0001</formula>
    </cfRule>
  </conditionalFormatting>
  <conditionalFormatting sqref="Q15">
    <cfRule type="cellIs" dxfId="1687" priority="156" operator="greaterThan">
      <formula>0.75</formula>
    </cfRule>
    <cfRule type="cellIs" dxfId="1686" priority="157" operator="between">
      <formula>0.301</formula>
      <formula>0.7499</formula>
    </cfRule>
    <cfRule type="cellIs" dxfId="1685" priority="158" operator="lessThan">
      <formula>0.3</formula>
    </cfRule>
  </conditionalFormatting>
  <conditionalFormatting sqref="E846:E847">
    <cfRule type="cellIs" dxfId="1684" priority="154" operator="lessThan">
      <formula>0</formula>
    </cfRule>
    <cfRule type="cellIs" dxfId="1683" priority="155" operator="lessThan">
      <formula>0</formula>
    </cfRule>
  </conditionalFormatting>
  <conditionalFormatting sqref="Y24">
    <cfRule type="cellIs" dxfId="1682" priority="151" operator="lessThan">
      <formula>0</formula>
    </cfRule>
    <cfRule type="cellIs" dxfId="1681" priority="152" operator="greaterThan">
      <formula>0</formula>
    </cfRule>
  </conditionalFormatting>
  <conditionalFormatting sqref="E834">
    <cfRule type="cellIs" dxfId="1680" priority="150" operator="lessThan">
      <formula>0</formula>
    </cfRule>
  </conditionalFormatting>
  <conditionalFormatting sqref="E817:E818">
    <cfRule type="cellIs" dxfId="1679" priority="148" operator="lessThan">
      <formula>0</formula>
    </cfRule>
    <cfRule type="cellIs" dxfId="1678" priority="149" operator="lessThan">
      <formula>0</formula>
    </cfRule>
  </conditionalFormatting>
  <conditionalFormatting sqref="E782:E783">
    <cfRule type="cellIs" dxfId="1677" priority="145" operator="lessThan">
      <formula>0</formula>
    </cfRule>
    <cfRule type="cellIs" dxfId="1676" priority="146" operator="lessThan">
      <formula>0</formula>
    </cfRule>
  </conditionalFormatting>
  <conditionalFormatting sqref="E742:E743">
    <cfRule type="cellIs" dxfId="1675" priority="140" operator="lessThan">
      <formula>0</formula>
    </cfRule>
    <cfRule type="cellIs" dxfId="1674" priority="141" operator="lessThan">
      <formula>0</formula>
    </cfRule>
  </conditionalFormatting>
  <conditionalFormatting sqref="E705:E706">
    <cfRule type="cellIs" dxfId="1673" priority="138" operator="lessThan">
      <formula>0</formula>
    </cfRule>
    <cfRule type="cellIs" dxfId="1672" priority="139" operator="lessThan">
      <formula>0</formula>
    </cfRule>
  </conditionalFormatting>
  <conditionalFormatting sqref="X96:X102">
    <cfRule type="cellIs" dxfId="1671" priority="136" operator="lessThan">
      <formula>0</formula>
    </cfRule>
  </conditionalFormatting>
  <conditionalFormatting sqref="E658:E659">
    <cfRule type="cellIs" dxfId="1670" priority="133" operator="lessThan">
      <formula>0</formula>
    </cfRule>
    <cfRule type="cellIs" dxfId="1669" priority="134" operator="lessThan">
      <formula>0</formula>
    </cfRule>
  </conditionalFormatting>
  <conditionalFormatting sqref="E620:E621">
    <cfRule type="cellIs" dxfId="1668" priority="131" operator="lessThan">
      <formula>0</formula>
    </cfRule>
    <cfRule type="cellIs" dxfId="1667" priority="132" operator="lessThan">
      <formula>0</formula>
    </cfRule>
  </conditionalFormatting>
  <conditionalFormatting sqref="X18">
    <cfRule type="cellIs" dxfId="1666" priority="124" operator="lessThan">
      <formula>0</formula>
    </cfRule>
    <cfRule type="cellIs" dxfId="1665" priority="125" operator="lessThan">
      <formula>0</formula>
    </cfRule>
    <cfRule type="cellIs" dxfId="1664" priority="126" operator="lessThan">
      <formula>0</formula>
    </cfRule>
    <cfRule type="cellIs" dxfId="1663" priority="127" operator="lessThan">
      <formula>0</formula>
    </cfRule>
    <cfRule type="cellIs" dxfId="1662" priority="128" operator="lessThan">
      <formula>0</formula>
    </cfRule>
    <cfRule type="cellIs" dxfId="1661" priority="129" operator="greaterThan">
      <formula>0</formula>
    </cfRule>
    <cfRule type="cellIs" dxfId="1660" priority="130" operator="lessThan">
      <formula>0</formula>
    </cfRule>
  </conditionalFormatting>
  <conditionalFormatting sqref="Y18">
    <cfRule type="cellIs" dxfId="1659" priority="122" operator="greaterThan">
      <formula>0</formula>
    </cfRule>
    <cfRule type="cellIs" dxfId="1658" priority="123" operator="lessThan">
      <formula>0</formula>
    </cfRule>
  </conditionalFormatting>
  <conditionalFormatting sqref="E580:E581">
    <cfRule type="cellIs" dxfId="1657" priority="114" operator="lessThan">
      <formula>0</formula>
    </cfRule>
    <cfRule type="cellIs" dxfId="1656" priority="115" operator="lessThan">
      <formula>0</formula>
    </cfRule>
  </conditionalFormatting>
  <conditionalFormatting sqref="X76:X82">
    <cfRule type="cellIs" dxfId="1655" priority="113" operator="lessThan">
      <formula>0</formula>
    </cfRule>
  </conditionalFormatting>
  <conditionalFormatting sqref="K4:V14">
    <cfRule type="cellIs" dxfId="1654" priority="112" operator="lessThan">
      <formula>0</formula>
    </cfRule>
  </conditionalFormatting>
  <conditionalFormatting sqref="E532:E533">
    <cfRule type="cellIs" dxfId="1653" priority="110" operator="lessThan">
      <formula>0</formula>
    </cfRule>
    <cfRule type="cellIs" dxfId="1652" priority="111" operator="lessThan">
      <formula>0</formula>
    </cfRule>
  </conditionalFormatting>
  <conditionalFormatting sqref="Z5:Z14">
    <cfRule type="cellIs" dxfId="1651" priority="107" operator="greaterThan">
      <formula>0</formula>
    </cfRule>
    <cfRule type="cellIs" dxfId="1650" priority="108" operator="lessThan">
      <formula>0</formula>
    </cfRule>
  </conditionalFormatting>
  <conditionalFormatting sqref="E482:E483">
    <cfRule type="cellIs" dxfId="1649" priority="104" operator="lessThan">
      <formula>0</formula>
    </cfRule>
    <cfRule type="cellIs" dxfId="1648" priority="105" operator="lessThan">
      <formula>0</formula>
    </cfRule>
  </conditionalFormatting>
  <conditionalFormatting sqref="E47 E49 E399:E404 E406:E409 E412:E420 E423:E1048576">
    <cfRule type="cellIs" dxfId="1647" priority="103" operator="lessThan">
      <formula>0</formula>
    </cfRule>
  </conditionalFormatting>
  <conditionalFormatting sqref="E421:E422">
    <cfRule type="cellIs" dxfId="1646" priority="100" operator="lessThan">
      <formula>0</formula>
    </cfRule>
    <cfRule type="cellIs" dxfId="1645" priority="101" operator="lessThan">
      <formula>0</formula>
    </cfRule>
    <cfRule type="cellIs" dxfId="1644" priority="102" operator="lessThan">
      <formula>0</formula>
    </cfRule>
  </conditionalFormatting>
  <conditionalFormatting sqref="K18:V23">
    <cfRule type="aboveAverage" dxfId="1643" priority="98"/>
  </conditionalFormatting>
  <conditionalFormatting sqref="E411">
    <cfRule type="cellIs" dxfId="1642" priority="97" operator="lessThan">
      <formula>0</formula>
    </cfRule>
  </conditionalFormatting>
  <conditionalFormatting sqref="E410">
    <cfRule type="cellIs" dxfId="1641" priority="96" operator="lessThan">
      <formula>0</formula>
    </cfRule>
  </conditionalFormatting>
  <conditionalFormatting sqref="E405">
    <cfRule type="cellIs" dxfId="1640" priority="95" operator="lessThan">
      <formula>0</formula>
    </cfRule>
  </conditionalFormatting>
  <conditionalFormatting sqref="E397:E398">
    <cfRule type="cellIs" dxfId="1639" priority="94" operator="lessThan">
      <formula>0</formula>
    </cfRule>
  </conditionalFormatting>
  <conditionalFormatting sqref="E379:E383 E388:E389 E392:E394 E396">
    <cfRule type="cellIs" dxfId="1638" priority="93" operator="lessThan">
      <formula>0</formula>
    </cfRule>
  </conditionalFormatting>
  <conditionalFormatting sqref="E395">
    <cfRule type="cellIs" dxfId="1637" priority="92" operator="lessThan">
      <formula>0</formula>
    </cfRule>
  </conditionalFormatting>
  <conditionalFormatting sqref="E391">
    <cfRule type="cellIs" dxfId="1636" priority="91" operator="lessThan">
      <formula>0</formula>
    </cfRule>
  </conditionalFormatting>
  <conditionalFormatting sqref="E390">
    <cfRule type="cellIs" dxfId="1635" priority="90" operator="lessThan">
      <formula>0</formula>
    </cfRule>
  </conditionalFormatting>
  <conditionalFormatting sqref="E386:E387">
    <cfRule type="cellIs" dxfId="1634" priority="87" operator="lessThan">
      <formula>0</formula>
    </cfRule>
    <cfRule type="cellIs" dxfId="1633" priority="88" operator="lessThan">
      <formula>0</formula>
    </cfRule>
    <cfRule type="cellIs" dxfId="1632" priority="89" operator="lessThan">
      <formula>0</formula>
    </cfRule>
  </conditionalFormatting>
  <conditionalFormatting sqref="E385">
    <cfRule type="cellIs" dxfId="1631" priority="85" operator="lessThan">
      <formula>0</formula>
    </cfRule>
  </conditionalFormatting>
  <conditionalFormatting sqref="E384">
    <cfRule type="cellIs" dxfId="1630" priority="84" operator="lessThan">
      <formula>0</formula>
    </cfRule>
  </conditionalFormatting>
  <conditionalFormatting sqref="E378">
    <cfRule type="cellIs" dxfId="1629" priority="83" operator="lessThan">
      <formula>0</formula>
    </cfRule>
  </conditionalFormatting>
  <conditionalFormatting sqref="E365:E366">
    <cfRule type="cellIs" dxfId="1628" priority="82" operator="lessThan">
      <formula>0</formula>
    </cfRule>
  </conditionalFormatting>
  <conditionalFormatting sqref="E363:E364">
    <cfRule type="cellIs" dxfId="1627" priority="81" operator="lessThan">
      <formula>0</formula>
    </cfRule>
  </conditionalFormatting>
  <conditionalFormatting sqref="E354:E355">
    <cfRule type="cellIs" dxfId="1626" priority="78" operator="lessThan">
      <formula>0</formula>
    </cfRule>
    <cfRule type="cellIs" dxfId="1625" priority="79" operator="lessThan">
      <formula>0</formula>
    </cfRule>
    <cfRule type="cellIs" dxfId="1624" priority="80" operator="lessThan">
      <formula>0</formula>
    </cfRule>
  </conditionalFormatting>
  <conditionalFormatting sqref="E38">
    <cfRule type="cellIs" dxfId="1623" priority="76" operator="lessThan">
      <formula>0</formula>
    </cfRule>
  </conditionalFormatting>
  <conditionalFormatting sqref="E48">
    <cfRule type="cellIs" dxfId="1622" priority="75" operator="lessThan">
      <formula>0</formula>
    </cfRule>
  </conditionalFormatting>
  <conditionalFormatting sqref="E345">
    <cfRule type="cellIs" dxfId="1621" priority="74" operator="lessThan">
      <formula>0</formula>
    </cfRule>
  </conditionalFormatting>
  <conditionalFormatting sqref="E344">
    <cfRule type="cellIs" dxfId="1620" priority="73" operator="lessThan">
      <formula>0</formula>
    </cfRule>
  </conditionalFormatting>
  <conditionalFormatting sqref="E343">
    <cfRule type="cellIs" dxfId="1619" priority="72" operator="lessThan">
      <formula>0</formula>
    </cfRule>
  </conditionalFormatting>
  <conditionalFormatting sqref="E331">
    <cfRule type="cellIs" dxfId="1618" priority="71" operator="lessThan">
      <formula>0</formula>
    </cfRule>
  </conditionalFormatting>
  <conditionalFormatting sqref="E330">
    <cfRule type="cellIs" dxfId="1617" priority="70" operator="lessThan">
      <formula>0</formula>
    </cfRule>
  </conditionalFormatting>
  <conditionalFormatting sqref="E323">
    <cfRule type="cellIs" dxfId="1616" priority="69" operator="lessThan">
      <formula>0</formula>
    </cfRule>
  </conditionalFormatting>
  <conditionalFormatting sqref="E324">
    <cfRule type="cellIs" dxfId="1615" priority="68" operator="lessThan">
      <formula>0</formula>
    </cfRule>
  </conditionalFormatting>
  <conditionalFormatting sqref="E321">
    <cfRule type="cellIs" dxfId="1614" priority="67" operator="lessThan">
      <formula>0</formula>
    </cfRule>
  </conditionalFormatting>
  <conditionalFormatting sqref="E318">
    <cfRule type="cellIs" dxfId="1613" priority="66" operator="lessThan">
      <formula>0</formula>
    </cfRule>
  </conditionalFormatting>
  <conditionalFormatting sqref="E314:E315">
    <cfRule type="cellIs" dxfId="1612" priority="63" operator="lessThan">
      <formula>0</formula>
    </cfRule>
    <cfRule type="cellIs" dxfId="1611" priority="64" operator="lessThan">
      <formula>0</formula>
    </cfRule>
    <cfRule type="cellIs" dxfId="1610" priority="65" operator="lessThan">
      <formula>0</formula>
    </cfRule>
  </conditionalFormatting>
  <conditionalFormatting sqref="E327">
    <cfRule type="cellIs" dxfId="1609" priority="61" operator="lessThan">
      <formula>0</formula>
    </cfRule>
  </conditionalFormatting>
  <conditionalFormatting sqref="E311">
    <cfRule type="cellIs" dxfId="1608" priority="60" operator="lessThan">
      <formula>0</formula>
    </cfRule>
  </conditionalFormatting>
  <conditionalFormatting sqref="E312">
    <cfRule type="cellIs" dxfId="1607" priority="59" operator="lessThan">
      <formula>0</formula>
    </cfRule>
  </conditionalFormatting>
  <conditionalFormatting sqref="E305">
    <cfRule type="cellIs" dxfId="1606" priority="58" operator="lessThan">
      <formula>0</formula>
    </cfRule>
  </conditionalFormatting>
  <conditionalFormatting sqref="E306">
    <cfRule type="cellIs" dxfId="1605" priority="57" operator="lessThan">
      <formula>0</formula>
    </cfRule>
  </conditionalFormatting>
  <conditionalFormatting sqref="E55">
    <cfRule type="cellIs" dxfId="1604" priority="56" operator="lessThan">
      <formula>0</formula>
    </cfRule>
  </conditionalFormatting>
  <conditionalFormatting sqref="E300">
    <cfRule type="cellIs" dxfId="1603" priority="55" operator="lessThan">
      <formula>0</formula>
    </cfRule>
  </conditionalFormatting>
  <conditionalFormatting sqref="E56">
    <cfRule type="cellIs" dxfId="1602" priority="54" operator="lessThan">
      <formula>0</formula>
    </cfRule>
  </conditionalFormatting>
  <conditionalFormatting sqref="E278:E280">
    <cfRule type="cellIs" dxfId="1601" priority="51" operator="lessThan">
      <formula>0</formula>
    </cfRule>
    <cfRule type="cellIs" dxfId="1600" priority="52" operator="lessThan">
      <formula>0</formula>
    </cfRule>
    <cfRule type="cellIs" dxfId="1599" priority="53" operator="lessThan">
      <formula>0</formula>
    </cfRule>
  </conditionalFormatting>
  <conditionalFormatting sqref="E284">
    <cfRule type="cellIs" dxfId="1598" priority="44" operator="lessThan">
      <formula>0</formula>
    </cfRule>
  </conditionalFormatting>
  <conditionalFormatting sqref="E167:E171 E173:E187 E192 E195:E204 E207:E222 E226:E236 E238:E245 E248:E251 E253:E260 E263:E266 E269:E275">
    <cfRule type="cellIs" dxfId="1597" priority="43" operator="lessThan">
      <formula>0</formula>
    </cfRule>
  </conditionalFormatting>
  <conditionalFormatting sqref="E252">
    <cfRule type="cellIs" dxfId="1596" priority="42" operator="lessThan">
      <formula>0</formula>
    </cfRule>
  </conditionalFormatting>
  <conditionalFormatting sqref="E246:E247">
    <cfRule type="cellIs" dxfId="1595" priority="39" operator="lessThan">
      <formula>0</formula>
    </cfRule>
    <cfRule type="cellIs" dxfId="1594" priority="40" operator="lessThan">
      <formula>0</formula>
    </cfRule>
    <cfRule type="cellIs" dxfId="1593" priority="41" operator="lessThan">
      <formula>0</formula>
    </cfRule>
  </conditionalFormatting>
  <conditionalFormatting sqref="E237">
    <cfRule type="cellIs" dxfId="1592" priority="37" operator="lessThan">
      <formula>0</formula>
    </cfRule>
  </conditionalFormatting>
  <conditionalFormatting sqref="E224:E225">
    <cfRule type="cellIs" dxfId="1591" priority="34" operator="lessThan">
      <formula>0</formula>
    </cfRule>
    <cfRule type="cellIs" dxfId="1590" priority="35" operator="lessThan">
      <formula>0</formula>
    </cfRule>
    <cfRule type="cellIs" dxfId="1589" priority="36" operator="lessThan">
      <formula>0</formula>
    </cfRule>
  </conditionalFormatting>
  <conditionalFormatting sqref="X34:X41">
    <cfRule type="cellIs" dxfId="1588" priority="30" operator="greaterThan">
      <formula>0</formula>
    </cfRule>
    <cfRule type="cellIs" dxfId="1587" priority="31" operator="greaterThan">
      <formula>0</formula>
    </cfRule>
    <cfRule type="cellIs" dxfId="1586" priority="32" operator="lessThan">
      <formula>0</formula>
    </cfRule>
  </conditionalFormatting>
  <conditionalFormatting sqref="E223">
    <cfRule type="cellIs" dxfId="1585" priority="29" operator="lessThan">
      <formula>0</formula>
    </cfRule>
  </conditionalFormatting>
  <conditionalFormatting sqref="E206">
    <cfRule type="cellIs" dxfId="1584" priority="28" operator="lessThan">
      <formula>0</formula>
    </cfRule>
  </conditionalFormatting>
  <conditionalFormatting sqref="E205">
    <cfRule type="cellIs" dxfId="1583" priority="27" operator="lessThan">
      <formula>0</formula>
    </cfRule>
  </conditionalFormatting>
  <conditionalFormatting sqref="E193:E194">
    <cfRule type="cellIs" dxfId="1582" priority="26" operator="lessThan">
      <formula>0</formula>
    </cfRule>
  </conditionalFormatting>
  <conditionalFormatting sqref="E190:E191">
    <cfRule type="cellIs" dxfId="1581" priority="25" operator="lessThan">
      <formula>0</formula>
    </cfRule>
  </conditionalFormatting>
  <conditionalFormatting sqref="E188:E189">
    <cfRule type="cellIs" dxfId="1580" priority="24" operator="lessThan">
      <formula>0</formula>
    </cfRule>
  </conditionalFormatting>
  <conditionalFormatting sqref="E172">
    <cfRule type="cellIs" dxfId="1579" priority="23" operator="lessThan">
      <formula>0</formula>
    </cfRule>
  </conditionalFormatting>
  <conditionalFormatting sqref="E161:E162">
    <cfRule type="cellIs" dxfId="1578" priority="22" operator="lessThan">
      <formula>0</formula>
    </cfRule>
  </conditionalFormatting>
  <conditionalFormatting sqref="E159:E160">
    <cfRule type="cellIs" dxfId="1577" priority="21" operator="lessThan">
      <formula>0</formula>
    </cfRule>
  </conditionalFormatting>
  <conditionalFormatting sqref="E156">
    <cfRule type="cellIs" dxfId="1576" priority="20" operator="lessThan">
      <formula>0</formula>
    </cfRule>
  </conditionalFormatting>
  <conditionalFormatting sqref="E154">
    <cfRule type="cellIs" dxfId="1575" priority="19" operator="lessThan">
      <formula>0</formula>
    </cfRule>
  </conditionalFormatting>
  <conditionalFormatting sqref="E152">
    <cfRule type="cellIs" dxfId="1574" priority="18" operator="lessThan">
      <formula>0</formula>
    </cfRule>
  </conditionalFormatting>
  <conditionalFormatting sqref="E151">
    <cfRule type="cellIs" dxfId="1573" priority="17" operator="lessThan">
      <formula>0</formula>
    </cfRule>
  </conditionalFormatting>
  <conditionalFormatting sqref="E150">
    <cfRule type="cellIs" dxfId="1572" priority="16" operator="lessThan">
      <formula>0</formula>
    </cfRule>
  </conditionalFormatting>
  <conditionalFormatting sqref="E148">
    <cfRule type="cellIs" dxfId="1571" priority="15" operator="lessThan">
      <formula>0</formula>
    </cfRule>
  </conditionalFormatting>
  <conditionalFormatting sqref="E147">
    <cfRule type="cellIs" dxfId="1570" priority="14" operator="lessThan">
      <formula>0</formula>
    </cfRule>
  </conditionalFormatting>
  <conditionalFormatting sqref="E146">
    <cfRule type="cellIs" dxfId="1569" priority="13" operator="lessThan">
      <formula>0</formula>
    </cfRule>
  </conditionalFormatting>
  <conditionalFormatting sqref="E143">
    <cfRule type="cellIs" dxfId="1568" priority="12" operator="lessThan">
      <formula>0</formula>
    </cfRule>
  </conditionalFormatting>
  <conditionalFormatting sqref="K17:V17">
    <cfRule type="aboveAverage" dxfId="1567" priority="10"/>
  </conditionalFormatting>
  <conditionalFormatting sqref="X17">
    <cfRule type="cellIs" dxfId="1566" priority="3" operator="lessThan">
      <formula>0</formula>
    </cfRule>
    <cfRule type="cellIs" dxfId="1565" priority="4" operator="lessThan">
      <formula>0</formula>
    </cfRule>
    <cfRule type="cellIs" dxfId="1564" priority="5" operator="lessThan">
      <formula>0</formula>
    </cfRule>
    <cfRule type="cellIs" dxfId="1563" priority="6" operator="lessThan">
      <formula>0</formula>
    </cfRule>
    <cfRule type="cellIs" dxfId="1562" priority="7" operator="lessThan">
      <formula>0</formula>
    </cfRule>
    <cfRule type="cellIs" dxfId="1561" priority="8" operator="greaterThan">
      <formula>0</formula>
    </cfRule>
    <cfRule type="cellIs" dxfId="1560" priority="9" operator="lessThan">
      <formula>0</formula>
    </cfRule>
  </conditionalFormatting>
  <conditionalFormatting sqref="Y17">
    <cfRule type="cellIs" dxfId="1559" priority="1" operator="greaterThan">
      <formula>0</formula>
    </cfRule>
    <cfRule type="cellIs" dxfId="1558" priority="2" operator="lessThan">
      <formula>0</formula>
    </cfRule>
  </conditionalFormatting>
  <dataValidations count="2">
    <dataValidation type="list" allowBlank="1" showInputMessage="1" showErrorMessage="1" sqref="C2:C12 C14 C20:C22 C24:C34 C37:C54 C56:C59 C1165:C1200 C1202:C1247 C1249:C1307 C1310 C1312:C1367 C1374:C1405 C1408:C1433 C1435:C1443 C1445:C1472 C1474:C1477 C1480:C1484 C1486 C1488:C1489 C1491:C1513 C1515:C1549 C1552:C1563 C1565:C1594 C1596:C1648 C1651:C1685" xr:uid="{00000000-0002-0000-0C00-000000000000}">
      <formula1>$I$3:$I$26</formula1>
    </dataValidation>
    <dataValidation type="list" allowBlank="1" showInputMessage="1" showErrorMessage="1" sqref="C133:C247 C250:C280 C282:C315 C318:C355 C357:C387 C389:C422 C425:C483 C486:C533 C536:C581 C583:C603 C605:C621 C624:C659 C662:C706 C708:C743 C745:C783 C785:C818 C820:C847 C849:C876 C878:C915 C918:C955 C957:C1019 C1021:C1093 C1095:C1164" xr:uid="{00000000-0002-0000-0C00-000001000000}">
      <formula1>$I$3:$I$25</formula1>
    </dataValidation>
  </dataValidations>
  <pageMargins left="0.25" right="0.25" top="0.75" bottom="0.75" header="0.3" footer="0.3"/>
  <pageSetup paperSize="9" scale="10"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3:AE63"/>
  <sheetViews>
    <sheetView workbookViewId="0">
      <selection activeCell="V12" sqref="V12"/>
    </sheetView>
  </sheetViews>
  <sheetFormatPr defaultColWidth="9.1328125" defaultRowHeight="12.75" x14ac:dyDescent="0.35"/>
  <cols>
    <col min="1" max="1" width="23.19921875" style="568" bestFit="1" customWidth="1"/>
    <col min="2" max="2" width="17.53125" style="568" bestFit="1" customWidth="1"/>
    <col min="3" max="14" width="7.19921875" style="571" customWidth="1"/>
    <col min="15" max="15" width="12.33203125" style="571" bestFit="1" customWidth="1"/>
    <col min="16" max="16" width="12.19921875" style="568" customWidth="1"/>
    <col min="17" max="17" width="9.1328125" style="568" customWidth="1"/>
    <col min="18" max="16384" width="9.1328125" style="568"/>
  </cols>
  <sheetData>
    <row r="3" spans="1:15" x14ac:dyDescent="0.35">
      <c r="A3" s="573" t="s">
        <v>2841</v>
      </c>
      <c r="B3" s="573" t="s">
        <v>2842</v>
      </c>
      <c r="C3" s="575"/>
      <c r="D3" s="575"/>
      <c r="E3" s="575"/>
      <c r="F3" s="575"/>
      <c r="G3" s="575"/>
      <c r="H3" s="575"/>
      <c r="I3" s="575"/>
      <c r="J3" s="575"/>
      <c r="K3" s="575"/>
      <c r="L3" s="575"/>
      <c r="M3" s="575"/>
      <c r="N3" s="575"/>
      <c r="O3" s="575"/>
    </row>
    <row r="4" spans="1:15" x14ac:dyDescent="0.35">
      <c r="A4" s="573" t="s">
        <v>2843</v>
      </c>
      <c r="B4" s="572" t="s">
        <v>2844</v>
      </c>
      <c r="C4" s="575" t="s">
        <v>142</v>
      </c>
      <c r="D4" s="575" t="s">
        <v>143</v>
      </c>
      <c r="E4" s="575" t="s">
        <v>144</v>
      </c>
      <c r="F4" s="575" t="s">
        <v>145</v>
      </c>
      <c r="G4" s="575" t="s">
        <v>146</v>
      </c>
      <c r="H4" s="575" t="s">
        <v>147</v>
      </c>
      <c r="I4" s="575" t="s">
        <v>148</v>
      </c>
      <c r="J4" s="575" t="s">
        <v>149</v>
      </c>
      <c r="K4" s="575" t="s">
        <v>150</v>
      </c>
      <c r="L4" s="575" t="s">
        <v>151</v>
      </c>
      <c r="M4" s="575" t="s">
        <v>152</v>
      </c>
      <c r="N4" s="575" t="s">
        <v>153</v>
      </c>
      <c r="O4" s="575" t="s">
        <v>2845</v>
      </c>
    </row>
    <row r="5" spans="1:15" x14ac:dyDescent="0.35">
      <c r="A5" s="574" t="s">
        <v>28</v>
      </c>
      <c r="B5" s="572"/>
      <c r="C5" s="575">
        <v>4539.75</v>
      </c>
      <c r="D5" s="575">
        <v>6681</v>
      </c>
      <c r="E5" s="575">
        <v>2483.35</v>
      </c>
      <c r="F5" s="575">
        <v>1449</v>
      </c>
      <c r="G5" s="575">
        <v>254</v>
      </c>
      <c r="H5" s="575">
        <v>1182</v>
      </c>
      <c r="I5" s="575">
        <v>1327</v>
      </c>
      <c r="J5" s="575">
        <v>792</v>
      </c>
      <c r="K5" s="575">
        <v>1251.75</v>
      </c>
      <c r="L5" s="575">
        <v>490</v>
      </c>
      <c r="M5" s="575">
        <v>2736.5</v>
      </c>
      <c r="N5" s="575">
        <v>853</v>
      </c>
      <c r="O5" s="575">
        <v>24039.35</v>
      </c>
    </row>
    <row r="6" spans="1:15" x14ac:dyDescent="0.35">
      <c r="A6" s="574" t="s">
        <v>1274</v>
      </c>
      <c r="B6" s="572"/>
      <c r="C6" s="575">
        <v>2581.900000000001</v>
      </c>
      <c r="D6" s="575">
        <v>3247</v>
      </c>
      <c r="E6" s="575">
        <v>3992.5</v>
      </c>
      <c r="F6" s="575">
        <v>3575</v>
      </c>
      <c r="G6" s="575">
        <v>2800</v>
      </c>
      <c r="H6" s="575">
        <v>890</v>
      </c>
      <c r="I6" s="575">
        <v>702.5</v>
      </c>
      <c r="J6" s="575">
        <v>2505</v>
      </c>
      <c r="K6" s="575">
        <v>3761</v>
      </c>
      <c r="L6" s="575">
        <v>2635</v>
      </c>
      <c r="M6" s="575">
        <v>3550.55</v>
      </c>
      <c r="N6" s="575">
        <v>1880</v>
      </c>
      <c r="O6" s="575">
        <v>32120.45</v>
      </c>
    </row>
    <row r="7" spans="1:15" x14ac:dyDescent="0.35">
      <c r="A7" s="574" t="s">
        <v>1276</v>
      </c>
      <c r="B7" s="572"/>
      <c r="C7" s="575">
        <v>207.61</v>
      </c>
      <c r="D7" s="575">
        <v>487.37</v>
      </c>
      <c r="E7" s="575">
        <v>268</v>
      </c>
      <c r="F7" s="575">
        <v>1093.6300000000001</v>
      </c>
      <c r="G7" s="575">
        <v>93.63</v>
      </c>
      <c r="H7" s="575">
        <v>348.63</v>
      </c>
      <c r="I7" s="575">
        <v>643.63</v>
      </c>
      <c r="J7" s="575">
        <v>793.13</v>
      </c>
      <c r="K7" s="575">
        <v>868.63</v>
      </c>
      <c r="L7" s="575">
        <v>493.63</v>
      </c>
      <c r="M7" s="575">
        <v>1361.13</v>
      </c>
      <c r="N7" s="575">
        <v>861.13</v>
      </c>
      <c r="O7" s="575">
        <v>7520.1500000000005</v>
      </c>
    </row>
    <row r="8" spans="1:15" x14ac:dyDescent="0.35">
      <c r="A8" s="574" t="s">
        <v>1277</v>
      </c>
      <c r="B8" s="572"/>
      <c r="C8" s="575">
        <v>-443.25</v>
      </c>
      <c r="D8" s="575">
        <v>-451</v>
      </c>
      <c r="E8" s="575">
        <v>-885</v>
      </c>
      <c r="F8" s="575">
        <v>-1896</v>
      </c>
      <c r="G8" s="575">
        <v>-725</v>
      </c>
      <c r="H8" s="575"/>
      <c r="I8" s="575">
        <v>-357.5</v>
      </c>
      <c r="J8" s="575"/>
      <c r="K8" s="575"/>
      <c r="L8" s="575"/>
      <c r="M8" s="575">
        <v>-471</v>
      </c>
      <c r="N8" s="575">
        <v>-112.5</v>
      </c>
      <c r="O8" s="575">
        <v>-5341.25</v>
      </c>
    </row>
    <row r="9" spans="1:15" x14ac:dyDescent="0.35">
      <c r="A9" s="574" t="s">
        <v>1278</v>
      </c>
      <c r="B9" s="572"/>
      <c r="C9" s="575">
        <v>60</v>
      </c>
      <c r="D9" s="575">
        <v>280</v>
      </c>
      <c r="E9" s="575">
        <v>80</v>
      </c>
      <c r="F9" s="575">
        <v>80</v>
      </c>
      <c r="G9" s="575">
        <v>120</v>
      </c>
      <c r="H9" s="575">
        <v>80</v>
      </c>
      <c r="I9" s="575">
        <v>80</v>
      </c>
      <c r="J9" s="575">
        <v>280</v>
      </c>
      <c r="K9" s="575">
        <v>60</v>
      </c>
      <c r="L9" s="575">
        <v>40</v>
      </c>
      <c r="M9" s="575">
        <v>40</v>
      </c>
      <c r="N9" s="575">
        <v>40</v>
      </c>
      <c r="O9" s="575">
        <v>1240</v>
      </c>
    </row>
    <row r="10" spans="1:15" x14ac:dyDescent="0.35">
      <c r="A10" s="574" t="s">
        <v>1279</v>
      </c>
      <c r="B10" s="572"/>
      <c r="C10" s="575">
        <v>460</v>
      </c>
      <c r="D10" s="575">
        <v>185</v>
      </c>
      <c r="E10" s="575">
        <v>120</v>
      </c>
      <c r="F10" s="575">
        <v>65</v>
      </c>
      <c r="G10" s="575">
        <v>510</v>
      </c>
      <c r="H10" s="575">
        <v>240</v>
      </c>
      <c r="I10" s="575">
        <v>454</v>
      </c>
      <c r="J10" s="575">
        <v>322</v>
      </c>
      <c r="K10" s="575">
        <v>480</v>
      </c>
      <c r="L10" s="575">
        <v>240</v>
      </c>
      <c r="M10" s="575">
        <v>750</v>
      </c>
      <c r="N10" s="575">
        <v>360</v>
      </c>
      <c r="O10" s="575">
        <v>4186</v>
      </c>
    </row>
    <row r="11" spans="1:15" x14ac:dyDescent="0.35">
      <c r="A11" s="574" t="s">
        <v>2525</v>
      </c>
      <c r="B11" s="572"/>
      <c r="C11" s="575">
        <v>871.46</v>
      </c>
      <c r="D11" s="575">
        <v>177.74</v>
      </c>
      <c r="E11" s="575">
        <v>1096.2</v>
      </c>
      <c r="F11" s="575">
        <v>4.3849999999999998</v>
      </c>
      <c r="G11" s="575">
        <v>950</v>
      </c>
      <c r="H11" s="575">
        <v>502.97</v>
      </c>
      <c r="I11" s="575">
        <v>9.4</v>
      </c>
      <c r="J11" s="575">
        <v>100.46</v>
      </c>
      <c r="K11" s="575">
        <v>22.5</v>
      </c>
      <c r="L11" s="575">
        <v>9.4</v>
      </c>
      <c r="M11" s="575">
        <v>331.9</v>
      </c>
      <c r="N11" s="575">
        <v>760.62</v>
      </c>
      <c r="O11" s="575">
        <v>4837.0350000000008</v>
      </c>
    </row>
    <row r="12" spans="1:15" x14ac:dyDescent="0.35">
      <c r="A12" s="574" t="s">
        <v>2846</v>
      </c>
      <c r="B12" s="572"/>
      <c r="C12" s="575"/>
      <c r="D12" s="575"/>
      <c r="E12" s="575"/>
      <c r="F12" s="575"/>
      <c r="G12" s="575"/>
      <c r="H12" s="575"/>
      <c r="I12" s="575"/>
      <c r="J12" s="575"/>
      <c r="K12" s="575"/>
      <c r="L12" s="575"/>
      <c r="M12" s="575"/>
      <c r="N12" s="575"/>
      <c r="O12" s="575"/>
    </row>
    <row r="13" spans="1:15" x14ac:dyDescent="0.35">
      <c r="A13" s="574" t="s">
        <v>2845</v>
      </c>
      <c r="B13" s="572"/>
      <c r="C13" s="575">
        <v>8277.4700000000012</v>
      </c>
      <c r="D13" s="575">
        <v>10607.11</v>
      </c>
      <c r="E13" s="575">
        <v>7155.05</v>
      </c>
      <c r="F13" s="575">
        <v>4371.0150000000003</v>
      </c>
      <c r="G13" s="575">
        <v>4002.63</v>
      </c>
      <c r="H13" s="575">
        <v>3243.6</v>
      </c>
      <c r="I13" s="575">
        <v>2859.03</v>
      </c>
      <c r="J13" s="575">
        <v>4792.59</v>
      </c>
      <c r="K13" s="575">
        <v>6443.88</v>
      </c>
      <c r="L13" s="575">
        <v>3908.03</v>
      </c>
      <c r="M13" s="575">
        <v>8299.08</v>
      </c>
      <c r="N13" s="575">
        <v>4642.25</v>
      </c>
      <c r="O13" s="575">
        <v>68601.735000000001</v>
      </c>
    </row>
    <row r="16" spans="1:15" x14ac:dyDescent="0.35">
      <c r="A16" s="573" t="s">
        <v>2847</v>
      </c>
      <c r="B16" s="573" t="s">
        <v>2842</v>
      </c>
      <c r="C16" s="575"/>
      <c r="D16" s="575"/>
      <c r="E16" s="575"/>
      <c r="F16" s="575"/>
      <c r="G16" s="575"/>
      <c r="H16" s="575"/>
      <c r="I16" s="575"/>
      <c r="J16" s="575"/>
      <c r="K16" s="575"/>
      <c r="L16" s="575"/>
      <c r="M16" s="575"/>
      <c r="N16" s="575"/>
      <c r="O16" s="575"/>
    </row>
    <row r="17" spans="1:31" x14ac:dyDescent="0.35">
      <c r="A17" s="573" t="s">
        <v>2843</v>
      </c>
      <c r="B17" s="572" t="s">
        <v>2844</v>
      </c>
      <c r="C17" s="575" t="s">
        <v>142</v>
      </c>
      <c r="D17" s="575" t="s">
        <v>143</v>
      </c>
      <c r="E17" s="575" t="s">
        <v>144</v>
      </c>
      <c r="F17" s="575" t="s">
        <v>145</v>
      </c>
      <c r="G17" s="575" t="s">
        <v>146</v>
      </c>
      <c r="H17" s="575" t="s">
        <v>147</v>
      </c>
      <c r="I17" s="575" t="s">
        <v>148</v>
      </c>
      <c r="J17" s="575" t="s">
        <v>149</v>
      </c>
      <c r="K17" s="575" t="s">
        <v>150</v>
      </c>
      <c r="L17" s="575" t="s">
        <v>151</v>
      </c>
      <c r="M17" s="575" t="s">
        <v>152</v>
      </c>
      <c r="N17" s="575" t="s">
        <v>153</v>
      </c>
      <c r="O17" s="575" t="s">
        <v>2845</v>
      </c>
    </row>
    <row r="18" spans="1:31" x14ac:dyDescent="0.35">
      <c r="A18" s="574" t="s">
        <v>175</v>
      </c>
      <c r="B18" s="572"/>
      <c r="C18" s="575">
        <v>3918.0100000000011</v>
      </c>
      <c r="D18" s="575">
        <v>6095.77</v>
      </c>
      <c r="E18" s="575">
        <v>3088</v>
      </c>
      <c r="F18" s="575">
        <v>2493.63</v>
      </c>
      <c r="G18" s="575">
        <v>633.63</v>
      </c>
      <c r="H18" s="575">
        <v>1991.99</v>
      </c>
      <c r="I18" s="575">
        <v>1177.6300000000001</v>
      </c>
      <c r="J18" s="575">
        <v>3683.99</v>
      </c>
      <c r="K18" s="575">
        <v>3730.13</v>
      </c>
      <c r="L18" s="575">
        <v>1362.63</v>
      </c>
      <c r="M18" s="575">
        <v>7455.43</v>
      </c>
      <c r="N18" s="575">
        <v>2243.63</v>
      </c>
      <c r="O18" s="575">
        <v>37874.47</v>
      </c>
    </row>
    <row r="19" spans="1:31" x14ac:dyDescent="0.35">
      <c r="A19" s="574" t="s">
        <v>174</v>
      </c>
      <c r="B19" s="572"/>
      <c r="C19" s="575">
        <v>1880</v>
      </c>
      <c r="D19" s="575">
        <v>1830</v>
      </c>
      <c r="E19" s="575">
        <v>1764.85</v>
      </c>
      <c r="F19" s="575">
        <v>929.38499999999999</v>
      </c>
      <c r="G19" s="575">
        <v>2205</v>
      </c>
      <c r="H19" s="575">
        <v>719.61</v>
      </c>
      <c r="I19" s="575">
        <v>1474.4</v>
      </c>
      <c r="J19" s="575">
        <v>932.6</v>
      </c>
      <c r="K19" s="575">
        <v>1451.5</v>
      </c>
      <c r="L19" s="575">
        <v>1212.4000000000001</v>
      </c>
      <c r="M19" s="575">
        <v>780.65</v>
      </c>
      <c r="N19" s="575">
        <v>2155</v>
      </c>
      <c r="O19" s="575">
        <v>17335.395</v>
      </c>
    </row>
    <row r="20" spans="1:31" x14ac:dyDescent="0.35">
      <c r="A20" s="574" t="s">
        <v>1311</v>
      </c>
      <c r="B20" s="572"/>
      <c r="C20" s="575">
        <v>1560</v>
      </c>
      <c r="D20" s="575">
        <v>1125</v>
      </c>
      <c r="E20" s="575">
        <v>1200</v>
      </c>
      <c r="F20" s="575">
        <v>230</v>
      </c>
      <c r="G20" s="575">
        <v>170</v>
      </c>
      <c r="H20" s="575">
        <v>200</v>
      </c>
      <c r="I20" s="575"/>
      <c r="J20" s="575"/>
      <c r="K20" s="575">
        <v>200</v>
      </c>
      <c r="L20" s="575">
        <v>50</v>
      </c>
      <c r="M20" s="575">
        <v>20</v>
      </c>
      <c r="N20" s="575">
        <v>200</v>
      </c>
      <c r="O20" s="575">
        <v>4955</v>
      </c>
    </row>
    <row r="21" spans="1:31" x14ac:dyDescent="0.35">
      <c r="A21" s="574" t="s">
        <v>181</v>
      </c>
      <c r="B21" s="572"/>
      <c r="C21" s="575">
        <v>581.46</v>
      </c>
      <c r="D21" s="575">
        <v>138.34</v>
      </c>
      <c r="E21" s="575">
        <v>421.2</v>
      </c>
      <c r="F21" s="575"/>
      <c r="G21" s="575"/>
      <c r="H21" s="575"/>
      <c r="I21" s="575"/>
      <c r="J21" s="575"/>
      <c r="K21" s="575"/>
      <c r="L21" s="575"/>
      <c r="M21" s="575"/>
      <c r="N21" s="575"/>
      <c r="O21" s="575">
        <v>1141</v>
      </c>
    </row>
    <row r="22" spans="1:31" x14ac:dyDescent="0.35">
      <c r="A22" s="574" t="s">
        <v>179</v>
      </c>
      <c r="B22" s="572"/>
      <c r="C22" s="575">
        <v>175</v>
      </c>
      <c r="D22" s="575">
        <v>1220</v>
      </c>
      <c r="E22" s="575">
        <v>400</v>
      </c>
      <c r="F22" s="575">
        <v>575</v>
      </c>
      <c r="G22" s="575">
        <v>825</v>
      </c>
      <c r="H22" s="575">
        <v>215</v>
      </c>
      <c r="I22" s="575"/>
      <c r="J22" s="575">
        <v>30</v>
      </c>
      <c r="K22" s="575">
        <v>361.5</v>
      </c>
      <c r="L22" s="575">
        <v>824</v>
      </c>
      <c r="M22" s="575">
        <v>30</v>
      </c>
      <c r="N22" s="575">
        <v>30.62</v>
      </c>
      <c r="O22" s="575">
        <v>4686.12</v>
      </c>
      <c r="T22" s="685" t="s">
        <v>142</v>
      </c>
      <c r="U22" s="685" t="s">
        <v>143</v>
      </c>
      <c r="V22" s="685" t="s">
        <v>144</v>
      </c>
      <c r="W22" s="685" t="s">
        <v>145</v>
      </c>
      <c r="X22" s="685" t="s">
        <v>146</v>
      </c>
      <c r="Y22" s="685" t="s">
        <v>147</v>
      </c>
      <c r="Z22" s="685" t="s">
        <v>148</v>
      </c>
      <c r="AA22" s="685" t="s">
        <v>149</v>
      </c>
      <c r="AB22" s="685" t="s">
        <v>150</v>
      </c>
      <c r="AC22" s="685" t="s">
        <v>151</v>
      </c>
      <c r="AD22" s="685" t="s">
        <v>152</v>
      </c>
      <c r="AE22" s="685" t="s">
        <v>153</v>
      </c>
    </row>
    <row r="23" spans="1:31" x14ac:dyDescent="0.35">
      <c r="A23" s="574" t="s">
        <v>163</v>
      </c>
      <c r="B23" s="572"/>
      <c r="C23" s="575">
        <v>104</v>
      </c>
      <c r="D23" s="575">
        <v>65</v>
      </c>
      <c r="E23" s="575">
        <v>26</v>
      </c>
      <c r="F23" s="575">
        <v>13</v>
      </c>
      <c r="G23" s="575">
        <v>104</v>
      </c>
      <c r="H23" s="575">
        <v>52</v>
      </c>
      <c r="I23" s="575">
        <v>52</v>
      </c>
      <c r="J23" s="575">
        <v>26</v>
      </c>
      <c r="K23" s="575">
        <v>13</v>
      </c>
      <c r="L23" s="575"/>
      <c r="M23" s="575">
        <v>13</v>
      </c>
      <c r="N23" s="575">
        <v>13</v>
      </c>
      <c r="O23" s="575">
        <v>481</v>
      </c>
      <c r="R23" s="684" t="s">
        <v>109</v>
      </c>
    </row>
    <row r="24" spans="1:31" x14ac:dyDescent="0.35">
      <c r="A24" s="574" t="s">
        <v>177</v>
      </c>
      <c r="B24" s="572"/>
      <c r="C24" s="575">
        <v>59</v>
      </c>
      <c r="D24" s="575">
        <v>133</v>
      </c>
      <c r="E24" s="575">
        <v>255</v>
      </c>
      <c r="F24" s="575">
        <v>130</v>
      </c>
      <c r="G24" s="575">
        <v>65</v>
      </c>
      <c r="H24" s="575">
        <v>65</v>
      </c>
      <c r="I24" s="575">
        <v>155</v>
      </c>
      <c r="J24" s="575">
        <v>120</v>
      </c>
      <c r="K24" s="575">
        <v>687.75</v>
      </c>
      <c r="L24" s="575">
        <v>459</v>
      </c>
      <c r="M24" s="575"/>
      <c r="N24" s="575"/>
      <c r="O24" s="575">
        <v>2128.75</v>
      </c>
      <c r="R24" s="684" t="s">
        <v>115</v>
      </c>
      <c r="S24" s="576" t="s">
        <v>46</v>
      </c>
      <c r="T24" s="568">
        <v>8277.4700000000012</v>
      </c>
      <c r="U24" s="568">
        <v>10607.11</v>
      </c>
      <c r="V24" s="568">
        <v>7155.05</v>
      </c>
      <c r="W24" s="568">
        <v>4371.0150000000003</v>
      </c>
      <c r="X24" s="568">
        <v>4002.63</v>
      </c>
      <c r="Y24" s="568">
        <v>3243.6</v>
      </c>
      <c r="Z24" s="568">
        <v>2859.03</v>
      </c>
      <c r="AA24" s="568">
        <v>4792.59</v>
      </c>
      <c r="AB24" s="568">
        <v>6443.88</v>
      </c>
      <c r="AC24" s="568">
        <f>'Sales 2018'!T11</f>
        <v>3908.03</v>
      </c>
      <c r="AD24" s="568">
        <f>'Sales 2018'!U11</f>
        <v>8299.08</v>
      </c>
      <c r="AE24" s="568">
        <f>'Sales 2018'!V11</f>
        <v>4642.25</v>
      </c>
    </row>
    <row r="25" spans="1:31" x14ac:dyDescent="0.35">
      <c r="A25" s="574" t="s">
        <v>2846</v>
      </c>
      <c r="B25" s="572"/>
      <c r="C25" s="575"/>
      <c r="D25" s="575"/>
      <c r="E25" s="575"/>
      <c r="F25" s="575"/>
      <c r="G25" s="575"/>
      <c r="H25" s="575"/>
      <c r="I25" s="575"/>
      <c r="J25" s="575"/>
      <c r="K25" s="575"/>
      <c r="L25" s="575"/>
      <c r="M25" s="575"/>
      <c r="N25" s="575"/>
      <c r="O25" s="575"/>
      <c r="R25" s="568" t="s">
        <v>116</v>
      </c>
      <c r="S25" s="568" t="s">
        <v>49</v>
      </c>
      <c r="T25" s="568">
        <v>3203.5</v>
      </c>
      <c r="U25" s="568">
        <v>6685</v>
      </c>
      <c r="V25" s="568">
        <v>6242.83</v>
      </c>
      <c r="W25" s="568">
        <v>6063.17</v>
      </c>
      <c r="X25" s="568">
        <v>5851.71</v>
      </c>
      <c r="Y25" s="568">
        <v>5479.93</v>
      </c>
      <c r="Z25" s="568">
        <v>3603.81</v>
      </c>
      <c r="AA25" s="568">
        <v>4658.8500000000004</v>
      </c>
      <c r="AB25" s="568">
        <v>10821.67</v>
      </c>
      <c r="AC25" s="568">
        <v>9224.58</v>
      </c>
      <c r="AD25" s="568">
        <v>10504.09</v>
      </c>
      <c r="AE25" s="568">
        <v>4329.0300000000007</v>
      </c>
    </row>
    <row r="26" spans="1:31" x14ac:dyDescent="0.35">
      <c r="A26" s="574" t="s">
        <v>2845</v>
      </c>
      <c r="B26" s="572"/>
      <c r="C26" s="575">
        <v>8277.4700000000012</v>
      </c>
      <c r="D26" s="575">
        <v>10607.11</v>
      </c>
      <c r="E26" s="575">
        <v>7155.05</v>
      </c>
      <c r="F26" s="575">
        <v>4371.0150000000003</v>
      </c>
      <c r="G26" s="575">
        <v>4002.63</v>
      </c>
      <c r="H26" s="575">
        <v>3243.6</v>
      </c>
      <c r="I26" s="575">
        <v>2859.03</v>
      </c>
      <c r="J26" s="575">
        <v>4792.59</v>
      </c>
      <c r="K26" s="575">
        <v>6443.88</v>
      </c>
      <c r="L26" s="575">
        <v>3908.03</v>
      </c>
      <c r="M26" s="575">
        <v>8299.08</v>
      </c>
      <c r="N26" s="575">
        <v>4642.25</v>
      </c>
      <c r="O26" s="575">
        <v>68601.735000000001</v>
      </c>
      <c r="R26" s="568" t="s">
        <v>117</v>
      </c>
      <c r="S26" s="568" t="s">
        <v>2521</v>
      </c>
      <c r="T26" s="568">
        <v>4537</v>
      </c>
      <c r="U26" s="568">
        <v>4319</v>
      </c>
      <c r="V26" s="568">
        <v>3722</v>
      </c>
      <c r="W26" s="568">
        <v>4551</v>
      </c>
      <c r="X26" s="568">
        <v>3618</v>
      </c>
      <c r="Y26" s="568">
        <v>2779</v>
      </c>
      <c r="Z26" s="568">
        <v>2709</v>
      </c>
      <c r="AA26" s="568">
        <v>7253</v>
      </c>
      <c r="AB26" s="568">
        <v>3793</v>
      </c>
      <c r="AC26" s="568">
        <v>10484</v>
      </c>
      <c r="AD26" s="568">
        <v>4868</v>
      </c>
      <c r="AE26" s="568">
        <v>5007</v>
      </c>
    </row>
    <row r="27" spans="1:31" x14ac:dyDescent="0.35">
      <c r="R27" s="568" t="s">
        <v>118</v>
      </c>
      <c r="S27" s="568" t="s">
        <v>55</v>
      </c>
      <c r="T27" s="568">
        <v>3710</v>
      </c>
      <c r="U27" s="568">
        <v>3750</v>
      </c>
      <c r="V27" s="568">
        <v>7113</v>
      </c>
      <c r="W27" s="568">
        <v>3715</v>
      </c>
      <c r="X27" s="568">
        <v>2288</v>
      </c>
      <c r="Y27" s="568">
        <v>3255</v>
      </c>
      <c r="Z27" s="568">
        <v>1762</v>
      </c>
      <c r="AA27" s="568">
        <v>3933</v>
      </c>
      <c r="AB27" s="568">
        <v>8306</v>
      </c>
      <c r="AC27" s="568">
        <v>5405</v>
      </c>
      <c r="AD27" s="568">
        <v>3604</v>
      </c>
      <c r="AE27" s="568">
        <v>12228</v>
      </c>
    </row>
    <row r="28" spans="1:31" x14ac:dyDescent="0.35">
      <c r="R28" s="568" t="s">
        <v>120</v>
      </c>
      <c r="S28" s="568" t="s">
        <v>58</v>
      </c>
      <c r="T28" s="568">
        <v>3179</v>
      </c>
      <c r="U28" s="568">
        <v>2874</v>
      </c>
      <c r="V28" s="568">
        <v>4826</v>
      </c>
      <c r="W28" s="568">
        <v>3453</v>
      </c>
      <c r="X28" s="568">
        <v>4975</v>
      </c>
      <c r="Y28" s="568">
        <v>3386</v>
      </c>
      <c r="Z28" s="568">
        <v>3633</v>
      </c>
      <c r="AA28" s="568">
        <v>3855</v>
      </c>
      <c r="AB28" s="568">
        <v>6440</v>
      </c>
      <c r="AC28" s="568">
        <v>3536</v>
      </c>
      <c r="AD28" s="568">
        <v>2851</v>
      </c>
      <c r="AE28" s="568">
        <v>7614</v>
      </c>
    </row>
    <row r="29" spans="1:31" x14ac:dyDescent="0.35">
      <c r="R29" s="568" t="s">
        <v>121</v>
      </c>
      <c r="S29" s="568" t="s">
        <v>61</v>
      </c>
      <c r="AD29" s="568">
        <v>3008</v>
      </c>
      <c r="AE29" s="568">
        <v>6386</v>
      </c>
    </row>
    <row r="31" spans="1:31" x14ac:dyDescent="0.35">
      <c r="A31" s="573" t="s">
        <v>2847</v>
      </c>
      <c r="B31" s="573" t="s">
        <v>2842</v>
      </c>
      <c r="C31" s="575"/>
      <c r="D31" s="575"/>
      <c r="E31" s="575"/>
      <c r="F31" s="575"/>
      <c r="G31" s="575"/>
      <c r="H31" s="575"/>
      <c r="I31" s="575"/>
      <c r="J31" s="575"/>
      <c r="K31" s="575"/>
      <c r="L31" s="575"/>
      <c r="M31" s="575"/>
      <c r="N31" s="575"/>
      <c r="O31" s="575"/>
    </row>
    <row r="32" spans="1:31" x14ac:dyDescent="0.35">
      <c r="A32" s="573" t="s">
        <v>2843</v>
      </c>
      <c r="B32" s="572" t="s">
        <v>2844</v>
      </c>
      <c r="C32" s="575" t="s">
        <v>142</v>
      </c>
      <c r="D32" s="575" t="s">
        <v>143</v>
      </c>
      <c r="E32" s="575" t="s">
        <v>144</v>
      </c>
      <c r="F32" s="575" t="s">
        <v>145</v>
      </c>
      <c r="G32" s="575" t="s">
        <v>146</v>
      </c>
      <c r="H32" s="575" t="s">
        <v>147</v>
      </c>
      <c r="I32" s="575" t="s">
        <v>148</v>
      </c>
      <c r="J32" s="575" t="s">
        <v>149</v>
      </c>
      <c r="K32" s="575" t="s">
        <v>150</v>
      </c>
      <c r="L32" s="575" t="s">
        <v>151</v>
      </c>
      <c r="M32" s="575" t="s">
        <v>152</v>
      </c>
      <c r="N32" s="575" t="s">
        <v>153</v>
      </c>
      <c r="O32" s="575" t="s">
        <v>2845</v>
      </c>
    </row>
    <row r="33" spans="1:15" x14ac:dyDescent="0.35">
      <c r="A33" s="574" t="s">
        <v>159</v>
      </c>
      <c r="B33" s="572"/>
      <c r="C33" s="575">
        <v>4553.5</v>
      </c>
      <c r="D33" s="575">
        <v>5242</v>
      </c>
      <c r="E33" s="575">
        <v>2289.85</v>
      </c>
      <c r="F33" s="575">
        <v>1900</v>
      </c>
      <c r="G33" s="575">
        <v>1520</v>
      </c>
      <c r="H33" s="575">
        <v>1760</v>
      </c>
      <c r="I33" s="575">
        <v>793</v>
      </c>
      <c r="J33" s="575">
        <v>1364.86</v>
      </c>
      <c r="K33" s="575">
        <v>2363</v>
      </c>
      <c r="L33" s="575">
        <v>1895</v>
      </c>
      <c r="M33" s="575">
        <v>4074.65</v>
      </c>
      <c r="N33" s="575">
        <v>1304.3699999999999</v>
      </c>
      <c r="O33" s="575">
        <v>29060.23</v>
      </c>
    </row>
    <row r="34" spans="1:15" x14ac:dyDescent="0.35">
      <c r="A34" s="574" t="s">
        <v>162</v>
      </c>
      <c r="B34" s="572"/>
      <c r="C34" s="575">
        <v>2695.06</v>
      </c>
      <c r="D34" s="575">
        <v>2244.4699999999998</v>
      </c>
      <c r="E34" s="575">
        <v>3696.2</v>
      </c>
      <c r="F34" s="575">
        <v>1243</v>
      </c>
      <c r="G34" s="575">
        <v>1699</v>
      </c>
      <c r="H34" s="575">
        <v>830.75</v>
      </c>
      <c r="I34" s="575">
        <v>1758</v>
      </c>
      <c r="J34" s="575">
        <v>2561.5</v>
      </c>
      <c r="K34" s="575">
        <v>650.5</v>
      </c>
      <c r="L34" s="575">
        <v>230</v>
      </c>
      <c r="M34" s="575">
        <v>933</v>
      </c>
      <c r="N34" s="575">
        <v>948</v>
      </c>
      <c r="O34" s="575">
        <v>19489.48</v>
      </c>
    </row>
    <row r="35" spans="1:15" x14ac:dyDescent="0.35">
      <c r="A35" s="574" t="s">
        <v>2442</v>
      </c>
      <c r="B35" s="572"/>
      <c r="C35" s="575">
        <v>696.8</v>
      </c>
      <c r="D35" s="575">
        <v>2574.4</v>
      </c>
      <c r="E35" s="575">
        <v>710</v>
      </c>
      <c r="F35" s="575">
        <v>864.38499999999999</v>
      </c>
      <c r="G35" s="575">
        <v>590</v>
      </c>
      <c r="H35" s="575">
        <v>224.22</v>
      </c>
      <c r="I35" s="575">
        <v>154.4</v>
      </c>
      <c r="J35" s="575">
        <v>542.6</v>
      </c>
      <c r="K35" s="575">
        <v>2709.25</v>
      </c>
      <c r="L35" s="575">
        <v>1099.4000000000001</v>
      </c>
      <c r="M35" s="575">
        <v>2570.3000000000002</v>
      </c>
      <c r="N35" s="575">
        <v>273.75</v>
      </c>
      <c r="O35" s="575">
        <v>13009.504999999999</v>
      </c>
    </row>
    <row r="36" spans="1:15" x14ac:dyDescent="0.35">
      <c r="A36" s="574" t="s">
        <v>161</v>
      </c>
      <c r="B36" s="572"/>
      <c r="C36" s="575">
        <v>228.11</v>
      </c>
      <c r="D36" s="575">
        <v>481.24</v>
      </c>
      <c r="E36" s="575">
        <v>308</v>
      </c>
      <c r="F36" s="575">
        <v>173.63</v>
      </c>
      <c r="G36" s="575">
        <v>193.63</v>
      </c>
      <c r="H36" s="575">
        <v>428.63</v>
      </c>
      <c r="I36" s="575">
        <v>153.63</v>
      </c>
      <c r="J36" s="575">
        <v>173.63</v>
      </c>
      <c r="K36" s="575">
        <v>721.13</v>
      </c>
      <c r="L36" s="575">
        <v>533.63</v>
      </c>
      <c r="M36" s="575">
        <v>721.13</v>
      </c>
      <c r="N36" s="575">
        <v>901.13</v>
      </c>
      <c r="O36" s="575">
        <v>5017.5200000000004</v>
      </c>
    </row>
    <row r="37" spans="1:15" x14ac:dyDescent="0.35">
      <c r="A37" s="574" t="s">
        <v>163</v>
      </c>
      <c r="B37" s="572"/>
      <c r="C37" s="575">
        <v>104</v>
      </c>
      <c r="D37" s="575">
        <v>65</v>
      </c>
      <c r="E37" s="575">
        <v>26</v>
      </c>
      <c r="F37" s="575"/>
      <c r="G37" s="575"/>
      <c r="H37" s="575"/>
      <c r="I37" s="575"/>
      <c r="J37" s="575"/>
      <c r="K37" s="575"/>
      <c r="L37" s="575"/>
      <c r="M37" s="575"/>
      <c r="N37" s="575"/>
      <c r="O37" s="575">
        <v>195</v>
      </c>
    </row>
    <row r="38" spans="1:15" x14ac:dyDescent="0.35">
      <c r="A38" s="574" t="s">
        <v>2297</v>
      </c>
      <c r="B38" s="572"/>
      <c r="C38" s="575"/>
      <c r="D38" s="575"/>
      <c r="E38" s="575">
        <v>125</v>
      </c>
      <c r="F38" s="575">
        <v>190</v>
      </c>
      <c r="G38" s="575"/>
      <c r="H38" s="575"/>
      <c r="I38" s="575"/>
      <c r="J38" s="575">
        <v>100</v>
      </c>
      <c r="K38" s="575"/>
      <c r="L38" s="575">
        <v>150</v>
      </c>
      <c r="M38" s="575"/>
      <c r="N38" s="575">
        <v>1215</v>
      </c>
      <c r="O38" s="575">
        <v>1780</v>
      </c>
    </row>
    <row r="39" spans="1:15" x14ac:dyDescent="0.35">
      <c r="A39" s="574" t="s">
        <v>164</v>
      </c>
      <c r="B39" s="572"/>
      <c r="C39" s="575"/>
      <c r="D39" s="575"/>
      <c r="E39" s="575"/>
      <c r="F39" s="575"/>
      <c r="G39" s="575"/>
      <c r="H39" s="575"/>
      <c r="I39" s="575"/>
      <c r="J39" s="575">
        <v>50</v>
      </c>
      <c r="K39" s="575"/>
      <c r="L39" s="575"/>
      <c r="M39" s="575"/>
      <c r="N39" s="575"/>
      <c r="O39" s="575">
        <v>50</v>
      </c>
    </row>
    <row r="40" spans="1:15" x14ac:dyDescent="0.35">
      <c r="A40" s="574" t="s">
        <v>2846</v>
      </c>
      <c r="B40" s="572"/>
      <c r="C40" s="575"/>
      <c r="D40" s="575"/>
      <c r="E40" s="575"/>
      <c r="F40" s="575"/>
      <c r="G40" s="575"/>
      <c r="H40" s="575"/>
      <c r="I40" s="575"/>
      <c r="J40" s="575"/>
      <c r="K40" s="575"/>
      <c r="L40" s="575"/>
      <c r="M40" s="575"/>
      <c r="N40" s="575"/>
      <c r="O40" s="575"/>
    </row>
    <row r="41" spans="1:15" x14ac:dyDescent="0.35">
      <c r="A41" s="574" t="s">
        <v>166</v>
      </c>
      <c r="B41" s="572"/>
      <c r="C41" s="575">
        <v>0</v>
      </c>
      <c r="D41" s="575">
        <v>0</v>
      </c>
      <c r="E41" s="575">
        <v>0</v>
      </c>
      <c r="F41" s="575">
        <v>0</v>
      </c>
      <c r="G41" s="575">
        <v>0</v>
      </c>
      <c r="H41" s="575"/>
      <c r="I41" s="575">
        <v>0</v>
      </c>
      <c r="J41" s="575"/>
      <c r="K41" s="575"/>
      <c r="L41" s="575"/>
      <c r="M41" s="575">
        <v>0</v>
      </c>
      <c r="N41" s="575">
        <v>0</v>
      </c>
      <c r="O41" s="575">
        <v>0</v>
      </c>
    </row>
    <row r="42" spans="1:15" x14ac:dyDescent="0.35">
      <c r="A42" s="574" t="s">
        <v>2845</v>
      </c>
      <c r="B42" s="572"/>
      <c r="C42" s="575">
        <v>8277.4700000000012</v>
      </c>
      <c r="D42" s="575">
        <v>10607.11</v>
      </c>
      <c r="E42" s="575">
        <v>7155.0499999999993</v>
      </c>
      <c r="F42" s="575">
        <v>4371.0150000000003</v>
      </c>
      <c r="G42" s="575">
        <v>4002.63</v>
      </c>
      <c r="H42" s="575">
        <v>3243.6</v>
      </c>
      <c r="I42" s="575">
        <v>2859.03</v>
      </c>
      <c r="J42" s="575">
        <v>4792.59</v>
      </c>
      <c r="K42" s="575">
        <v>6443.88</v>
      </c>
      <c r="L42" s="575">
        <v>3908.03</v>
      </c>
      <c r="M42" s="575">
        <v>8299.08</v>
      </c>
      <c r="N42" s="575">
        <v>4642.25</v>
      </c>
      <c r="O42" s="575">
        <v>68601.735000000001</v>
      </c>
    </row>
    <row r="44" spans="1:15" x14ac:dyDescent="0.35">
      <c r="A44" s="573" t="s">
        <v>2848</v>
      </c>
      <c r="B44" s="573" t="s">
        <v>2842</v>
      </c>
      <c r="C44" s="575"/>
      <c r="D44" s="575"/>
      <c r="E44" s="575"/>
      <c r="F44" s="575"/>
      <c r="G44" s="575"/>
      <c r="H44" s="575"/>
      <c r="I44" s="575"/>
      <c r="J44" s="575"/>
      <c r="K44" s="575"/>
      <c r="L44" s="575"/>
      <c r="M44" s="575"/>
      <c r="N44" s="575"/>
      <c r="O44" s="575"/>
    </row>
    <row r="45" spans="1:15" x14ac:dyDescent="0.35">
      <c r="A45" s="573" t="s">
        <v>2843</v>
      </c>
      <c r="B45" s="572" t="s">
        <v>2844</v>
      </c>
      <c r="C45" s="575" t="s">
        <v>142</v>
      </c>
      <c r="D45" s="575" t="s">
        <v>143</v>
      </c>
      <c r="E45" s="575" t="s">
        <v>144</v>
      </c>
      <c r="F45" s="575" t="s">
        <v>145</v>
      </c>
      <c r="G45" s="575" t="s">
        <v>146</v>
      </c>
      <c r="H45" s="575" t="s">
        <v>147</v>
      </c>
      <c r="I45" s="575" t="s">
        <v>148</v>
      </c>
      <c r="J45" s="575" t="s">
        <v>149</v>
      </c>
      <c r="K45" s="575" t="s">
        <v>150</v>
      </c>
      <c r="L45" s="575" t="s">
        <v>151</v>
      </c>
      <c r="M45" s="575" t="s">
        <v>152</v>
      </c>
      <c r="N45" s="575" t="s">
        <v>153</v>
      </c>
      <c r="O45" s="575" t="s">
        <v>2845</v>
      </c>
    </row>
    <row r="46" spans="1:15" x14ac:dyDescent="0.35">
      <c r="A46" s="574" t="s">
        <v>28</v>
      </c>
      <c r="B46" s="572"/>
      <c r="C46" s="575">
        <v>37</v>
      </c>
      <c r="D46" s="575">
        <v>39</v>
      </c>
      <c r="E46" s="575">
        <v>21</v>
      </c>
      <c r="F46" s="575">
        <v>13</v>
      </c>
      <c r="G46" s="575">
        <v>13</v>
      </c>
      <c r="H46" s="575">
        <v>10</v>
      </c>
      <c r="I46" s="575">
        <v>8</v>
      </c>
      <c r="J46" s="575">
        <v>12</v>
      </c>
      <c r="K46" s="575">
        <v>11</v>
      </c>
      <c r="L46" s="575">
        <v>7</v>
      </c>
      <c r="M46" s="575">
        <v>18</v>
      </c>
      <c r="N46" s="575">
        <v>9</v>
      </c>
      <c r="O46" s="575">
        <v>198</v>
      </c>
    </row>
    <row r="47" spans="1:15" x14ac:dyDescent="0.35">
      <c r="A47" s="574" t="s">
        <v>1274</v>
      </c>
      <c r="B47" s="572"/>
      <c r="C47" s="575">
        <v>17</v>
      </c>
      <c r="D47" s="575">
        <v>22</v>
      </c>
      <c r="E47" s="575">
        <v>20</v>
      </c>
      <c r="F47" s="575">
        <v>18</v>
      </c>
      <c r="G47" s="575">
        <v>17</v>
      </c>
      <c r="H47" s="575">
        <v>10</v>
      </c>
      <c r="I47" s="575">
        <v>10</v>
      </c>
      <c r="J47" s="575">
        <v>10</v>
      </c>
      <c r="K47" s="575">
        <v>21</v>
      </c>
      <c r="L47" s="575">
        <v>24</v>
      </c>
      <c r="M47" s="575">
        <v>12</v>
      </c>
      <c r="N47" s="575">
        <v>10</v>
      </c>
      <c r="O47" s="575">
        <v>191</v>
      </c>
    </row>
    <row r="48" spans="1:15" x14ac:dyDescent="0.35">
      <c r="A48" s="574" t="s">
        <v>1276</v>
      </c>
      <c r="B48" s="572"/>
      <c r="C48" s="575">
        <v>2</v>
      </c>
      <c r="D48" s="575">
        <v>2</v>
      </c>
      <c r="E48" s="575">
        <v>1</v>
      </c>
      <c r="F48" s="575">
        <v>2</v>
      </c>
      <c r="G48" s="575">
        <v>1</v>
      </c>
      <c r="H48" s="575">
        <v>1</v>
      </c>
      <c r="I48" s="575">
        <v>3</v>
      </c>
      <c r="J48" s="575">
        <v>4</v>
      </c>
      <c r="K48" s="575">
        <v>2</v>
      </c>
      <c r="L48" s="575">
        <v>1</v>
      </c>
      <c r="M48" s="575">
        <v>4</v>
      </c>
      <c r="N48" s="575">
        <v>1</v>
      </c>
      <c r="O48" s="575">
        <v>24</v>
      </c>
    </row>
    <row r="49" spans="1:15" x14ac:dyDescent="0.35">
      <c r="A49" s="574" t="s">
        <v>1277</v>
      </c>
      <c r="B49" s="572"/>
      <c r="C49" s="575">
        <v>3</v>
      </c>
      <c r="D49" s="575">
        <v>1</v>
      </c>
      <c r="E49" s="575">
        <v>3</v>
      </c>
      <c r="F49" s="575">
        <v>2</v>
      </c>
      <c r="G49" s="575">
        <v>1</v>
      </c>
      <c r="H49" s="575"/>
      <c r="I49" s="575">
        <v>1</v>
      </c>
      <c r="J49" s="575"/>
      <c r="K49" s="575"/>
      <c r="L49" s="575"/>
      <c r="M49" s="575">
        <v>2</v>
      </c>
      <c r="N49" s="575">
        <v>1</v>
      </c>
      <c r="O49" s="575">
        <v>14</v>
      </c>
    </row>
    <row r="50" spans="1:15" x14ac:dyDescent="0.35">
      <c r="A50" s="574" t="s">
        <v>1278</v>
      </c>
      <c r="B50" s="572"/>
      <c r="C50" s="575">
        <v>1</v>
      </c>
      <c r="D50" s="575">
        <v>4</v>
      </c>
      <c r="E50" s="575">
        <v>3</v>
      </c>
      <c r="F50" s="575">
        <v>1</v>
      </c>
      <c r="G50" s="575">
        <v>2</v>
      </c>
      <c r="H50" s="575">
        <v>1</v>
      </c>
      <c r="I50" s="575">
        <v>2</v>
      </c>
      <c r="J50" s="575">
        <v>2</v>
      </c>
      <c r="K50" s="575">
        <v>2</v>
      </c>
      <c r="L50" s="575">
        <v>1</v>
      </c>
      <c r="M50" s="575">
        <v>1</v>
      </c>
      <c r="N50" s="575">
        <v>1</v>
      </c>
      <c r="O50" s="575">
        <v>21</v>
      </c>
    </row>
    <row r="51" spans="1:15" x14ac:dyDescent="0.35">
      <c r="A51" s="574" t="s">
        <v>1279</v>
      </c>
      <c r="B51" s="572"/>
      <c r="C51" s="575">
        <v>3</v>
      </c>
      <c r="D51" s="575">
        <v>2</v>
      </c>
      <c r="E51" s="575">
        <v>1</v>
      </c>
      <c r="F51" s="575">
        <v>1</v>
      </c>
      <c r="G51" s="575">
        <v>3</v>
      </c>
      <c r="H51" s="575">
        <v>2</v>
      </c>
      <c r="I51" s="575">
        <v>3</v>
      </c>
      <c r="J51" s="575">
        <v>3</v>
      </c>
      <c r="K51" s="575">
        <v>2</v>
      </c>
      <c r="L51" s="575">
        <v>2</v>
      </c>
      <c r="M51" s="575">
        <v>4</v>
      </c>
      <c r="N51" s="575">
        <v>1</v>
      </c>
      <c r="O51" s="575">
        <v>27</v>
      </c>
    </row>
    <row r="52" spans="1:15" x14ac:dyDescent="0.35">
      <c r="A52" s="574" t="s">
        <v>2525</v>
      </c>
      <c r="B52" s="572"/>
      <c r="C52" s="575">
        <v>7</v>
      </c>
      <c r="D52" s="575">
        <v>3</v>
      </c>
      <c r="E52" s="575">
        <v>14</v>
      </c>
      <c r="F52" s="575">
        <v>1</v>
      </c>
      <c r="G52" s="575">
        <v>1</v>
      </c>
      <c r="H52" s="575">
        <v>4</v>
      </c>
      <c r="I52" s="575">
        <v>1</v>
      </c>
      <c r="J52" s="575">
        <v>3</v>
      </c>
      <c r="K52" s="575">
        <v>1</v>
      </c>
      <c r="L52" s="575">
        <v>1</v>
      </c>
      <c r="M52" s="575">
        <v>4</v>
      </c>
      <c r="N52" s="575">
        <v>12</v>
      </c>
      <c r="O52" s="575">
        <v>52</v>
      </c>
    </row>
    <row r="53" spans="1:15" x14ac:dyDescent="0.35">
      <c r="A53" s="574" t="s">
        <v>2846</v>
      </c>
      <c r="B53" s="572"/>
      <c r="C53" s="575"/>
      <c r="D53" s="575"/>
      <c r="E53" s="575"/>
      <c r="F53" s="575"/>
      <c r="G53" s="575"/>
      <c r="H53" s="575"/>
      <c r="I53" s="575"/>
      <c r="J53" s="575"/>
      <c r="K53" s="575"/>
      <c r="L53" s="575"/>
      <c r="M53" s="575"/>
      <c r="N53" s="575"/>
      <c r="O53" s="575"/>
    </row>
    <row r="54" spans="1:15" x14ac:dyDescent="0.35">
      <c r="A54" s="574" t="s">
        <v>2845</v>
      </c>
      <c r="B54" s="572"/>
      <c r="C54" s="575">
        <v>70</v>
      </c>
      <c r="D54" s="575">
        <v>73</v>
      </c>
      <c r="E54" s="575">
        <v>63</v>
      </c>
      <c r="F54" s="575">
        <v>38</v>
      </c>
      <c r="G54" s="575">
        <v>38</v>
      </c>
      <c r="H54" s="575">
        <v>28</v>
      </c>
      <c r="I54" s="575">
        <v>28</v>
      </c>
      <c r="J54" s="575">
        <v>34</v>
      </c>
      <c r="K54" s="575">
        <v>39</v>
      </c>
      <c r="L54" s="575">
        <v>36</v>
      </c>
      <c r="M54" s="575">
        <v>45</v>
      </c>
      <c r="N54" s="575">
        <v>35</v>
      </c>
      <c r="O54" s="575">
        <v>527</v>
      </c>
    </row>
    <row r="56" spans="1:15" x14ac:dyDescent="0.3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1:15" x14ac:dyDescent="0.35">
      <c r="A57" s="570" t="s">
        <v>2849</v>
      </c>
      <c r="B57"/>
      <c r="C57" t="e">
        <f>GETPIVOTDATA("Amount",$A$3,"Category","courses/masterclasses","Months",1)/GETPIVOTDATA("Amount",$A$44,"Category","courses/masterclasses","Months",1)</f>
        <v>#REF!</v>
      </c>
      <c r="D57" t="e">
        <f>GETPIVOTDATA("Amount",$A$3,"Category","courses/masterclasses","Months",2)/GETPIVOTDATA("Amount",$A$44,"Category","courses/masterclasses","Months",2)</f>
        <v>#REF!</v>
      </c>
      <c r="E57"/>
      <c r="F57">
        <v>84.63636363636364</v>
      </c>
      <c r="G57">
        <v>135.7777777777778</v>
      </c>
      <c r="H57"/>
      <c r="I57"/>
      <c r="J57"/>
      <c r="K57"/>
      <c r="L57"/>
      <c r="M57"/>
      <c r="N57"/>
      <c r="O57"/>
    </row>
    <row r="58" spans="1:15" x14ac:dyDescent="0.35">
      <c r="A58" s="570" t="s">
        <v>2850</v>
      </c>
      <c r="B58"/>
      <c r="C58" t="e">
        <f>GETPIVOTDATA("Amount",$A$3,"Category","workshops","Months",1)/GETPIVOTDATA("Amount",$A$44,"Category","workshops","Months",1)</f>
        <v>#REF!</v>
      </c>
      <c r="D58" t="e">
        <f>GETPIVOTDATA("Amount",$A$3,"Category","workshops","Months",2)/GETPIVOTDATA("Amount",$A$44,"Category","workshops","Months",2)</f>
        <v>#REF!</v>
      </c>
      <c r="E58"/>
      <c r="F58">
        <v>103.125</v>
      </c>
      <c r="G58">
        <v>148.90909090909091</v>
      </c>
      <c r="H58"/>
      <c r="I58"/>
      <c r="J58"/>
      <c r="K58"/>
      <c r="L58"/>
      <c r="M58"/>
      <c r="N58"/>
      <c r="O58"/>
    </row>
    <row r="59" spans="1:15" x14ac:dyDescent="0.35">
      <c r="A59" s="570" t="s">
        <v>2851</v>
      </c>
      <c r="B59"/>
      <c r="C59" t="e">
        <f>GETPIVOTDATA("Amount",$A$3,"Category","pick n mix","Months",1)/GETPIVOTDATA("Amount",$A$44,"Category","pick n mix","Months",1)</f>
        <v>#REF!</v>
      </c>
      <c r="D59" t="e">
        <f>GETPIVOTDATA("Amount",$A$3,"Category","pick n mix","Months",2)/GETPIVOTDATA("Amount",$A$44,"Category","pick n mix","Months",2)</f>
        <v>#REF!</v>
      </c>
      <c r="E59"/>
      <c r="F59">
        <v>339</v>
      </c>
      <c r="G59">
        <v>487</v>
      </c>
      <c r="H59"/>
      <c r="I59"/>
      <c r="J59"/>
      <c r="K59"/>
      <c r="L59"/>
      <c r="M59"/>
      <c r="N59"/>
      <c r="O59"/>
    </row>
    <row r="60" spans="1:15" x14ac:dyDescent="0.35">
      <c r="A60" s="570" t="s">
        <v>2852</v>
      </c>
      <c r="B60"/>
      <c r="C60" t="e">
        <f>GETPIVOTDATA("Amount",$A$3,"Category","mentoring","Months",1)/GETPIVOTDATA("Amount",$A$44,"Category","mentoring","Months",1)</f>
        <v>#REF!</v>
      </c>
      <c r="D60" t="e">
        <f>GETPIVOTDATA("Amount",$A$3,"Category","mentoring","Months",1)/GETPIVOTDATA("Amount",$A$44,"Category","mentoring","Months",1)</f>
        <v>#REF!</v>
      </c>
      <c r="E60"/>
      <c r="F60">
        <v>160</v>
      </c>
      <c r="G60">
        <v>160</v>
      </c>
      <c r="H60"/>
      <c r="I60"/>
      <c r="J60"/>
      <c r="K60"/>
      <c r="L60"/>
      <c r="M60"/>
      <c r="N60"/>
      <c r="O60"/>
    </row>
    <row r="61" spans="1:15" x14ac:dyDescent="0.35">
      <c r="A61" s="570" t="s">
        <v>941</v>
      </c>
      <c r="B61"/>
      <c r="C61" t="e">
        <f>GETPIVOTDATA("Amount",$A$3,"Category","1-2-1","Months",1)/GETPIVOTDATA("Amount",$A$44,"Category","1-2-1","Months",1)</f>
        <v>#REF!</v>
      </c>
      <c r="D61" t="e">
        <f>GETPIVOTDATA("Amount",$A$3,"Category","1-2-1","Months",1)/GETPIVOTDATA("Amount",$A$44,"Category","1-2-1","Months",1)</f>
        <v>#REF!</v>
      </c>
      <c r="E61"/>
      <c r="F61">
        <v>120</v>
      </c>
      <c r="G61">
        <v>120</v>
      </c>
      <c r="H61"/>
      <c r="I61"/>
      <c r="J61"/>
      <c r="K61"/>
      <c r="L61"/>
      <c r="M61"/>
      <c r="N61"/>
      <c r="O61"/>
    </row>
    <row r="62" spans="1:15" x14ac:dyDescent="0.35">
      <c r="A62" s="570" t="s">
        <v>2853</v>
      </c>
      <c r="B62"/>
      <c r="C62" t="e">
        <f>GETPIVOTDATA("Amount",$A$3,"Category","other","Months",1)/GETPIVOTDATA("Amount",$A$44,"Category","other","Months",1)</f>
        <v>#REF!</v>
      </c>
      <c r="D62" t="e">
        <f>GETPIVOTDATA("Amount",$A$3,"Category","other","Months",1)/GETPIVOTDATA("Amount",$A$44,"Category","other","Months",1)</f>
        <v>#REF!</v>
      </c>
      <c r="E62"/>
      <c r="F62">
        <v>30</v>
      </c>
      <c r="G62">
        <v>30</v>
      </c>
      <c r="H62"/>
      <c r="I62"/>
      <c r="J62"/>
      <c r="K62"/>
      <c r="L62"/>
      <c r="M62"/>
      <c r="N62"/>
      <c r="O62"/>
    </row>
    <row r="63" spans="1:15" x14ac:dyDescent="0.35">
      <c r="A63" s="570" t="s">
        <v>2846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</sheetData>
  <pageMargins left="0.7" right="0.7" top="0.75" bottom="0.75" header="0.3" footer="0.3"/>
  <drawing r:id="rId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pageSetUpPr fitToPage="1"/>
  </sheetPr>
  <dimension ref="A1:AI663"/>
  <sheetViews>
    <sheetView topLeftCell="A40"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1.19921875" style="426" bestFit="1" customWidth="1"/>
    <col min="5" max="5" width="10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6.46484375" style="426" bestFit="1" customWidth="1"/>
    <col min="12" max="18" width="6.86328125" style="426" bestFit="1" customWidth="1"/>
    <col min="19" max="21" width="7.46484375" style="426" bestFit="1" customWidth="1"/>
    <col min="22" max="22" width="7.86328125" style="426" customWidth="1"/>
    <col min="23" max="23" width="8.46484375" style="426" bestFit="1" customWidth="1"/>
    <col min="24" max="24" width="10" style="426" bestFit="1" customWidth="1"/>
    <col min="25" max="25" width="10.19921875" style="426" customWidth="1"/>
    <col min="26" max="26" width="7.86328125" style="426" bestFit="1" customWidth="1"/>
    <col min="27" max="27" width="9.1328125" style="426" customWidth="1"/>
    <col min="28" max="28" width="9.664062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1" style="426" bestFit="1" customWidth="1"/>
    <col min="34" max="34" width="9" style="426" bestFit="1" customWidth="1"/>
    <col min="35" max="35" width="9.1328125" style="426" customWidth="1"/>
    <col min="36" max="16384" width="9.1328125" style="426"/>
  </cols>
  <sheetData>
    <row r="1" spans="1:35" ht="13.15" customHeight="1" x14ac:dyDescent="0.4">
      <c r="A1" s="418" t="s">
        <v>187</v>
      </c>
      <c r="B1" s="418" t="s">
        <v>1568</v>
      </c>
      <c r="C1" s="418" t="s">
        <v>189</v>
      </c>
      <c r="D1" s="418" t="s">
        <v>191</v>
      </c>
      <c r="E1" s="419" t="s">
        <v>1569</v>
      </c>
      <c r="F1" s="418" t="s">
        <v>1570</v>
      </c>
      <c r="AD1" s="46" t="s">
        <v>2282</v>
      </c>
      <c r="AE1" s="45" t="s">
        <v>5</v>
      </c>
      <c r="AF1" s="45" t="s">
        <v>6</v>
      </c>
      <c r="AG1" s="45" t="s">
        <v>7</v>
      </c>
      <c r="AH1" s="45" t="s">
        <v>8</v>
      </c>
    </row>
    <row r="2" spans="1:35" ht="13.5" customHeight="1" x14ac:dyDescent="0.35">
      <c r="A2" s="427"/>
      <c r="B2" s="701"/>
      <c r="C2" s="427"/>
      <c r="D2" s="427"/>
      <c r="E2" s="695"/>
      <c r="F2" s="427"/>
      <c r="I2"/>
      <c r="J2"/>
      <c r="K2"/>
      <c r="L2"/>
      <c r="M2"/>
      <c r="N2"/>
      <c r="O2"/>
      <c r="AD2" s="48" t="s">
        <v>1574</v>
      </c>
      <c r="AE2" s="683">
        <f t="shared" ref="AE2:AE7" si="0">AF2+AG2</f>
        <v>42562.105000000003</v>
      </c>
      <c r="AF2" s="443">
        <f>SUM(N11:V11)</f>
        <v>42562.105000000003</v>
      </c>
      <c r="AG2" s="443"/>
    </row>
    <row r="3" spans="1:35" ht="13.9" customHeight="1" x14ac:dyDescent="0.4">
      <c r="A3" s="427"/>
      <c r="B3" s="701"/>
      <c r="C3" s="427"/>
      <c r="D3" s="427"/>
      <c r="E3" s="695"/>
      <c r="F3" s="427"/>
      <c r="I3" s="420" t="s">
        <v>140</v>
      </c>
      <c r="J3" s="421" t="s">
        <v>18</v>
      </c>
      <c r="K3" s="577" t="s">
        <v>142</v>
      </c>
      <c r="L3" s="577" t="s">
        <v>143</v>
      </c>
      <c r="M3" s="577" t="s">
        <v>144</v>
      </c>
      <c r="N3" s="577" t="s">
        <v>145</v>
      </c>
      <c r="O3" s="577" t="s">
        <v>146</v>
      </c>
      <c r="P3" s="577" t="s">
        <v>147</v>
      </c>
      <c r="Q3" s="577" t="s">
        <v>148</v>
      </c>
      <c r="R3" s="577" t="s">
        <v>149</v>
      </c>
      <c r="S3" s="577" t="s">
        <v>150</v>
      </c>
      <c r="T3" s="577" t="s">
        <v>151</v>
      </c>
      <c r="U3" s="577" t="s">
        <v>152</v>
      </c>
      <c r="V3" s="577" t="s">
        <v>153</v>
      </c>
      <c r="W3" s="423" t="s">
        <v>19</v>
      </c>
      <c r="X3" s="578" t="s">
        <v>2513</v>
      </c>
      <c r="Y3" s="579" t="s">
        <v>21</v>
      </c>
      <c r="Z3" s="580" t="s">
        <v>22</v>
      </c>
      <c r="AA3" s="426" t="s">
        <v>23</v>
      </c>
      <c r="AB3" s="426" t="s">
        <v>2514</v>
      </c>
      <c r="AD3" s="48" t="s">
        <v>2284</v>
      </c>
      <c r="AE3" s="683">
        <f t="shared" si="0"/>
        <v>86576.47</v>
      </c>
      <c r="AF3" s="443">
        <f>SUM(N13:V13)</f>
        <v>60536.84</v>
      </c>
      <c r="AG3" s="443">
        <f>SUM(K11:M11)</f>
        <v>26039.63</v>
      </c>
      <c r="AH3" s="445">
        <f>SUM(AF3-AF4)/AF3</f>
        <v>0.25562682161804279</v>
      </c>
    </row>
    <row r="4" spans="1:35" ht="13.5" customHeight="1" x14ac:dyDescent="0.35">
      <c r="A4" s="427"/>
      <c r="B4" s="701"/>
      <c r="C4" s="427"/>
      <c r="D4" s="427"/>
      <c r="E4" s="695"/>
      <c r="F4" s="427"/>
      <c r="I4" s="581" t="s">
        <v>28</v>
      </c>
      <c r="J4" s="431">
        <v>2500</v>
      </c>
      <c r="K4" s="432">
        <f t="shared" ref="K4:K10" si="1">SUMIFS(E$594:E$663,C$594:C$663,I4)</f>
        <v>4539.75</v>
      </c>
      <c r="L4" s="432">
        <f t="shared" ref="L4:L10" si="2">SUMIFS(E$520:E$593,C$520:C$593,I4)</f>
        <v>6681</v>
      </c>
      <c r="M4" s="432">
        <f t="shared" ref="M4:M10" si="3">SUMIFS(E$456:E$518,C$456:C$518,I4)</f>
        <v>2483.35</v>
      </c>
      <c r="N4" s="432">
        <f t="shared" ref="N4:N10" si="4">SUMIFS(E$417:E$454,C$417:C$454,I4)</f>
        <v>1449</v>
      </c>
      <c r="O4" s="432">
        <f t="shared" ref="O4:O10" si="5">SUMIFS(E$377:E$415,C$377:C$415,I4)</f>
        <v>254</v>
      </c>
      <c r="P4" s="432">
        <f t="shared" ref="P4:P10" si="6">SUMIFS(E$348:E$375,C$348:C$375,I4)</f>
        <v>1182</v>
      </c>
      <c r="Q4" s="432">
        <f t="shared" ref="Q4:Q10" si="7">SUMIFS(E$319:E$346,C$319:C$346,I4)</f>
        <v>1327</v>
      </c>
      <c r="R4" s="432">
        <f t="shared" ref="R4:R10" si="8">SUMIFS(E$284:E$318,C$284:C$318,I4)</f>
        <v>792</v>
      </c>
      <c r="S4" s="432">
        <f t="shared" ref="S4:S10" si="9">SUMIFS(E$244:E$282,C$244:C$282,I4)</f>
        <v>1251.75</v>
      </c>
      <c r="T4" s="432">
        <f t="shared" ref="T4:T10" si="10">SUMIFS(E$207:E$242,C$207:C$242,I4)</f>
        <v>490</v>
      </c>
      <c r="U4" s="432">
        <f t="shared" ref="U4:U10" si="11">SUMIFS(E$160:E$205,C$160:C$205,I4)</f>
        <v>2736.5</v>
      </c>
      <c r="V4" s="432">
        <f t="shared" ref="V4:V10" si="12">SUMIFS(E$121:E$159,C$121:C$159,I4)</f>
        <v>853</v>
      </c>
      <c r="W4" s="431">
        <f t="shared" ref="W4:W10" si="13">SUM(K4:V4)</f>
        <v>24039.35</v>
      </c>
      <c r="X4" s="432">
        <f t="shared" ref="X4:X11" si="14">V4-J4</f>
        <v>-1647</v>
      </c>
      <c r="Y4" s="432">
        <f t="shared" ref="Y4:Y11" si="15">W4-AA4</f>
        <v>-5960.6500000000015</v>
      </c>
      <c r="Z4" s="433">
        <f t="shared" ref="Z4:Z11" si="16">SUM(Y4/(J4*7))</f>
        <v>-0.34060857142857154</v>
      </c>
      <c r="AA4" s="434">
        <f t="shared" ref="AA4:AA11" si="17">J4*12</f>
        <v>30000</v>
      </c>
      <c r="AB4" s="434">
        <f t="shared" ref="AB4:AB11" si="18">W4/12</f>
        <v>2003.2791666666665</v>
      </c>
      <c r="AD4" s="48" t="s">
        <v>1576</v>
      </c>
      <c r="AE4" s="683">
        <f t="shared" si="0"/>
        <v>61193.33</v>
      </c>
      <c r="AF4" s="443">
        <f>SUM(N14:V14)</f>
        <v>45062</v>
      </c>
      <c r="AG4" s="443">
        <f>SUM(K13:M13)</f>
        <v>16131.33</v>
      </c>
      <c r="AH4" s="445">
        <f>SUM(AF4-AF5)/AF4</f>
        <v>1.2560472238249522E-2</v>
      </c>
    </row>
    <row r="5" spans="1:35" ht="13.5" customHeight="1" x14ac:dyDescent="0.35">
      <c r="A5" s="427"/>
      <c r="B5" s="427"/>
      <c r="C5" s="427"/>
      <c r="D5" s="427"/>
      <c r="E5" s="695"/>
      <c r="F5" s="427"/>
      <c r="I5" s="581" t="s">
        <v>1274</v>
      </c>
      <c r="J5" s="431">
        <v>2500</v>
      </c>
      <c r="K5" s="432">
        <f t="shared" si="1"/>
        <v>2581.9000000000005</v>
      </c>
      <c r="L5" s="432">
        <f t="shared" si="2"/>
        <v>3247</v>
      </c>
      <c r="M5" s="432">
        <f t="shared" si="3"/>
        <v>3992.5</v>
      </c>
      <c r="N5" s="432">
        <f t="shared" si="4"/>
        <v>3575</v>
      </c>
      <c r="O5" s="432">
        <f t="shared" si="5"/>
        <v>2800</v>
      </c>
      <c r="P5" s="432">
        <f t="shared" si="6"/>
        <v>890</v>
      </c>
      <c r="Q5" s="432">
        <f t="shared" si="7"/>
        <v>702.5</v>
      </c>
      <c r="R5" s="432">
        <f t="shared" si="8"/>
        <v>2505</v>
      </c>
      <c r="S5" s="432">
        <f t="shared" si="9"/>
        <v>3761</v>
      </c>
      <c r="T5" s="432">
        <f t="shared" si="10"/>
        <v>2635</v>
      </c>
      <c r="U5" s="432">
        <f t="shared" si="11"/>
        <v>3550.55</v>
      </c>
      <c r="V5" s="432">
        <f t="shared" si="12"/>
        <v>1880</v>
      </c>
      <c r="W5" s="431">
        <f t="shared" si="13"/>
        <v>32120.45</v>
      </c>
      <c r="X5" s="432">
        <f t="shared" si="14"/>
        <v>-620</v>
      </c>
      <c r="Y5" s="432">
        <f t="shared" si="15"/>
        <v>2120.4500000000007</v>
      </c>
      <c r="Z5" s="433">
        <f t="shared" si="16"/>
        <v>0.12116857142857147</v>
      </c>
      <c r="AA5" s="434">
        <f t="shared" si="17"/>
        <v>30000</v>
      </c>
      <c r="AB5" s="434">
        <f t="shared" si="18"/>
        <v>2676.7041666666669</v>
      </c>
      <c r="AD5" s="48" t="s">
        <v>1577</v>
      </c>
      <c r="AE5" s="683">
        <f t="shared" si="0"/>
        <v>57074</v>
      </c>
      <c r="AF5" s="443">
        <f>SUM(N15:V15)</f>
        <v>44496</v>
      </c>
      <c r="AG5" s="443">
        <f>SUM(K14:M14)</f>
        <v>12578</v>
      </c>
      <c r="AH5" s="445">
        <f>SUM(AF5-AF6)/AF5</f>
        <v>0.10681859043509528</v>
      </c>
    </row>
    <row r="6" spans="1:35" ht="13.5" customHeight="1" x14ac:dyDescent="0.35">
      <c r="A6" s="427">
        <v>43120</v>
      </c>
      <c r="B6" s="427" t="s">
        <v>1766</v>
      </c>
      <c r="C6" s="427" t="s">
        <v>65</v>
      </c>
      <c r="D6" s="427" t="s">
        <v>1311</v>
      </c>
      <c r="E6" s="695">
        <v>250</v>
      </c>
      <c r="F6" s="427" t="s">
        <v>2854</v>
      </c>
      <c r="I6" s="581" t="s">
        <v>1276</v>
      </c>
      <c r="J6" s="431">
        <v>500</v>
      </c>
      <c r="K6" s="432">
        <f t="shared" si="1"/>
        <v>207.61</v>
      </c>
      <c r="L6" s="432">
        <f t="shared" si="2"/>
        <v>487.37</v>
      </c>
      <c r="M6" s="432">
        <f t="shared" si="3"/>
        <v>268</v>
      </c>
      <c r="N6" s="432">
        <f t="shared" si="4"/>
        <v>1093.6300000000001</v>
      </c>
      <c r="O6" s="432">
        <f t="shared" si="5"/>
        <v>93.63</v>
      </c>
      <c r="P6" s="432">
        <f t="shared" si="6"/>
        <v>348.63</v>
      </c>
      <c r="Q6" s="432">
        <f t="shared" si="7"/>
        <v>643.63</v>
      </c>
      <c r="R6" s="432">
        <f t="shared" si="8"/>
        <v>793.13</v>
      </c>
      <c r="S6" s="432">
        <f t="shared" si="9"/>
        <v>868.63</v>
      </c>
      <c r="T6" s="432">
        <f t="shared" si="10"/>
        <v>493.63</v>
      </c>
      <c r="U6" s="432">
        <f t="shared" si="11"/>
        <v>1361.13</v>
      </c>
      <c r="V6" s="432">
        <f t="shared" si="12"/>
        <v>861.13</v>
      </c>
      <c r="W6" s="431">
        <f t="shared" si="13"/>
        <v>7520.1500000000005</v>
      </c>
      <c r="X6" s="432">
        <f t="shared" si="14"/>
        <v>361.13</v>
      </c>
      <c r="Y6" s="432">
        <f t="shared" si="15"/>
        <v>1520.1500000000005</v>
      </c>
      <c r="Z6" s="433">
        <f t="shared" si="16"/>
        <v>0.43432857142857156</v>
      </c>
      <c r="AA6" s="434">
        <f t="shared" si="17"/>
        <v>6000</v>
      </c>
      <c r="AB6" s="434">
        <f t="shared" si="18"/>
        <v>626.67916666666667</v>
      </c>
      <c r="AD6" s="48" t="s">
        <v>1578</v>
      </c>
      <c r="AE6" s="683">
        <f t="shared" si="0"/>
        <v>54316</v>
      </c>
      <c r="AF6" s="443">
        <f>SUM(N16:V16)</f>
        <v>39743</v>
      </c>
      <c r="AG6" s="443">
        <f>SUM(K15:M15)</f>
        <v>14573</v>
      </c>
      <c r="AH6" s="445">
        <f>SUM(AF6-AF7)/AF6</f>
        <v>0.76363133130362582</v>
      </c>
    </row>
    <row r="7" spans="1:35" ht="13.5" customHeight="1" x14ac:dyDescent="0.35">
      <c r="A7" s="427"/>
      <c r="B7" s="427"/>
      <c r="C7" s="427"/>
      <c r="D7" s="427"/>
      <c r="F7" s="45"/>
      <c r="I7" s="581" t="s">
        <v>1277</v>
      </c>
      <c r="J7" s="431">
        <v>0</v>
      </c>
      <c r="K7" s="703">
        <f t="shared" si="1"/>
        <v>-443.25</v>
      </c>
      <c r="L7" s="703">
        <f t="shared" si="2"/>
        <v>-451</v>
      </c>
      <c r="M7" s="703">
        <f t="shared" si="3"/>
        <v>-885</v>
      </c>
      <c r="N7" s="703">
        <f t="shared" si="4"/>
        <v>-1896</v>
      </c>
      <c r="O7" s="703">
        <f t="shared" si="5"/>
        <v>-725</v>
      </c>
      <c r="P7" s="703">
        <f t="shared" si="6"/>
        <v>0</v>
      </c>
      <c r="Q7" s="703">
        <f t="shared" si="7"/>
        <v>-357.5</v>
      </c>
      <c r="R7" s="703">
        <f t="shared" si="8"/>
        <v>0</v>
      </c>
      <c r="S7" s="703">
        <f t="shared" si="9"/>
        <v>0</v>
      </c>
      <c r="T7" s="703">
        <f t="shared" si="10"/>
        <v>0</v>
      </c>
      <c r="U7" s="703">
        <f t="shared" si="11"/>
        <v>-471</v>
      </c>
      <c r="V7" s="703">
        <f t="shared" si="12"/>
        <v>-112.5</v>
      </c>
      <c r="W7" s="704">
        <f t="shared" si="13"/>
        <v>-5341.25</v>
      </c>
      <c r="X7" s="432">
        <f t="shared" si="14"/>
        <v>-112.5</v>
      </c>
      <c r="Y7" s="432">
        <f t="shared" si="15"/>
        <v>-5341.25</v>
      </c>
      <c r="Z7" s="433" t="e">
        <f t="shared" si="16"/>
        <v>#DIV/0!</v>
      </c>
      <c r="AA7" s="434">
        <f t="shared" si="17"/>
        <v>0</v>
      </c>
      <c r="AB7" s="434">
        <f t="shared" si="18"/>
        <v>-445.10416666666669</v>
      </c>
      <c r="AD7" s="48" t="s">
        <v>1579</v>
      </c>
      <c r="AE7" s="683">
        <f t="shared" si="0"/>
        <v>20273</v>
      </c>
      <c r="AF7" s="443">
        <f>SUM(N17:V17)</f>
        <v>9394</v>
      </c>
      <c r="AG7" s="443">
        <f>SUM(K16:M16)</f>
        <v>10879</v>
      </c>
      <c r="AH7" s="445"/>
    </row>
    <row r="8" spans="1:35" ht="13.5" customHeight="1" x14ac:dyDescent="0.35">
      <c r="A8" s="427">
        <v>43135</v>
      </c>
      <c r="B8" s="426" t="s">
        <v>1943</v>
      </c>
      <c r="C8" s="427" t="s">
        <v>65</v>
      </c>
      <c r="D8" s="427" t="s">
        <v>1311</v>
      </c>
      <c r="E8" s="435">
        <v>200</v>
      </c>
      <c r="F8" s="427" t="s">
        <v>2854</v>
      </c>
      <c r="I8" s="581" t="s">
        <v>1278</v>
      </c>
      <c r="J8" s="431">
        <v>300</v>
      </c>
      <c r="K8" s="432">
        <f t="shared" si="1"/>
        <v>60</v>
      </c>
      <c r="L8" s="432">
        <f t="shared" si="2"/>
        <v>280</v>
      </c>
      <c r="M8" s="432">
        <f t="shared" si="3"/>
        <v>80</v>
      </c>
      <c r="N8" s="432">
        <f t="shared" si="4"/>
        <v>80</v>
      </c>
      <c r="O8" s="432">
        <f t="shared" si="5"/>
        <v>120</v>
      </c>
      <c r="P8" s="432">
        <f t="shared" si="6"/>
        <v>80</v>
      </c>
      <c r="Q8" s="432">
        <f t="shared" si="7"/>
        <v>80</v>
      </c>
      <c r="R8" s="432">
        <f t="shared" si="8"/>
        <v>280</v>
      </c>
      <c r="S8" s="432">
        <f t="shared" si="9"/>
        <v>60</v>
      </c>
      <c r="T8" s="432">
        <f t="shared" si="10"/>
        <v>40</v>
      </c>
      <c r="U8" s="432">
        <f t="shared" si="11"/>
        <v>40</v>
      </c>
      <c r="V8" s="432">
        <f t="shared" si="12"/>
        <v>40</v>
      </c>
      <c r="W8" s="431">
        <f t="shared" si="13"/>
        <v>1240</v>
      </c>
      <c r="X8" s="432">
        <f t="shared" si="14"/>
        <v>-260</v>
      </c>
      <c r="Y8" s="432">
        <f t="shared" si="15"/>
        <v>-2360</v>
      </c>
      <c r="Z8" s="433">
        <f t="shared" si="16"/>
        <v>-1.1238095238095238</v>
      </c>
      <c r="AA8" s="434">
        <f t="shared" si="17"/>
        <v>3600</v>
      </c>
      <c r="AB8" s="434">
        <f t="shared" si="18"/>
        <v>103.33333333333333</v>
      </c>
    </row>
    <row r="9" spans="1:35" ht="13.5" customHeight="1" x14ac:dyDescent="0.35">
      <c r="A9" s="427">
        <v>43135</v>
      </c>
      <c r="B9" s="426" t="s">
        <v>1943</v>
      </c>
      <c r="C9" s="427" t="s">
        <v>65</v>
      </c>
      <c r="D9" s="427" t="s">
        <v>1311</v>
      </c>
      <c r="E9" s="435">
        <v>75</v>
      </c>
      <c r="F9" s="427" t="s">
        <v>2854</v>
      </c>
      <c r="I9" s="582" t="s">
        <v>1279</v>
      </c>
      <c r="J9" s="431">
        <v>300</v>
      </c>
      <c r="K9" s="432">
        <f t="shared" si="1"/>
        <v>460</v>
      </c>
      <c r="L9" s="432">
        <f t="shared" si="2"/>
        <v>185</v>
      </c>
      <c r="M9" s="432">
        <f t="shared" si="3"/>
        <v>120</v>
      </c>
      <c r="N9" s="432">
        <f t="shared" si="4"/>
        <v>65</v>
      </c>
      <c r="O9" s="432">
        <f t="shared" si="5"/>
        <v>510</v>
      </c>
      <c r="P9" s="432">
        <f t="shared" si="6"/>
        <v>240</v>
      </c>
      <c r="Q9" s="432">
        <f t="shared" si="7"/>
        <v>454</v>
      </c>
      <c r="R9" s="432">
        <f t="shared" si="8"/>
        <v>322</v>
      </c>
      <c r="S9" s="432">
        <f t="shared" si="9"/>
        <v>480</v>
      </c>
      <c r="T9" s="432">
        <f t="shared" si="10"/>
        <v>240</v>
      </c>
      <c r="U9" s="432">
        <f t="shared" si="11"/>
        <v>750</v>
      </c>
      <c r="V9" s="432">
        <f t="shared" si="12"/>
        <v>360</v>
      </c>
      <c r="W9" s="431">
        <f t="shared" si="13"/>
        <v>4186</v>
      </c>
      <c r="X9" s="432">
        <f t="shared" si="14"/>
        <v>60</v>
      </c>
      <c r="Y9" s="432">
        <f t="shared" si="15"/>
        <v>586</v>
      </c>
      <c r="Z9" s="433">
        <f t="shared" si="16"/>
        <v>0.27904761904761904</v>
      </c>
      <c r="AA9" s="434">
        <f t="shared" si="17"/>
        <v>3600</v>
      </c>
      <c r="AB9" s="434">
        <f t="shared" si="18"/>
        <v>348.83333333333331</v>
      </c>
    </row>
    <row r="10" spans="1:35" ht="13.5" customHeight="1" x14ac:dyDescent="0.35">
      <c r="I10" s="582" t="s">
        <v>2525</v>
      </c>
      <c r="J10" s="431">
        <v>300</v>
      </c>
      <c r="K10" s="432">
        <f t="shared" si="1"/>
        <v>871.46</v>
      </c>
      <c r="L10" s="432">
        <f t="shared" si="2"/>
        <v>177.74</v>
      </c>
      <c r="M10" s="432">
        <f t="shared" si="3"/>
        <v>1096.2</v>
      </c>
      <c r="N10" s="432">
        <f t="shared" si="4"/>
        <v>4.3849999999999998</v>
      </c>
      <c r="O10" s="432">
        <f t="shared" si="5"/>
        <v>950</v>
      </c>
      <c r="P10" s="432">
        <f t="shared" si="6"/>
        <v>502.97</v>
      </c>
      <c r="Q10" s="432">
        <f t="shared" si="7"/>
        <v>9.4</v>
      </c>
      <c r="R10" s="432">
        <f t="shared" si="8"/>
        <v>100.46000000000001</v>
      </c>
      <c r="S10" s="432">
        <f t="shared" si="9"/>
        <v>22.5</v>
      </c>
      <c r="T10" s="432">
        <f t="shared" si="10"/>
        <v>9.4</v>
      </c>
      <c r="U10" s="432">
        <f t="shared" si="11"/>
        <v>331.9</v>
      </c>
      <c r="V10" s="432">
        <f t="shared" si="12"/>
        <v>760.62</v>
      </c>
      <c r="W10" s="431">
        <f t="shared" si="13"/>
        <v>4837.0350000000008</v>
      </c>
      <c r="X10" s="432">
        <f t="shared" si="14"/>
        <v>460.62</v>
      </c>
      <c r="Y10" s="432">
        <f t="shared" si="15"/>
        <v>1237.0350000000008</v>
      </c>
      <c r="Z10" s="433">
        <f t="shared" si="16"/>
        <v>0.58906428571428604</v>
      </c>
      <c r="AA10" s="434">
        <f t="shared" si="17"/>
        <v>3600</v>
      </c>
      <c r="AB10" s="434">
        <f t="shared" si="18"/>
        <v>403.08625000000006</v>
      </c>
    </row>
    <row r="11" spans="1:35" ht="15.75" customHeight="1" x14ac:dyDescent="0.4">
      <c r="A11" s="463">
        <v>43131</v>
      </c>
      <c r="B11" s="464" t="s">
        <v>2855</v>
      </c>
      <c r="C11" s="464" t="s">
        <v>123</v>
      </c>
      <c r="D11" s="49"/>
      <c r="E11" s="695">
        <v>395</v>
      </c>
      <c r="F11" s="49" t="s">
        <v>2832</v>
      </c>
      <c r="I11" s="437" t="s">
        <v>63</v>
      </c>
      <c r="J11" s="438">
        <f t="shared" ref="J11:W11" si="19">SUM(J4:J10)</f>
        <v>6400</v>
      </c>
      <c r="K11" s="439">
        <f t="shared" si="19"/>
        <v>8277.4700000000012</v>
      </c>
      <c r="L11" s="439">
        <f t="shared" si="19"/>
        <v>10607.11</v>
      </c>
      <c r="M11" s="439">
        <f t="shared" si="19"/>
        <v>7155.05</v>
      </c>
      <c r="N11" s="439">
        <f t="shared" si="19"/>
        <v>4371.0150000000003</v>
      </c>
      <c r="O11" s="439">
        <f t="shared" si="19"/>
        <v>4002.63</v>
      </c>
      <c r="P11" s="439">
        <f t="shared" si="19"/>
        <v>3243.6000000000004</v>
      </c>
      <c r="Q11" s="439">
        <f t="shared" si="19"/>
        <v>2859.03</v>
      </c>
      <c r="R11" s="439">
        <f t="shared" si="19"/>
        <v>4792.59</v>
      </c>
      <c r="S11" s="439">
        <f t="shared" si="19"/>
        <v>6443.88</v>
      </c>
      <c r="T11" s="439">
        <f t="shared" si="19"/>
        <v>3908.03</v>
      </c>
      <c r="U11" s="439">
        <f t="shared" si="19"/>
        <v>8299.08</v>
      </c>
      <c r="V11" s="439">
        <f t="shared" si="19"/>
        <v>4642.25</v>
      </c>
      <c r="W11" s="438">
        <f t="shared" si="19"/>
        <v>68601.735000000001</v>
      </c>
      <c r="X11" s="432">
        <f t="shared" si="14"/>
        <v>-1757.75</v>
      </c>
      <c r="Y11" s="439">
        <f t="shared" si="15"/>
        <v>-8198.2649999999994</v>
      </c>
      <c r="Z11" s="433">
        <f t="shared" si="16"/>
        <v>-0.18299698660714284</v>
      </c>
      <c r="AA11" s="434">
        <f t="shared" si="17"/>
        <v>76800</v>
      </c>
      <c r="AB11" s="434">
        <f t="shared" si="18"/>
        <v>5716.8112499999997</v>
      </c>
      <c r="AD11" s="469" t="s">
        <v>70</v>
      </c>
      <c r="AE11" s="469" t="s">
        <v>71</v>
      </c>
      <c r="AF11" s="469" t="s">
        <v>72</v>
      </c>
      <c r="AG11" s="469" t="s">
        <v>73</v>
      </c>
      <c r="AH11" s="469" t="s">
        <v>74</v>
      </c>
      <c r="AI11" s="469" t="s">
        <v>75</v>
      </c>
    </row>
    <row r="12" spans="1:35" ht="13.9" customHeight="1" x14ac:dyDescent="0.4">
      <c r="A12" s="463">
        <v>43154</v>
      </c>
      <c r="B12" s="464" t="s">
        <v>2856</v>
      </c>
      <c r="C12" s="464" t="s">
        <v>123</v>
      </c>
      <c r="D12" s="49"/>
      <c r="E12" s="695">
        <v>395</v>
      </c>
      <c r="F12" s="49" t="s">
        <v>2832</v>
      </c>
      <c r="I12" s="541" t="s">
        <v>115</v>
      </c>
      <c r="J12" s="441">
        <f>J11*12</f>
        <v>76800</v>
      </c>
      <c r="K12" s="671">
        <f>K11/J11</f>
        <v>1.2933546875000002</v>
      </c>
      <c r="L12" s="671">
        <f>L11/J11</f>
        <v>1.6573609375</v>
      </c>
      <c r="M12" s="671">
        <f>M11/J11</f>
        <v>1.1179765625</v>
      </c>
      <c r="N12" s="671">
        <f>N11/J11</f>
        <v>0.68297109375000009</v>
      </c>
      <c r="O12" s="671">
        <f>O11/J11</f>
        <v>0.62541093749999999</v>
      </c>
      <c r="P12" s="671">
        <f>P11/J11</f>
        <v>0.50681250000000011</v>
      </c>
      <c r="Q12" s="671">
        <f>Q11/J11</f>
        <v>0.44672343750000004</v>
      </c>
      <c r="R12" s="671">
        <f>R11/J11</f>
        <v>0.74884218749999998</v>
      </c>
      <c r="S12" s="671">
        <f>S11/J11</f>
        <v>1.00685625</v>
      </c>
      <c r="T12" s="671">
        <f>T11/J11</f>
        <v>0.61062968750000002</v>
      </c>
      <c r="U12" s="671">
        <f>U11/J11</f>
        <v>1.2967312499999999</v>
      </c>
      <c r="V12" s="671">
        <f>V11/J11</f>
        <v>0.72535156249999999</v>
      </c>
      <c r="W12" s="671">
        <f>W11/AA11</f>
        <v>0.89325175781249999</v>
      </c>
      <c r="X12" s="583">
        <f>W11-W13</f>
        <v>-8066.4349999999977</v>
      </c>
      <c r="Y12" s="585">
        <f>X12/W13</f>
        <v>-0.10521230648912056</v>
      </c>
      <c r="AB12" s="445"/>
    </row>
    <row r="13" spans="1:35" ht="13.9" customHeight="1" x14ac:dyDescent="0.4">
      <c r="A13" s="693">
        <v>43320</v>
      </c>
      <c r="B13" s="693" t="s">
        <v>2857</v>
      </c>
      <c r="C13" s="693" t="s">
        <v>123</v>
      </c>
      <c r="D13" s="49"/>
      <c r="E13" s="695">
        <v>395</v>
      </c>
      <c r="F13" s="49" t="s">
        <v>2832</v>
      </c>
      <c r="I13" s="440" t="s">
        <v>116</v>
      </c>
      <c r="J13" s="45" t="s">
        <v>49</v>
      </c>
      <c r="K13" s="558">
        <v>3203.5</v>
      </c>
      <c r="L13" s="558">
        <v>6685</v>
      </c>
      <c r="M13" s="558">
        <v>6242.83</v>
      </c>
      <c r="N13" s="558">
        <v>6063.17</v>
      </c>
      <c r="O13" s="558">
        <v>5851.71</v>
      </c>
      <c r="P13" s="558">
        <v>5479.93</v>
      </c>
      <c r="Q13" s="558">
        <v>3603.81</v>
      </c>
      <c r="R13" s="558">
        <v>4658.8500000000004</v>
      </c>
      <c r="S13" s="558">
        <v>10821.67</v>
      </c>
      <c r="T13" s="558">
        <v>9224.58</v>
      </c>
      <c r="U13" s="558">
        <v>10504.09</v>
      </c>
      <c r="V13" s="558">
        <v>4329.0300000000007</v>
      </c>
      <c r="W13" s="431">
        <f>SUM(K13:V13)</f>
        <v>76668.17</v>
      </c>
      <c r="X13" s="583">
        <f>W13-W14</f>
        <v>19028.169999999998</v>
      </c>
      <c r="Y13" s="585">
        <f>X13/W14</f>
        <v>0.3301209229701596</v>
      </c>
      <c r="AA13" s="559" t="s">
        <v>1038</v>
      </c>
      <c r="AB13" s="642">
        <f>SUM(K11:U11)+AB11*1</f>
        <v>69676.296249999999</v>
      </c>
      <c r="AD13" s="470">
        <v>42937</v>
      </c>
      <c r="AE13" s="471" t="s">
        <v>1807</v>
      </c>
      <c r="AF13" s="471" t="s">
        <v>1808</v>
      </c>
      <c r="AG13" s="472">
        <v>146746</v>
      </c>
      <c r="AH13" s="473">
        <v>200</v>
      </c>
      <c r="AI13" s="474" t="s">
        <v>1775</v>
      </c>
    </row>
    <row r="14" spans="1:35" ht="13.9" customHeight="1" x14ac:dyDescent="0.4">
      <c r="A14" s="693">
        <v>43390</v>
      </c>
      <c r="B14" s="693" t="s">
        <v>2738</v>
      </c>
      <c r="C14" s="693" t="s">
        <v>123</v>
      </c>
      <c r="D14" s="694" t="s">
        <v>1291</v>
      </c>
      <c r="E14" s="697">
        <v>725</v>
      </c>
      <c r="F14" s="49"/>
      <c r="I14" s="440" t="s">
        <v>117</v>
      </c>
      <c r="J14" s="584" t="s">
        <v>2521</v>
      </c>
      <c r="K14" s="434">
        <v>4537</v>
      </c>
      <c r="L14" s="434">
        <f>4583-264</f>
        <v>4319</v>
      </c>
      <c r="M14" s="434">
        <f>3935-213</f>
        <v>3722</v>
      </c>
      <c r="N14" s="434">
        <f>4947-396</f>
        <v>4551</v>
      </c>
      <c r="O14" s="434">
        <f>3911-293</f>
        <v>3618</v>
      </c>
      <c r="P14" s="434">
        <f>2992-213</f>
        <v>2779</v>
      </c>
      <c r="Q14" s="434">
        <f>2927-218</f>
        <v>2709</v>
      </c>
      <c r="R14" s="434">
        <f>7466-213</f>
        <v>7253</v>
      </c>
      <c r="S14" s="434">
        <f>4218-425</f>
        <v>3793</v>
      </c>
      <c r="T14" s="434">
        <f>10697-213</f>
        <v>10484</v>
      </c>
      <c r="U14" s="434">
        <f>5081-213</f>
        <v>4868</v>
      </c>
      <c r="V14" s="434">
        <f>5220-213</f>
        <v>5007</v>
      </c>
      <c r="W14" s="431">
        <f>SUM(K14:V14)</f>
        <v>57640</v>
      </c>
      <c r="X14" s="583">
        <f>W14-W15</f>
        <v>-1429</v>
      </c>
      <c r="Y14" s="585">
        <f>X14/W15</f>
        <v>-2.4192046589581677E-2</v>
      </c>
      <c r="Z14" s="445"/>
      <c r="AA14" s="445"/>
      <c r="AD14" s="470">
        <v>42941</v>
      </c>
      <c r="AE14" s="471" t="s">
        <v>1809</v>
      </c>
      <c r="AF14" s="471" t="s">
        <v>1810</v>
      </c>
      <c r="AG14" s="472">
        <v>146833</v>
      </c>
      <c r="AH14" s="473">
        <v>200</v>
      </c>
      <c r="AI14" s="474" t="s">
        <v>1775</v>
      </c>
    </row>
    <row r="15" spans="1:35" ht="13.9" customHeight="1" x14ac:dyDescent="0.4">
      <c r="A15" s="693"/>
      <c r="B15" s="693"/>
      <c r="C15" s="693"/>
      <c r="D15" s="49"/>
      <c r="E15" s="695"/>
      <c r="F15" s="49"/>
      <c r="I15" s="440" t="s">
        <v>118</v>
      </c>
      <c r="J15" s="45" t="s">
        <v>55</v>
      </c>
      <c r="K15" s="434">
        <v>3710</v>
      </c>
      <c r="L15" s="434">
        <v>3750</v>
      </c>
      <c r="M15" s="434">
        <v>7113</v>
      </c>
      <c r="N15" s="434">
        <f>3928-213</f>
        <v>3715</v>
      </c>
      <c r="O15" s="434">
        <f>2501-213</f>
        <v>2288</v>
      </c>
      <c r="P15" s="434">
        <f>3468-213</f>
        <v>3255</v>
      </c>
      <c r="Q15" s="434">
        <f>1986-224</f>
        <v>1762</v>
      </c>
      <c r="R15" s="434">
        <f>4145-212</f>
        <v>3933</v>
      </c>
      <c r="S15" s="434">
        <f>8518-212</f>
        <v>8306</v>
      </c>
      <c r="T15" s="434">
        <f>5829-424</f>
        <v>5405</v>
      </c>
      <c r="U15" s="434">
        <f>3816-212</f>
        <v>3604</v>
      </c>
      <c r="V15" s="434">
        <f>12440-212</f>
        <v>12228</v>
      </c>
      <c r="W15" s="431">
        <f>SUM(K15:V15)</f>
        <v>59069</v>
      </c>
      <c r="X15" s="583">
        <f>W15-W16</f>
        <v>8447</v>
      </c>
      <c r="Y15" s="585">
        <f>X15/W16</f>
        <v>0.16686420923709058</v>
      </c>
      <c r="Z15" s="445"/>
      <c r="AA15" s="445"/>
      <c r="AD15" s="470">
        <v>42947</v>
      </c>
      <c r="AE15" s="471" t="s">
        <v>1811</v>
      </c>
      <c r="AF15" s="471" t="s">
        <v>1812</v>
      </c>
      <c r="AG15" s="472">
        <v>146978</v>
      </c>
      <c r="AH15" s="473">
        <v>135</v>
      </c>
      <c r="AI15" s="474" t="s">
        <v>1375</v>
      </c>
    </row>
    <row r="16" spans="1:35" ht="13.9" customHeight="1" x14ac:dyDescent="0.4">
      <c r="A16" s="693"/>
      <c r="B16" s="693"/>
      <c r="C16" s="693"/>
      <c r="D16" s="639"/>
      <c r="E16" s="695"/>
      <c r="F16" s="49"/>
      <c r="I16" s="440" t="s">
        <v>120</v>
      </c>
      <c r="J16" s="45" t="s">
        <v>58</v>
      </c>
      <c r="K16" s="434">
        <f>4439-1260</f>
        <v>3179</v>
      </c>
      <c r="L16" s="434">
        <f>3071-197</f>
        <v>2874</v>
      </c>
      <c r="M16" s="434">
        <f>4958-132</f>
        <v>4826</v>
      </c>
      <c r="N16" s="434">
        <f>3585-132</f>
        <v>3453</v>
      </c>
      <c r="O16" s="434">
        <f>5008-33</f>
        <v>4975</v>
      </c>
      <c r="P16" s="434">
        <v>3386</v>
      </c>
      <c r="Q16" s="434">
        <v>3633</v>
      </c>
      <c r="R16" s="434">
        <v>3855</v>
      </c>
      <c r="S16" s="434">
        <v>6440</v>
      </c>
      <c r="T16" s="434">
        <v>3536</v>
      </c>
      <c r="U16" s="434">
        <v>2851</v>
      </c>
      <c r="V16" s="434">
        <v>7614</v>
      </c>
      <c r="W16" s="431">
        <f>SUM(K16:V16)</f>
        <v>50622</v>
      </c>
      <c r="X16" s="583">
        <f>W16-W17</f>
        <v>41228</v>
      </c>
      <c r="Y16" s="585">
        <f>X16/W17</f>
        <v>4.3887587822014051</v>
      </c>
      <c r="AD16" s="470">
        <v>42969</v>
      </c>
      <c r="AE16" s="471" t="s">
        <v>1813</v>
      </c>
      <c r="AF16" s="471" t="s">
        <v>1814</v>
      </c>
      <c r="AG16" s="472">
        <v>147703</v>
      </c>
      <c r="AH16" s="473">
        <v>200</v>
      </c>
      <c r="AI16" s="474" t="s">
        <v>1775</v>
      </c>
    </row>
    <row r="17" spans="1:35" ht="13.9" customHeight="1" x14ac:dyDescent="0.4">
      <c r="I17" s="541" t="s">
        <v>121</v>
      </c>
      <c r="J17" s="45" t="s">
        <v>61</v>
      </c>
      <c r="U17" s="434">
        <f>3346-338</f>
        <v>3008</v>
      </c>
      <c r="V17" s="434">
        <f>6776-390</f>
        <v>6386</v>
      </c>
      <c r="W17" s="431">
        <f>SUM(K17:V17)</f>
        <v>9394</v>
      </c>
      <c r="AD17" s="470">
        <v>42970</v>
      </c>
      <c r="AE17" s="471" t="s">
        <v>1815</v>
      </c>
      <c r="AF17" s="471" t="s">
        <v>1816</v>
      </c>
      <c r="AG17" s="472">
        <v>147671</v>
      </c>
      <c r="AH17" s="473">
        <v>200</v>
      </c>
      <c r="AI17" s="474" t="s">
        <v>1775</v>
      </c>
    </row>
    <row r="18" spans="1:35" ht="13.9" customHeight="1" x14ac:dyDescent="0.4">
      <c r="A18" s="693">
        <v>43406</v>
      </c>
      <c r="B18" s="693" t="s">
        <v>2858</v>
      </c>
      <c r="C18" s="693" t="s">
        <v>123</v>
      </c>
      <c r="D18" s="49" t="s">
        <v>2859</v>
      </c>
      <c r="E18" s="695">
        <v>60</v>
      </c>
      <c r="F18" s="49" t="s">
        <v>2860</v>
      </c>
      <c r="I18" s="446" t="s">
        <v>82</v>
      </c>
      <c r="J18" s="441"/>
      <c r="K18" s="671">
        <f t="shared" ref="K18:W18" si="20">IFERROR((K11-K13)/K13,0)</f>
        <v>1.5838832526923681</v>
      </c>
      <c r="L18" s="671">
        <f t="shared" si="20"/>
        <v>0.58670306656694104</v>
      </c>
      <c r="M18" s="671">
        <f t="shared" si="20"/>
        <v>0.14612283211300009</v>
      </c>
      <c r="N18" s="671">
        <f t="shared" si="20"/>
        <v>-0.27908750703015084</v>
      </c>
      <c r="O18" s="671">
        <f t="shared" si="20"/>
        <v>-0.31598968506641645</v>
      </c>
      <c r="P18" s="671">
        <f t="shared" si="20"/>
        <v>-0.40809462894599013</v>
      </c>
      <c r="Q18" s="671">
        <f t="shared" si="20"/>
        <v>-0.20666461328427407</v>
      </c>
      <c r="R18" s="671">
        <f t="shared" si="20"/>
        <v>2.8706655075823383E-2</v>
      </c>
      <c r="S18" s="671">
        <f t="shared" si="20"/>
        <v>-0.40453922546150456</v>
      </c>
      <c r="T18" s="671">
        <f t="shared" si="20"/>
        <v>-0.57634602334198404</v>
      </c>
      <c r="U18" s="671">
        <f t="shared" si="20"/>
        <v>-0.20991918386076283</v>
      </c>
      <c r="V18" s="671">
        <f t="shared" si="20"/>
        <v>7.2353390944391541E-2</v>
      </c>
      <c r="W18" s="671">
        <f t="shared" si="20"/>
        <v>-0.10521230648912056</v>
      </c>
      <c r="Y18" s="688">
        <f>W11-K13-L13-M13-N13-O13-P13-Q13-R13-S13-T13-U13-V13</f>
        <v>-8066.4350000000031</v>
      </c>
      <c r="Z18" s="433">
        <f>Y18/(K13+L13+M13+N13+O13+P13+Q13+R13+S13+T13+U13+V13)</f>
        <v>-0.10521230648912062</v>
      </c>
      <c r="AD18" s="470">
        <v>42970</v>
      </c>
      <c r="AE18" s="471" t="s">
        <v>1817</v>
      </c>
      <c r="AF18" s="471" t="s">
        <v>1818</v>
      </c>
      <c r="AG18" s="472">
        <v>147844</v>
      </c>
      <c r="AH18" s="473">
        <v>200</v>
      </c>
      <c r="AI18" s="474" t="s">
        <v>1819</v>
      </c>
    </row>
    <row r="19" spans="1:35" ht="15" customHeight="1" x14ac:dyDescent="0.4">
      <c r="A19" s="463"/>
      <c r="B19" s="464"/>
      <c r="C19" s="464"/>
      <c r="D19" s="696"/>
      <c r="E19" s="695"/>
      <c r="F19" s="49"/>
      <c r="I19" s="447" t="s">
        <v>123</v>
      </c>
      <c r="J19" s="448">
        <f ca="1">SUMIF($C1:E50,I19,$E1:$E50)</f>
        <v>5029.25</v>
      </c>
      <c r="K19" s="558">
        <f t="shared" ref="K19:T19" si="21">AVERAGE(K13:K16,K11)</f>
        <v>4581.3940000000002</v>
      </c>
      <c r="L19" s="558">
        <f t="shared" si="21"/>
        <v>5647.0219999999999</v>
      </c>
      <c r="M19" s="558">
        <f t="shared" si="21"/>
        <v>5811.7759999999998</v>
      </c>
      <c r="N19" s="558">
        <f t="shared" si="21"/>
        <v>4430.6369999999997</v>
      </c>
      <c r="O19" s="558">
        <f t="shared" si="21"/>
        <v>4147.0680000000002</v>
      </c>
      <c r="P19" s="558">
        <f t="shared" si="21"/>
        <v>3628.7059999999997</v>
      </c>
      <c r="Q19" s="558">
        <f t="shared" si="21"/>
        <v>2913.3679999999999</v>
      </c>
      <c r="R19" s="558">
        <f t="shared" si="21"/>
        <v>4898.4879999999994</v>
      </c>
      <c r="S19" s="558">
        <f t="shared" si="21"/>
        <v>7160.9099999999989</v>
      </c>
      <c r="T19" s="558">
        <f t="shared" si="21"/>
        <v>6511.5219999999999</v>
      </c>
      <c r="U19" s="558">
        <f>AVERAGE(U13:U17,U11)</f>
        <v>5522.3616666666667</v>
      </c>
      <c r="V19" s="558">
        <f>AVERAGE(V13:V17,V11)</f>
        <v>6701.0466666666662</v>
      </c>
      <c r="W19" s="449">
        <f>SUM(K19:V19)</f>
        <v>61954.299333333322</v>
      </c>
      <c r="X19" s="449" t="s">
        <v>1039</v>
      </c>
      <c r="AD19" s="470">
        <v>42976</v>
      </c>
      <c r="AE19" s="471" t="s">
        <v>1820</v>
      </c>
      <c r="AF19" s="471" t="s">
        <v>1821</v>
      </c>
      <c r="AG19" s="472">
        <v>148062</v>
      </c>
      <c r="AH19" s="473">
        <v>65</v>
      </c>
      <c r="AI19" s="474" t="s">
        <v>1375</v>
      </c>
    </row>
    <row r="20" spans="1:35" ht="15" customHeight="1" x14ac:dyDescent="0.4">
      <c r="A20" s="693"/>
      <c r="B20" s="693"/>
      <c r="C20" s="693"/>
      <c r="D20" s="49"/>
      <c r="E20" s="695"/>
      <c r="F20" s="639"/>
      <c r="I20" s="450" t="s">
        <v>65</v>
      </c>
      <c r="J20" s="451">
        <f ca="1">SUMIF($C1:E50,I20,$E1:$E50)</f>
        <v>525</v>
      </c>
      <c r="L20" s="449"/>
      <c r="M20" s="449"/>
      <c r="N20" s="449"/>
      <c r="O20" s="449"/>
      <c r="P20" s="449"/>
      <c r="Q20" s="449"/>
      <c r="R20" s="449"/>
      <c r="S20" s="449"/>
      <c r="T20" s="449"/>
      <c r="U20" s="449"/>
      <c r="V20" s="449"/>
      <c r="W20" s="449"/>
      <c r="X20" s="449"/>
      <c r="AD20" s="470">
        <v>42978</v>
      </c>
      <c r="AE20" s="471" t="s">
        <v>1822</v>
      </c>
      <c r="AF20" s="471" t="s">
        <v>1823</v>
      </c>
      <c r="AG20" s="472">
        <v>148222</v>
      </c>
      <c r="AH20" s="473">
        <v>200</v>
      </c>
      <c r="AI20" s="474" t="s">
        <v>1775</v>
      </c>
    </row>
    <row r="21" spans="1:35" ht="15.4" customHeight="1" thickBot="1" x14ac:dyDescent="0.45">
      <c r="A21" s="693">
        <v>43434</v>
      </c>
      <c r="B21" s="693" t="s">
        <v>2861</v>
      </c>
      <c r="C21" s="464" t="s">
        <v>123</v>
      </c>
      <c r="D21" s="49" t="s">
        <v>2862</v>
      </c>
      <c r="E21" s="695">
        <v>43</v>
      </c>
      <c r="F21" s="49" t="s">
        <v>2812</v>
      </c>
      <c r="I21" s="452" t="s">
        <v>1289</v>
      </c>
      <c r="J21" s="453">
        <f ca="1">SUM(J19:J20)</f>
        <v>5554.25</v>
      </c>
      <c r="K21" s="454"/>
      <c r="L21" s="454"/>
      <c r="M21" s="454"/>
      <c r="N21" s="454"/>
      <c r="O21" s="454"/>
      <c r="P21" s="454"/>
      <c r="Q21" s="454"/>
      <c r="R21" s="454"/>
      <c r="S21" s="454"/>
      <c r="T21" s="454"/>
      <c r="U21" s="1227" t="s">
        <v>132</v>
      </c>
      <c r="V21" s="1226"/>
      <c r="W21" s="688">
        <f>SUM(W13:W17)+W11</f>
        <v>321994.90499999997</v>
      </c>
      <c r="X21" s="454"/>
      <c r="AD21" s="470">
        <v>42978</v>
      </c>
      <c r="AE21" s="471" t="s">
        <v>1824</v>
      </c>
      <c r="AF21" s="471" t="s">
        <v>1825</v>
      </c>
      <c r="AG21" s="472">
        <v>148235</v>
      </c>
      <c r="AH21" s="473">
        <v>200</v>
      </c>
      <c r="AI21" s="474" t="s">
        <v>1775</v>
      </c>
    </row>
    <row r="22" spans="1:35" ht="13.9" customHeight="1" thickBot="1" x14ac:dyDescent="0.4">
      <c r="A22" s="463"/>
      <c r="B22" s="464"/>
      <c r="C22" s="464"/>
      <c r="D22" s="45"/>
      <c r="F22" s="49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1227" t="s">
        <v>133</v>
      </c>
      <c r="V22" s="1226"/>
      <c r="W22" s="558">
        <f>W21/5</f>
        <v>64398.980999999992</v>
      </c>
      <c r="X22" s="454"/>
      <c r="AD22" s="470">
        <v>42978</v>
      </c>
      <c r="AE22" s="471" t="s">
        <v>1826</v>
      </c>
      <c r="AF22" s="471" t="s">
        <v>1827</v>
      </c>
      <c r="AG22" s="472">
        <v>148256</v>
      </c>
      <c r="AH22" s="473">
        <v>41</v>
      </c>
      <c r="AI22" s="474" t="s">
        <v>1375</v>
      </c>
    </row>
    <row r="23" spans="1:35" ht="13.9" customHeight="1" x14ac:dyDescent="0.4">
      <c r="A23" s="463">
        <v>43417</v>
      </c>
      <c r="B23" s="464" t="s">
        <v>2863</v>
      </c>
      <c r="C23" s="464" t="s">
        <v>123</v>
      </c>
      <c r="D23" s="45" t="s">
        <v>2862</v>
      </c>
      <c r="E23" s="435">
        <v>2000</v>
      </c>
      <c r="F23" s="49"/>
      <c r="I23" s="455" t="s">
        <v>134</v>
      </c>
      <c r="J23" s="456">
        <f>W11</f>
        <v>68601.735000000001</v>
      </c>
      <c r="K23" s="454">
        <f>SUM(E121:E805)-J23</f>
        <v>0</v>
      </c>
      <c r="L23" s="454"/>
      <c r="M23" s="454"/>
      <c r="N23" s="454"/>
      <c r="O23" s="454"/>
      <c r="P23" s="454"/>
      <c r="Q23" s="454"/>
      <c r="R23" s="454"/>
      <c r="S23" s="454"/>
      <c r="T23" s="454"/>
      <c r="U23" s="454"/>
      <c r="V23" s="454"/>
      <c r="W23" s="454"/>
      <c r="X23" s="454"/>
      <c r="AD23" s="470">
        <v>42982</v>
      </c>
      <c r="AE23" s="471" t="s">
        <v>1828</v>
      </c>
      <c r="AF23" s="471" t="s">
        <v>1829</v>
      </c>
      <c r="AG23" s="472">
        <v>148035</v>
      </c>
      <c r="AH23" s="476">
        <v>200</v>
      </c>
      <c r="AI23" s="474" t="s">
        <v>1775</v>
      </c>
    </row>
    <row r="24" spans="1:35" ht="14.25" customHeight="1" thickBot="1" x14ac:dyDescent="0.45">
      <c r="A24" s="427"/>
      <c r="B24" s="427"/>
      <c r="C24" s="427"/>
      <c r="D24" s="49"/>
      <c r="E24" s="695"/>
      <c r="F24" s="49"/>
      <c r="I24" s="457" t="s">
        <v>135</v>
      </c>
      <c r="J24" s="458">
        <f>J23-AA11</f>
        <v>-8198.2649999999994</v>
      </c>
      <c r="K24" s="454"/>
      <c r="L24" s="454"/>
      <c r="M24" s="454"/>
      <c r="N24" s="454"/>
      <c r="O24" s="454"/>
      <c r="P24" s="454"/>
      <c r="Q24" s="454"/>
      <c r="R24" s="454"/>
      <c r="S24" s="454"/>
      <c r="T24" s="454"/>
      <c r="U24" s="454"/>
      <c r="V24" s="454"/>
      <c r="W24" s="454"/>
      <c r="X24" s="454"/>
      <c r="AD24" s="470">
        <v>42998</v>
      </c>
      <c r="AE24" s="526" t="s">
        <v>1830</v>
      </c>
      <c r="AF24" s="471" t="s">
        <v>1831</v>
      </c>
      <c r="AG24" s="472" t="s">
        <v>1832</v>
      </c>
      <c r="AH24" s="476">
        <v>200</v>
      </c>
      <c r="AI24" s="49" t="s">
        <v>1775</v>
      </c>
    </row>
    <row r="25" spans="1:35" ht="13.5" customHeight="1" x14ac:dyDescent="0.35"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454"/>
      <c r="U25" s="454"/>
      <c r="V25" s="454"/>
      <c r="W25" s="454"/>
      <c r="X25" s="454"/>
      <c r="AD25" s="470">
        <v>42998</v>
      </c>
      <c r="AE25" s="471" t="s">
        <v>1833</v>
      </c>
      <c r="AF25" s="471" t="s">
        <v>1834</v>
      </c>
      <c r="AG25" s="472" t="s">
        <v>1835</v>
      </c>
      <c r="AH25" s="476">
        <v>200</v>
      </c>
      <c r="AI25" s="474" t="s">
        <v>1836</v>
      </c>
    </row>
    <row r="26" spans="1:35" ht="13.5" customHeight="1" x14ac:dyDescent="0.35">
      <c r="A26" s="463"/>
      <c r="B26" s="464"/>
      <c r="C26" s="464"/>
      <c r="D26" s="49"/>
      <c r="E26" s="695"/>
      <c r="F26" s="49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AD26" s="470">
        <v>43018</v>
      </c>
      <c r="AE26" s="474" t="s">
        <v>1837</v>
      </c>
      <c r="AF26" s="474" t="s">
        <v>1838</v>
      </c>
      <c r="AG26" s="477" t="s">
        <v>1839</v>
      </c>
      <c r="AH26" s="476">
        <v>200</v>
      </c>
      <c r="AI26" s="474" t="s">
        <v>1775</v>
      </c>
    </row>
    <row r="27" spans="1:35" ht="13.15" customHeight="1" x14ac:dyDescent="0.4">
      <c r="B27" s="464"/>
      <c r="D27" s="56"/>
      <c r="E27" s="705"/>
      <c r="F27" s="49"/>
      <c r="I27" s="420" t="s">
        <v>140</v>
      </c>
      <c r="J27" s="557" t="s">
        <v>2864</v>
      </c>
      <c r="K27" s="577" t="s">
        <v>142</v>
      </c>
      <c r="L27" s="577" t="s">
        <v>143</v>
      </c>
      <c r="M27" s="577" t="s">
        <v>144</v>
      </c>
      <c r="N27" s="577" t="s">
        <v>145</v>
      </c>
      <c r="O27" s="577" t="s">
        <v>146</v>
      </c>
      <c r="P27" s="577" t="s">
        <v>147</v>
      </c>
      <c r="Q27" s="577" t="s">
        <v>148</v>
      </c>
      <c r="R27" s="577" t="s">
        <v>149</v>
      </c>
      <c r="S27" s="577" t="s">
        <v>150</v>
      </c>
      <c r="T27" s="577" t="s">
        <v>151</v>
      </c>
      <c r="U27" s="577" t="s">
        <v>152</v>
      </c>
      <c r="V27" s="577" t="s">
        <v>153</v>
      </c>
      <c r="W27" s="423" t="s">
        <v>19</v>
      </c>
      <c r="Y27" s="579" t="s">
        <v>21</v>
      </c>
      <c r="AD27" s="470">
        <v>43018</v>
      </c>
      <c r="AE27" s="474" t="s">
        <v>1840</v>
      </c>
      <c r="AF27" s="474" t="s">
        <v>1841</v>
      </c>
      <c r="AG27" s="477"/>
      <c r="AH27" s="540">
        <v>200</v>
      </c>
      <c r="AI27" s="474" t="s">
        <v>1775</v>
      </c>
    </row>
    <row r="28" spans="1:35" ht="13.5" customHeight="1" x14ac:dyDescent="0.35">
      <c r="A28" s="463">
        <v>43429</v>
      </c>
      <c r="B28" s="464" t="s">
        <v>2865</v>
      </c>
      <c r="C28" s="464" t="s">
        <v>123</v>
      </c>
      <c r="D28" s="49">
        <v>480</v>
      </c>
      <c r="E28" s="695">
        <v>360</v>
      </c>
      <c r="F28" s="49" t="s">
        <v>2866</v>
      </c>
      <c r="G28" s="287" t="s">
        <v>2867</v>
      </c>
      <c r="I28" s="581" t="s">
        <v>28</v>
      </c>
      <c r="J28" s="431"/>
      <c r="K28" s="432">
        <f>K4-'Sales 2017'!I2</f>
        <v>2677.75</v>
      </c>
      <c r="L28" s="432">
        <f>L4-'Sales 2017'!J2</f>
        <v>4237</v>
      </c>
      <c r="M28" s="432">
        <f>M4-'Sales 2017'!K2</f>
        <v>424.44000000000005</v>
      </c>
      <c r="N28" s="432">
        <f>N4-'Sales 2017'!L2</f>
        <v>-1663</v>
      </c>
      <c r="O28" s="432">
        <f ca="1">O4-'Sales 2017'!M2</f>
        <v>-2450.5</v>
      </c>
      <c r="P28" s="432">
        <f ca="1">P4-'Sales 2017'!N2</f>
        <v>369</v>
      </c>
      <c r="Q28" s="432">
        <f ca="1">Q4-'Sales 2017'!O2</f>
        <v>541.5</v>
      </c>
      <c r="R28" s="432">
        <f ca="1">R4-'Sales 2017'!P2</f>
        <v>148</v>
      </c>
      <c r="S28" s="432">
        <f ca="1">S4-'Sales 2017'!Q2</f>
        <v>-3138.25</v>
      </c>
      <c r="T28" s="432">
        <f ca="1">T4-'Sales 2017'!R2</f>
        <v>-3837.5</v>
      </c>
      <c r="U28" s="432">
        <f ca="1">U4-'Sales 2017'!S2</f>
        <v>-3155</v>
      </c>
      <c r="V28" s="432">
        <f ca="1">V4-'Sales 2017'!T2</f>
        <v>-1835</v>
      </c>
      <c r="W28" s="432">
        <f t="shared" ref="W28:W34" ca="1" si="22">SUM(K28:V28)</f>
        <v>-7681.5599999999995</v>
      </c>
      <c r="Y28" s="432">
        <f t="shared" ref="Y28:Y35" ca="1" si="23">SUM(K28:U28)</f>
        <v>-5846.5599999999995</v>
      </c>
      <c r="AD28" s="470">
        <v>43018</v>
      </c>
      <c r="AE28" s="474" t="s">
        <v>1843</v>
      </c>
      <c r="AF28" s="474" t="s">
        <v>1844</v>
      </c>
      <c r="AG28" s="477"/>
      <c r="AH28" s="476">
        <v>200</v>
      </c>
      <c r="AI28" s="474" t="s">
        <v>1775</v>
      </c>
    </row>
    <row r="29" spans="1:35" ht="13.5" customHeight="1" x14ac:dyDescent="0.35">
      <c r="A29" s="463">
        <v>43429</v>
      </c>
      <c r="B29" s="464" t="s">
        <v>2865</v>
      </c>
      <c r="C29" s="464" t="s">
        <v>123</v>
      </c>
      <c r="D29" s="49">
        <v>395</v>
      </c>
      <c r="E29" s="695">
        <v>296.25</v>
      </c>
      <c r="F29" s="49" t="s">
        <v>747</v>
      </c>
      <c r="G29" s="287" t="s">
        <v>2868</v>
      </c>
      <c r="I29" s="581" t="s">
        <v>1274</v>
      </c>
      <c r="J29" s="431"/>
      <c r="K29" s="432">
        <f>K5-'Sales 2017'!I3</f>
        <v>2169.4000000000005</v>
      </c>
      <c r="L29" s="432">
        <f>L5-'Sales 2017'!J3</f>
        <v>1609</v>
      </c>
      <c r="M29" s="432">
        <f>M5-'Sales 2017'!K3</f>
        <v>1720.12</v>
      </c>
      <c r="N29" s="432">
        <f>N5-'Sales 2017'!L3</f>
        <v>1524.6</v>
      </c>
      <c r="O29" s="432">
        <f ca="1">O5-'Sales 2017'!M3</f>
        <v>1887.5</v>
      </c>
      <c r="P29" s="432">
        <f ca="1">P5-'Sales 2017'!N3</f>
        <v>-1100</v>
      </c>
      <c r="Q29" s="432">
        <f ca="1">Q5-'Sales 2017'!O3</f>
        <v>-1017.5</v>
      </c>
      <c r="R29" s="432">
        <f ca="1">R5-'Sales 2017'!P3</f>
        <v>-355</v>
      </c>
      <c r="S29" s="432">
        <f ca="1">S5-'Sales 2017'!Q3</f>
        <v>-121.20000000000073</v>
      </c>
      <c r="T29" s="432">
        <f ca="1">T5-'Sales 2017'!R3</f>
        <v>-633.75000000000045</v>
      </c>
      <c r="U29" s="432">
        <f ca="1">U5-'Sales 2017'!S3</f>
        <v>1467.5500000000002</v>
      </c>
      <c r="V29" s="432">
        <f ca="1">V5-'Sales 2017'!T3</f>
        <v>1644.2</v>
      </c>
      <c r="W29" s="432">
        <f t="shared" ca="1" si="22"/>
        <v>8794.92</v>
      </c>
      <c r="Y29" s="432">
        <f t="shared" ca="1" si="23"/>
        <v>7150.72</v>
      </c>
      <c r="AD29" s="470">
        <v>43018</v>
      </c>
      <c r="AE29" s="426" t="s">
        <v>1845</v>
      </c>
      <c r="AF29" s="474" t="s">
        <v>1846</v>
      </c>
      <c r="AG29" s="477" t="s">
        <v>1847</v>
      </c>
      <c r="AH29" s="476">
        <v>200</v>
      </c>
      <c r="AI29" s="474" t="s">
        <v>1775</v>
      </c>
    </row>
    <row r="30" spans="1:35" ht="13.5" customHeight="1" x14ac:dyDescent="0.35">
      <c r="A30" s="463"/>
      <c r="B30" s="464"/>
      <c r="C30" s="464"/>
      <c r="D30" s="49"/>
      <c r="E30" s="695"/>
      <c r="F30" s="49"/>
      <c r="G30" s="287"/>
      <c r="I30" s="581" t="s">
        <v>1276</v>
      </c>
      <c r="J30" s="431"/>
      <c r="K30" s="432">
        <f>K6-'Sales 2017'!I4</f>
        <v>-131.38999999999999</v>
      </c>
      <c r="L30" s="432">
        <f>L6-'Sales 2017'!J4</f>
        <v>-1460.63</v>
      </c>
      <c r="M30" s="432">
        <f>M6-'Sales 2017'!K4</f>
        <v>-241.3</v>
      </c>
      <c r="N30" s="432">
        <f>N6-'Sales 2017'!L4</f>
        <v>578.04000000000008</v>
      </c>
      <c r="O30" s="432">
        <f ca="1">O6-'Sales 2017'!M4</f>
        <v>-861.08</v>
      </c>
      <c r="P30" s="432">
        <f ca="1">P6-'Sales 2017'!N4</f>
        <v>-342.35</v>
      </c>
      <c r="Q30" s="432">
        <f ca="1">Q6-'Sales 2017'!O4</f>
        <v>-137.0200000000001</v>
      </c>
      <c r="R30" s="432">
        <f ca="1">R6-'Sales 2017'!P4</f>
        <v>66.819999999999936</v>
      </c>
      <c r="S30" s="432">
        <f ca="1">S6-'Sales 2017'!Q4</f>
        <v>-664.35</v>
      </c>
      <c r="T30" s="432">
        <f ca="1">T6-'Sales 2017'!R4</f>
        <v>-738.85</v>
      </c>
      <c r="U30" s="432">
        <f ca="1">U6-'Sales 2017'!S4</f>
        <v>-876.86999999999989</v>
      </c>
      <c r="V30" s="432">
        <f ca="1">V6-'Sales 2017'!T4</f>
        <v>553.65</v>
      </c>
      <c r="W30" s="432">
        <f t="shared" ca="1" si="22"/>
        <v>-4255.33</v>
      </c>
      <c r="Y30" s="432">
        <f t="shared" ca="1" si="23"/>
        <v>-4808.9799999999996</v>
      </c>
      <c r="AD30" s="470">
        <v>43024</v>
      </c>
      <c r="AE30" s="426" t="s">
        <v>1848</v>
      </c>
      <c r="AF30" s="426" t="s">
        <v>1849</v>
      </c>
      <c r="AG30" s="477" t="s">
        <v>1850</v>
      </c>
      <c r="AH30" s="476">
        <v>200</v>
      </c>
      <c r="AI30" s="474" t="s">
        <v>1775</v>
      </c>
    </row>
    <row r="31" spans="1:35" ht="13.9" customHeight="1" x14ac:dyDescent="0.4">
      <c r="A31" s="463"/>
      <c r="B31" s="464"/>
      <c r="C31" s="464"/>
      <c r="D31" s="170"/>
      <c r="E31" s="170"/>
      <c r="F31" s="49"/>
      <c r="I31" s="581" t="s">
        <v>1277</v>
      </c>
      <c r="J31" s="431"/>
      <c r="K31" s="432">
        <f t="shared" ref="K31:V31" si="24">K7</f>
        <v>-443.25</v>
      </c>
      <c r="L31" s="432">
        <f t="shared" si="24"/>
        <v>-451</v>
      </c>
      <c r="M31" s="432">
        <f t="shared" si="24"/>
        <v>-885</v>
      </c>
      <c r="N31" s="432">
        <f t="shared" si="24"/>
        <v>-1896</v>
      </c>
      <c r="O31" s="432">
        <f t="shared" si="24"/>
        <v>-725</v>
      </c>
      <c r="P31" s="432">
        <f t="shared" si="24"/>
        <v>0</v>
      </c>
      <c r="Q31" s="432">
        <f t="shared" si="24"/>
        <v>-357.5</v>
      </c>
      <c r="R31" s="432">
        <f t="shared" si="24"/>
        <v>0</v>
      </c>
      <c r="S31" s="432">
        <f t="shared" si="24"/>
        <v>0</v>
      </c>
      <c r="T31" s="432">
        <f t="shared" si="24"/>
        <v>0</v>
      </c>
      <c r="U31" s="432">
        <f t="shared" si="24"/>
        <v>-471</v>
      </c>
      <c r="V31" s="432">
        <f t="shared" si="24"/>
        <v>-112.5</v>
      </c>
      <c r="W31" s="432">
        <f t="shared" si="22"/>
        <v>-5341.25</v>
      </c>
      <c r="Y31" s="432">
        <f t="shared" si="23"/>
        <v>-5228.75</v>
      </c>
      <c r="AD31" s="470">
        <v>43025</v>
      </c>
      <c r="AE31" s="426" t="s">
        <v>1851</v>
      </c>
      <c r="AF31" s="426" t="s">
        <v>1852</v>
      </c>
      <c r="AH31" s="476">
        <v>200</v>
      </c>
      <c r="AI31" s="426" t="s">
        <v>1853</v>
      </c>
    </row>
    <row r="32" spans="1:35" ht="13.5" customHeight="1" x14ac:dyDescent="0.35">
      <c r="A32" s="463"/>
      <c r="B32" s="464"/>
      <c r="C32" s="464"/>
      <c r="D32" s="49"/>
      <c r="E32" s="695"/>
      <c r="F32" s="49"/>
      <c r="I32" s="581" t="s">
        <v>1278</v>
      </c>
      <c r="J32" s="431"/>
      <c r="K32" s="432">
        <f>K8-'Sales 2017'!I5</f>
        <v>-260</v>
      </c>
      <c r="L32" s="432">
        <f>L8-'Sales 2017'!J5</f>
        <v>140</v>
      </c>
      <c r="M32" s="432">
        <f>M8-'Sales 2017'!K5</f>
        <v>0</v>
      </c>
      <c r="N32" s="432">
        <f>N8-'Sales 2017'!L5</f>
        <v>-20</v>
      </c>
      <c r="O32" s="432">
        <f ca="1">O8-'Sales 2017'!M5</f>
        <v>-600</v>
      </c>
      <c r="P32" s="432">
        <f ca="1">P8-'Sales 2017'!N5</f>
        <v>-42</v>
      </c>
      <c r="Q32" s="432">
        <f ca="1">Q8-'Sales 2017'!O5</f>
        <v>-60</v>
      </c>
      <c r="R32" s="432">
        <f ca="1">R8-'Sales 2017'!P5</f>
        <v>-80</v>
      </c>
      <c r="S32" s="432">
        <f ca="1">S8-'Sales 2017'!Q5</f>
        <v>-100</v>
      </c>
      <c r="T32" s="432">
        <f ca="1">T8-'Sales 2017'!R5</f>
        <v>-60</v>
      </c>
      <c r="U32" s="432">
        <f ca="1">U8-'Sales 2017'!S5</f>
        <v>-40</v>
      </c>
      <c r="V32" s="432">
        <f ca="1">V8-'Sales 2017'!T5</f>
        <v>-20</v>
      </c>
      <c r="W32" s="432">
        <f t="shared" ca="1" si="22"/>
        <v>-1142</v>
      </c>
      <c r="Y32" s="432">
        <f t="shared" ca="1" si="23"/>
        <v>-1122</v>
      </c>
      <c r="AD32" s="470">
        <v>43027</v>
      </c>
      <c r="AE32" s="426" t="s">
        <v>1854</v>
      </c>
      <c r="AF32" s="426" t="s">
        <v>1855</v>
      </c>
      <c r="AG32" s="478" t="s">
        <v>1856</v>
      </c>
      <c r="AH32" s="476">
        <v>150</v>
      </c>
      <c r="AI32" s="474" t="s">
        <v>1775</v>
      </c>
    </row>
    <row r="33" spans="1:35" ht="13.5" customHeight="1" x14ac:dyDescent="0.35">
      <c r="A33" s="463">
        <v>43429</v>
      </c>
      <c r="B33" s="464" t="s">
        <v>2624</v>
      </c>
      <c r="C33" s="464" t="s">
        <v>123</v>
      </c>
      <c r="D33" s="49"/>
      <c r="E33" s="695">
        <v>360</v>
      </c>
      <c r="F33" s="49" t="s">
        <v>2869</v>
      </c>
      <c r="I33" s="582" t="s">
        <v>1279</v>
      </c>
      <c r="J33" s="431"/>
      <c r="K33" s="586">
        <f>K9-'Sales 2017'!I6</f>
        <v>220</v>
      </c>
      <c r="L33" s="586">
        <f>L9-'Sales 2017'!J6</f>
        <v>185</v>
      </c>
      <c r="M33" s="586">
        <f>M9-'Sales 2017'!K6</f>
        <v>-660</v>
      </c>
      <c r="N33" s="586">
        <f>N9-'Sales 2017'!L6</f>
        <v>65</v>
      </c>
      <c r="O33" s="586">
        <f ca="1">O9-'Sales 2017'!M6</f>
        <v>68.75</v>
      </c>
      <c r="P33" s="586">
        <f ca="1">P9-'Sales 2017'!N6</f>
        <v>-1364.15</v>
      </c>
      <c r="Q33" s="586">
        <f ca="1">Q9-'Sales 2017'!O6</f>
        <v>307.75</v>
      </c>
      <c r="R33" s="586">
        <f ca="1">R9-'Sales 2017'!P6</f>
        <v>322</v>
      </c>
      <c r="S33" s="586">
        <f ca="1">S9-'Sales 2017'!Q6</f>
        <v>80</v>
      </c>
      <c r="T33" s="586">
        <f ca="1">T9-'Sales 2017'!R6</f>
        <v>-5</v>
      </c>
      <c r="U33" s="586">
        <f ca="1">U9-'Sales 2017'!S6</f>
        <v>750</v>
      </c>
      <c r="V33" s="586">
        <f ca="1">V9-'Sales 2017'!T6</f>
        <v>-30</v>
      </c>
      <c r="W33" s="432">
        <f t="shared" ca="1" si="22"/>
        <v>-60.650000000000091</v>
      </c>
      <c r="Y33" s="432">
        <f t="shared" ca="1" si="23"/>
        <v>-30.650000000000091</v>
      </c>
      <c r="AD33" s="470"/>
      <c r="AG33" s="478"/>
      <c r="AH33" s="476"/>
      <c r="AI33" s="474"/>
    </row>
    <row r="34" spans="1:35" ht="13.15" customHeight="1" thickBot="1" x14ac:dyDescent="0.4">
      <c r="B34" s="464"/>
      <c r="F34" s="49"/>
      <c r="I34" s="582" t="s">
        <v>2525</v>
      </c>
      <c r="J34" s="431"/>
      <c r="K34" s="586">
        <f>K10-'Sales 2017'!I7</f>
        <v>841.46</v>
      </c>
      <c r="L34" s="586">
        <f>L10-'Sales 2017'!J7</f>
        <v>-337.26</v>
      </c>
      <c r="M34" s="586">
        <f>M10-'Sales 2017'!K7</f>
        <v>553.96</v>
      </c>
      <c r="N34" s="586">
        <f>N10-'Sales 2017'!L7</f>
        <v>-280.79500000000002</v>
      </c>
      <c r="O34" s="586">
        <f ca="1">O10-'Sales 2017'!M7</f>
        <v>831.25</v>
      </c>
      <c r="P34" s="586">
        <f ca="1">P10-'Sales 2017'!N7</f>
        <v>243.17000000000002</v>
      </c>
      <c r="Q34" s="586">
        <f ca="1">Q10-'Sales 2017'!O7</f>
        <v>-22.009999999999998</v>
      </c>
      <c r="R34" s="586">
        <f ca="1">R10-'Sales 2017'!P7</f>
        <v>31.920000000000016</v>
      </c>
      <c r="S34" s="586">
        <f ca="1">S10-'Sales 2017'!Q7</f>
        <v>-433.99</v>
      </c>
      <c r="T34" s="586">
        <f ca="1">T10-'Sales 2017'!R7</f>
        <v>-41.45</v>
      </c>
      <c r="U34" s="586">
        <f ca="1">U10-'Sales 2017'!S7</f>
        <v>120.30999999999997</v>
      </c>
      <c r="V34" s="586">
        <f ca="1">V10-'Sales 2017'!T7</f>
        <v>112.87</v>
      </c>
      <c r="W34" s="432">
        <f t="shared" ca="1" si="22"/>
        <v>1619.4349999999999</v>
      </c>
      <c r="Y34" s="432">
        <f t="shared" ca="1" si="23"/>
        <v>1506.5650000000001</v>
      </c>
      <c r="AD34" s="470">
        <v>43049</v>
      </c>
      <c r="AE34" s="45" t="s">
        <v>1857</v>
      </c>
      <c r="AF34" s="45" t="s">
        <v>1858</v>
      </c>
      <c r="AG34" s="48" t="s">
        <v>1859</v>
      </c>
      <c r="AH34" s="476">
        <v>200</v>
      </c>
      <c r="AI34" s="474" t="s">
        <v>1775</v>
      </c>
    </row>
    <row r="35" spans="1:35" ht="14.65" customHeight="1" thickTop="1" thickBot="1" x14ac:dyDescent="0.45">
      <c r="A35" s="463"/>
      <c r="B35" s="464"/>
      <c r="C35" s="464"/>
      <c r="E35" s="695"/>
      <c r="F35" s="49"/>
      <c r="I35" s="437" t="s">
        <v>63</v>
      </c>
      <c r="J35" s="438"/>
      <c r="K35" s="587">
        <f t="shared" ref="K35:W35" si="25">SUM(K28:K34)</f>
        <v>5073.97</v>
      </c>
      <c r="L35" s="587">
        <f t="shared" si="25"/>
        <v>3922.1099999999997</v>
      </c>
      <c r="M35" s="587">
        <f t="shared" si="25"/>
        <v>912.22</v>
      </c>
      <c r="N35" s="587">
        <f t="shared" si="25"/>
        <v>-1692.1550000000002</v>
      </c>
      <c r="O35" s="587">
        <f t="shared" ca="1" si="25"/>
        <v>-1849.08</v>
      </c>
      <c r="P35" s="587">
        <f t="shared" ca="1" si="25"/>
        <v>-2236.33</v>
      </c>
      <c r="Q35" s="587">
        <f t="shared" ca="1" si="25"/>
        <v>-744.78</v>
      </c>
      <c r="R35" s="587">
        <f t="shared" ca="1" si="25"/>
        <v>133.73999999999995</v>
      </c>
      <c r="S35" s="587">
        <f t="shared" ca="1" si="25"/>
        <v>-4377.7900000000009</v>
      </c>
      <c r="T35" s="587">
        <f t="shared" ca="1" si="25"/>
        <v>-5316.55</v>
      </c>
      <c r="U35" s="587">
        <f t="shared" ca="1" si="25"/>
        <v>-2205.0099999999998</v>
      </c>
      <c r="V35" s="587">
        <f t="shared" ca="1" si="25"/>
        <v>313.22000000000003</v>
      </c>
      <c r="W35" s="587">
        <f t="shared" ca="1" si="25"/>
        <v>-8066.4349999999995</v>
      </c>
      <c r="X35" s="426">
        <f ca="1">W35-W11+W13</f>
        <v>0</v>
      </c>
      <c r="Y35" s="432">
        <f t="shared" ca="1" si="23"/>
        <v>-8379.6550000000025</v>
      </c>
      <c r="AD35" s="470">
        <v>43054</v>
      </c>
      <c r="AE35" s="426" t="s">
        <v>1862</v>
      </c>
      <c r="AF35" s="426" t="s">
        <v>1863</v>
      </c>
      <c r="AG35" s="48" t="s">
        <v>1864</v>
      </c>
      <c r="AH35" s="476">
        <v>200</v>
      </c>
      <c r="AI35" s="474" t="s">
        <v>1775</v>
      </c>
    </row>
    <row r="36" spans="1:35" ht="13.9" customHeight="1" thickTop="1" x14ac:dyDescent="0.35">
      <c r="A36" s="463"/>
      <c r="B36" s="464"/>
      <c r="C36" s="464"/>
      <c r="E36" s="695"/>
      <c r="F36" s="49"/>
      <c r="AD36" s="470">
        <v>43057</v>
      </c>
      <c r="AE36" s="45" t="s">
        <v>1865</v>
      </c>
      <c r="AF36" s="45" t="s">
        <v>1866</v>
      </c>
      <c r="AG36" s="48" t="s">
        <v>1867</v>
      </c>
      <c r="AH36" s="476">
        <v>135</v>
      </c>
      <c r="AI36" s="45" t="s">
        <v>1141</v>
      </c>
    </row>
    <row r="37" spans="1:35" ht="13.9" customHeight="1" x14ac:dyDescent="0.4">
      <c r="A37" s="463"/>
      <c r="B37" s="464"/>
      <c r="C37" s="464"/>
      <c r="D37" s="48"/>
      <c r="E37" s="465"/>
      <c r="F37" s="49"/>
      <c r="I37" s="420" t="s">
        <v>140</v>
      </c>
      <c r="J37" s="557" t="s">
        <v>154</v>
      </c>
      <c r="K37" s="577" t="s">
        <v>142</v>
      </c>
      <c r="L37" s="577" t="s">
        <v>143</v>
      </c>
      <c r="M37" s="577" t="s">
        <v>144</v>
      </c>
      <c r="N37" s="577" t="s">
        <v>145</v>
      </c>
      <c r="O37" s="577" t="s">
        <v>146</v>
      </c>
      <c r="P37" s="577" t="s">
        <v>147</v>
      </c>
      <c r="Q37" s="577" t="s">
        <v>148</v>
      </c>
      <c r="R37" s="577" t="s">
        <v>149</v>
      </c>
      <c r="S37" s="577" t="s">
        <v>150</v>
      </c>
      <c r="T37" s="577" t="s">
        <v>151</v>
      </c>
      <c r="U37" s="577" t="s">
        <v>152</v>
      </c>
      <c r="V37" s="577" t="s">
        <v>153</v>
      </c>
      <c r="W37" s="577" t="s">
        <v>19</v>
      </c>
      <c r="AD37" s="470">
        <v>43066</v>
      </c>
      <c r="AE37" s="426" t="s">
        <v>1868</v>
      </c>
      <c r="AF37" s="426" t="s">
        <v>1869</v>
      </c>
      <c r="AG37" s="48" t="s">
        <v>1870</v>
      </c>
      <c r="AH37" s="476">
        <v>200</v>
      </c>
      <c r="AI37" s="48" t="s">
        <v>1871</v>
      </c>
    </row>
    <row r="38" spans="1:35" ht="15" customHeight="1" x14ac:dyDescent="0.35">
      <c r="A38" s="463"/>
      <c r="B38" s="464"/>
      <c r="C38" s="464"/>
      <c r="E38" s="695"/>
      <c r="F38" s="639"/>
      <c r="I38" s="581" t="s">
        <v>28</v>
      </c>
      <c r="J38" s="431"/>
      <c r="K38" s="432">
        <f t="shared" ref="K38:K44" si="26">COUNTIF(C$594:C$663,I38)</f>
        <v>37</v>
      </c>
      <c r="L38" s="432">
        <f t="shared" ref="L38:L44" si="27">COUNTIF(C$520:C$593,I38)</f>
        <v>39</v>
      </c>
      <c r="M38" s="432">
        <f t="shared" ref="M38:M44" si="28">COUNTIF(C$456:C$519,I38)</f>
        <v>21</v>
      </c>
      <c r="N38" s="432">
        <f t="shared" ref="N38:N44" si="29">COUNTIF(C$373:C$454,$I38)</f>
        <v>26</v>
      </c>
      <c r="O38" s="432">
        <f t="shared" ref="O38:O44" si="30">COUNTIF(C$377:C$414,$I38)</f>
        <v>13</v>
      </c>
      <c r="P38" s="432">
        <f t="shared" ref="P38:P44" si="31">COUNTIF(C$348:C$375,$I38)</f>
        <v>10</v>
      </c>
      <c r="Q38" s="432">
        <f t="shared" ref="Q38:Q44" si="32">COUNTIF(C$319:C$346,$I38)</f>
        <v>8</v>
      </c>
      <c r="R38" s="432">
        <f t="shared" ref="R38:R44" si="33">COUNTIF(C$284:C$317,$I38)</f>
        <v>12</v>
      </c>
      <c r="S38" s="432">
        <f t="shared" ref="S38:S44" si="34">COUNTIF(C$244:C$282,$I38)</f>
        <v>11</v>
      </c>
      <c r="T38" s="432">
        <f t="shared" ref="T38:T44" si="35">COUNTIF(C$207:C$242,$I38)</f>
        <v>7</v>
      </c>
      <c r="U38" s="432">
        <f t="shared" ref="U38:U44" si="36">COUNTIF(C$161:C$205,$I38)</f>
        <v>18</v>
      </c>
      <c r="V38" s="432">
        <f t="shared" ref="V38:V44" si="37">COUNTIF(C$121:C$159,$I38)</f>
        <v>9</v>
      </c>
      <c r="W38" s="431">
        <f t="shared" ref="W38:W44" si="38">SUM(K38:V38)</f>
        <v>211</v>
      </c>
      <c r="AD38" s="470">
        <v>43066</v>
      </c>
      <c r="AE38" s="426" t="s">
        <v>1872</v>
      </c>
      <c r="AF38" s="426" t="s">
        <v>1873</v>
      </c>
      <c r="AG38" s="48" t="s">
        <v>1874</v>
      </c>
      <c r="AH38" s="476">
        <v>150</v>
      </c>
      <c r="AI38" s="45" t="s">
        <v>1875</v>
      </c>
    </row>
    <row r="39" spans="1:35" ht="13.5" customHeight="1" x14ac:dyDescent="0.35">
      <c r="A39" s="463"/>
      <c r="B39" s="464"/>
      <c r="C39" s="464"/>
      <c r="E39" s="465"/>
      <c r="F39" s="464"/>
      <c r="I39" s="581" t="s">
        <v>1274</v>
      </c>
      <c r="J39" s="431"/>
      <c r="K39" s="432">
        <f t="shared" si="26"/>
        <v>17</v>
      </c>
      <c r="L39" s="432">
        <f t="shared" si="27"/>
        <v>22</v>
      </c>
      <c r="M39" s="432">
        <f t="shared" si="28"/>
        <v>20</v>
      </c>
      <c r="N39" s="432">
        <f t="shared" si="29"/>
        <v>36</v>
      </c>
      <c r="O39" s="432">
        <f t="shared" si="30"/>
        <v>17</v>
      </c>
      <c r="P39" s="432">
        <f t="shared" si="31"/>
        <v>10</v>
      </c>
      <c r="Q39" s="432">
        <f t="shared" si="32"/>
        <v>10</v>
      </c>
      <c r="R39" s="432">
        <f t="shared" si="33"/>
        <v>10</v>
      </c>
      <c r="S39" s="432">
        <f t="shared" si="34"/>
        <v>21</v>
      </c>
      <c r="T39" s="432">
        <f t="shared" si="35"/>
        <v>24</v>
      </c>
      <c r="U39" s="432">
        <f t="shared" si="36"/>
        <v>12</v>
      </c>
      <c r="V39" s="432">
        <f t="shared" si="37"/>
        <v>10</v>
      </c>
      <c r="W39" s="431">
        <f t="shared" si="38"/>
        <v>209</v>
      </c>
      <c r="AD39" s="470">
        <v>43066</v>
      </c>
      <c r="AE39" s="426" t="s">
        <v>1876</v>
      </c>
      <c r="AF39" s="45" t="s">
        <v>1877</v>
      </c>
      <c r="AG39" s="48" t="s">
        <v>1878</v>
      </c>
      <c r="AH39" s="476">
        <v>200</v>
      </c>
      <c r="AI39" s="474" t="s">
        <v>1775</v>
      </c>
    </row>
    <row r="40" spans="1:35" ht="13.5" customHeight="1" x14ac:dyDescent="0.35">
      <c r="A40" s="463"/>
      <c r="B40" s="464"/>
      <c r="C40" s="464"/>
      <c r="E40" s="465"/>
      <c r="F40" s="464"/>
      <c r="I40" s="581" t="s">
        <v>1276</v>
      </c>
      <c r="J40" s="431"/>
      <c r="K40" s="432">
        <f t="shared" si="26"/>
        <v>2</v>
      </c>
      <c r="L40" s="432">
        <f t="shared" si="27"/>
        <v>2</v>
      </c>
      <c r="M40" s="432">
        <f t="shared" si="28"/>
        <v>1</v>
      </c>
      <c r="N40" s="432">
        <f t="shared" si="29"/>
        <v>4</v>
      </c>
      <c r="O40" s="432">
        <f t="shared" si="30"/>
        <v>1</v>
      </c>
      <c r="P40" s="432">
        <f t="shared" si="31"/>
        <v>1</v>
      </c>
      <c r="Q40" s="432">
        <f t="shared" si="32"/>
        <v>3</v>
      </c>
      <c r="R40" s="432">
        <f t="shared" si="33"/>
        <v>4</v>
      </c>
      <c r="S40" s="432">
        <f t="shared" si="34"/>
        <v>2</v>
      </c>
      <c r="T40" s="432">
        <f t="shared" si="35"/>
        <v>1</v>
      </c>
      <c r="U40" s="432">
        <f t="shared" si="36"/>
        <v>4</v>
      </c>
      <c r="V40" s="432">
        <f t="shared" si="37"/>
        <v>1</v>
      </c>
      <c r="W40" s="431">
        <f t="shared" si="38"/>
        <v>26</v>
      </c>
      <c r="AD40" s="470">
        <v>43068</v>
      </c>
      <c r="AE40" s="426" t="s">
        <v>1879</v>
      </c>
      <c r="AF40" s="426" t="s">
        <v>1880</v>
      </c>
      <c r="AG40" s="48" t="s">
        <v>1881</v>
      </c>
      <c r="AH40" s="476">
        <v>200</v>
      </c>
      <c r="AI40" s="45" t="s">
        <v>1775</v>
      </c>
    </row>
    <row r="41" spans="1:35" ht="13.5" customHeight="1" x14ac:dyDescent="0.35">
      <c r="A41" s="463"/>
      <c r="B41" s="464"/>
      <c r="C41" s="464"/>
      <c r="E41" s="465"/>
      <c r="F41" s="464"/>
      <c r="I41" s="581" t="s">
        <v>1277</v>
      </c>
      <c r="J41" s="431"/>
      <c r="K41" s="432">
        <f t="shared" si="26"/>
        <v>3</v>
      </c>
      <c r="L41" s="432">
        <f t="shared" si="27"/>
        <v>1</v>
      </c>
      <c r="M41" s="432">
        <f t="shared" si="28"/>
        <v>3</v>
      </c>
      <c r="N41" s="432">
        <f t="shared" si="29"/>
        <v>3</v>
      </c>
      <c r="O41" s="432">
        <f t="shared" si="30"/>
        <v>1</v>
      </c>
      <c r="P41" s="432">
        <f t="shared" si="31"/>
        <v>0</v>
      </c>
      <c r="Q41" s="432">
        <f t="shared" si="32"/>
        <v>1</v>
      </c>
      <c r="R41" s="432">
        <f t="shared" si="33"/>
        <v>0</v>
      </c>
      <c r="S41" s="432">
        <f t="shared" si="34"/>
        <v>0</v>
      </c>
      <c r="T41" s="432">
        <f t="shared" si="35"/>
        <v>0</v>
      </c>
      <c r="U41" s="432">
        <f t="shared" si="36"/>
        <v>2</v>
      </c>
      <c r="V41" s="432">
        <f t="shared" si="37"/>
        <v>1</v>
      </c>
      <c r="W41" s="431">
        <f t="shared" si="38"/>
        <v>15</v>
      </c>
      <c r="AD41" s="470"/>
      <c r="AG41" s="48"/>
      <c r="AI41" s="45"/>
    </row>
    <row r="42" spans="1:35" ht="13.5" customHeight="1" x14ac:dyDescent="0.35">
      <c r="A42" s="463"/>
      <c r="B42" s="45"/>
      <c r="C42" s="464"/>
      <c r="D42" s="45"/>
      <c r="E42" s="465"/>
      <c r="F42" s="464"/>
      <c r="I42" s="581" t="s">
        <v>1278</v>
      </c>
      <c r="J42" s="431"/>
      <c r="K42" s="432">
        <f t="shared" si="26"/>
        <v>1</v>
      </c>
      <c r="L42" s="432">
        <f t="shared" si="27"/>
        <v>4</v>
      </c>
      <c r="M42" s="432">
        <f t="shared" si="28"/>
        <v>3</v>
      </c>
      <c r="N42" s="432">
        <f t="shared" si="29"/>
        <v>4</v>
      </c>
      <c r="O42" s="432">
        <f t="shared" si="30"/>
        <v>2</v>
      </c>
      <c r="P42" s="432">
        <f t="shared" si="31"/>
        <v>1</v>
      </c>
      <c r="Q42" s="432">
        <f t="shared" si="32"/>
        <v>2</v>
      </c>
      <c r="R42" s="432">
        <f t="shared" si="33"/>
        <v>2</v>
      </c>
      <c r="S42" s="432">
        <f t="shared" si="34"/>
        <v>2</v>
      </c>
      <c r="T42" s="432">
        <f t="shared" si="35"/>
        <v>1</v>
      </c>
      <c r="U42" s="432">
        <f t="shared" si="36"/>
        <v>1</v>
      </c>
      <c r="V42" s="432">
        <f t="shared" si="37"/>
        <v>1</v>
      </c>
      <c r="W42" s="431">
        <f t="shared" si="38"/>
        <v>24</v>
      </c>
      <c r="AD42" s="548">
        <v>43069</v>
      </c>
      <c r="AE42" s="426" t="s">
        <v>1882</v>
      </c>
      <c r="AF42" s="426" t="s">
        <v>1883</v>
      </c>
      <c r="AG42" s="48" t="s">
        <v>1884</v>
      </c>
      <c r="AH42" s="476">
        <v>200</v>
      </c>
      <c r="AI42" s="45" t="s">
        <v>1775</v>
      </c>
    </row>
    <row r="43" spans="1:35" ht="13.5" customHeight="1" x14ac:dyDescent="0.35">
      <c r="A43" s="463"/>
      <c r="B43" s="464"/>
      <c r="C43" s="464"/>
      <c r="E43" s="465"/>
      <c r="F43" s="462"/>
      <c r="I43" s="582" t="s">
        <v>1279</v>
      </c>
      <c r="J43" s="431"/>
      <c r="K43" s="432">
        <f t="shared" si="26"/>
        <v>3</v>
      </c>
      <c r="L43" s="432">
        <f t="shared" si="27"/>
        <v>2</v>
      </c>
      <c r="M43" s="432">
        <f t="shared" si="28"/>
        <v>1</v>
      </c>
      <c r="N43" s="432">
        <f t="shared" si="29"/>
        <v>4</v>
      </c>
      <c r="O43" s="432">
        <f t="shared" si="30"/>
        <v>3</v>
      </c>
      <c r="P43" s="432">
        <f t="shared" si="31"/>
        <v>2</v>
      </c>
      <c r="Q43" s="432">
        <f t="shared" si="32"/>
        <v>3</v>
      </c>
      <c r="R43" s="432">
        <f t="shared" si="33"/>
        <v>3</v>
      </c>
      <c r="S43" s="432">
        <f t="shared" si="34"/>
        <v>2</v>
      </c>
      <c r="T43" s="432">
        <f t="shared" si="35"/>
        <v>2</v>
      </c>
      <c r="U43" s="432">
        <f t="shared" si="36"/>
        <v>4</v>
      </c>
      <c r="V43" s="432">
        <f t="shared" si="37"/>
        <v>1</v>
      </c>
      <c r="W43" s="431">
        <f t="shared" si="38"/>
        <v>30</v>
      </c>
      <c r="AD43" s="470">
        <v>43081</v>
      </c>
      <c r="AE43" s="426" t="s">
        <v>676</v>
      </c>
      <c r="AF43" s="45" t="s">
        <v>1885</v>
      </c>
      <c r="AG43" s="48" t="s">
        <v>1886</v>
      </c>
      <c r="AH43" s="476">
        <v>200</v>
      </c>
      <c r="AI43" s="49" t="s">
        <v>1267</v>
      </c>
    </row>
    <row r="44" spans="1:35" x14ac:dyDescent="0.35">
      <c r="B44" s="464"/>
      <c r="C44" s="464"/>
      <c r="E44" s="465"/>
      <c r="F44" s="464"/>
      <c r="I44" s="582" t="s">
        <v>2525</v>
      </c>
      <c r="J44" s="431"/>
      <c r="K44" s="432">
        <f t="shared" si="26"/>
        <v>7</v>
      </c>
      <c r="L44" s="432">
        <f t="shared" si="27"/>
        <v>3</v>
      </c>
      <c r="M44" s="432">
        <f t="shared" si="28"/>
        <v>14</v>
      </c>
      <c r="N44" s="432">
        <f t="shared" si="29"/>
        <v>2</v>
      </c>
      <c r="O44" s="432">
        <f t="shared" si="30"/>
        <v>1</v>
      </c>
      <c r="P44" s="432">
        <f t="shared" si="31"/>
        <v>4</v>
      </c>
      <c r="Q44" s="432">
        <f t="shared" si="32"/>
        <v>1</v>
      </c>
      <c r="R44" s="432">
        <f t="shared" si="33"/>
        <v>3</v>
      </c>
      <c r="S44" s="432">
        <f t="shared" si="34"/>
        <v>1</v>
      </c>
      <c r="T44" s="432">
        <f t="shared" si="35"/>
        <v>1</v>
      </c>
      <c r="U44" s="432">
        <f t="shared" si="36"/>
        <v>4</v>
      </c>
      <c r="V44" s="432">
        <f t="shared" si="37"/>
        <v>12</v>
      </c>
      <c r="W44" s="431">
        <f t="shared" si="38"/>
        <v>53</v>
      </c>
      <c r="AD44" s="470">
        <v>43090</v>
      </c>
      <c r="AE44" s="45" t="s">
        <v>1887</v>
      </c>
      <c r="AF44" s="45" t="s">
        <v>1888</v>
      </c>
      <c r="AG44" s="48" t="s">
        <v>1889</v>
      </c>
      <c r="AH44" s="476">
        <v>50</v>
      </c>
      <c r="AI44" s="49" t="s">
        <v>1141</v>
      </c>
    </row>
    <row r="45" spans="1:35" ht="13.9" customHeight="1" x14ac:dyDescent="0.4">
      <c r="A45" s="463"/>
      <c r="B45" s="464"/>
      <c r="C45" s="464"/>
      <c r="E45" s="465"/>
      <c r="F45" s="464"/>
      <c r="I45" s="437" t="s">
        <v>63</v>
      </c>
      <c r="J45" s="438"/>
      <c r="K45" s="439">
        <f t="shared" ref="K45:W45" si="39">SUM(K38:K44)</f>
        <v>70</v>
      </c>
      <c r="L45" s="439">
        <f t="shared" si="39"/>
        <v>73</v>
      </c>
      <c r="M45" s="439">
        <f t="shared" si="39"/>
        <v>63</v>
      </c>
      <c r="N45" s="439">
        <f t="shared" si="39"/>
        <v>79</v>
      </c>
      <c r="O45" s="439">
        <f t="shared" si="39"/>
        <v>38</v>
      </c>
      <c r="P45" s="439">
        <f t="shared" si="39"/>
        <v>28</v>
      </c>
      <c r="Q45" s="439">
        <f t="shared" si="39"/>
        <v>28</v>
      </c>
      <c r="R45" s="439">
        <f t="shared" si="39"/>
        <v>34</v>
      </c>
      <c r="S45" s="439">
        <f t="shared" si="39"/>
        <v>39</v>
      </c>
      <c r="T45" s="439">
        <f t="shared" si="39"/>
        <v>36</v>
      </c>
      <c r="U45" s="439">
        <f t="shared" si="39"/>
        <v>45</v>
      </c>
      <c r="V45" s="439">
        <f t="shared" si="39"/>
        <v>35</v>
      </c>
      <c r="W45" s="438">
        <f t="shared" si="39"/>
        <v>568</v>
      </c>
      <c r="AD45" s="470">
        <v>43091</v>
      </c>
      <c r="AE45" s="45" t="s">
        <v>1681</v>
      </c>
      <c r="AF45" s="45" t="s">
        <v>1890</v>
      </c>
      <c r="AG45" s="48" t="s">
        <v>1891</v>
      </c>
      <c r="AH45" s="476">
        <v>200</v>
      </c>
      <c r="AI45" s="49" t="s">
        <v>496</v>
      </c>
    </row>
    <row r="46" spans="1:35" ht="13.5" customHeight="1" x14ac:dyDescent="0.35">
      <c r="A46" s="463"/>
      <c r="B46" s="464"/>
      <c r="C46" s="464"/>
      <c r="D46" s="463"/>
      <c r="E46" s="465"/>
      <c r="F46" s="464"/>
      <c r="AD46" s="470">
        <v>43109</v>
      </c>
      <c r="AE46" s="426" t="s">
        <v>1892</v>
      </c>
      <c r="AF46" s="45" t="s">
        <v>1893</v>
      </c>
      <c r="AG46" s="48" t="s">
        <v>1894</v>
      </c>
      <c r="AH46" s="476">
        <v>200</v>
      </c>
      <c r="AI46" s="49" t="s">
        <v>1775</v>
      </c>
    </row>
    <row r="47" spans="1:35" ht="13.15" customHeight="1" x14ac:dyDescent="0.4">
      <c r="I47" s="420" t="s">
        <v>140</v>
      </c>
      <c r="J47" s="557" t="s">
        <v>155</v>
      </c>
      <c r="K47" s="577" t="s">
        <v>142</v>
      </c>
      <c r="L47" s="577" t="s">
        <v>143</v>
      </c>
      <c r="M47" s="577" t="s">
        <v>144</v>
      </c>
      <c r="N47" s="577" t="s">
        <v>145</v>
      </c>
      <c r="O47" s="577" t="s">
        <v>146</v>
      </c>
      <c r="P47" s="577" t="s">
        <v>147</v>
      </c>
      <c r="Q47" s="577" t="s">
        <v>148</v>
      </c>
      <c r="R47" s="577" t="s">
        <v>149</v>
      </c>
      <c r="S47" s="577" t="s">
        <v>150</v>
      </c>
      <c r="T47" s="577" t="s">
        <v>151</v>
      </c>
      <c r="U47" s="577" t="s">
        <v>152</v>
      </c>
      <c r="V47" s="577" t="s">
        <v>153</v>
      </c>
      <c r="W47" s="577" t="s">
        <v>19</v>
      </c>
      <c r="AD47" s="470">
        <v>43116</v>
      </c>
      <c r="AE47" s="426" t="s">
        <v>1895</v>
      </c>
      <c r="AF47" s="45" t="s">
        <v>1896</v>
      </c>
      <c r="AG47" s="48" t="s">
        <v>1897</v>
      </c>
      <c r="AH47" s="476">
        <v>200</v>
      </c>
      <c r="AI47" s="49" t="s">
        <v>1775</v>
      </c>
    </row>
    <row r="48" spans="1:35" ht="13.5" customHeight="1" x14ac:dyDescent="0.35">
      <c r="A48" s="463"/>
      <c r="B48" s="464"/>
      <c r="C48" s="464"/>
      <c r="E48" s="465"/>
      <c r="F48" s="464"/>
      <c r="I48" s="581" t="s">
        <v>28</v>
      </c>
      <c r="J48" s="431"/>
      <c r="K48" s="432">
        <f t="shared" ref="K48:W48" si="40">IFERROR(K4/K38,0)</f>
        <v>122.69594594594595</v>
      </c>
      <c r="L48" s="432">
        <f t="shared" si="40"/>
        <v>171.30769230769232</v>
      </c>
      <c r="M48" s="432">
        <f t="shared" si="40"/>
        <v>118.25476190476191</v>
      </c>
      <c r="N48" s="432">
        <f t="shared" si="40"/>
        <v>55.730769230769234</v>
      </c>
      <c r="O48" s="432">
        <f t="shared" si="40"/>
        <v>19.53846153846154</v>
      </c>
      <c r="P48" s="432">
        <f t="shared" si="40"/>
        <v>118.2</v>
      </c>
      <c r="Q48" s="432">
        <f t="shared" si="40"/>
        <v>165.875</v>
      </c>
      <c r="R48" s="432">
        <f t="shared" si="40"/>
        <v>66</v>
      </c>
      <c r="S48" s="432">
        <f t="shared" si="40"/>
        <v>113.79545454545455</v>
      </c>
      <c r="T48" s="432">
        <f t="shared" si="40"/>
        <v>70</v>
      </c>
      <c r="U48" s="432">
        <f t="shared" si="40"/>
        <v>152.02777777777777</v>
      </c>
      <c r="V48" s="432">
        <f t="shared" si="40"/>
        <v>94.777777777777771</v>
      </c>
      <c r="W48" s="431">
        <f t="shared" si="40"/>
        <v>113.93056872037914</v>
      </c>
      <c r="AD48" s="470">
        <v>43129</v>
      </c>
      <c r="AE48" s="45" t="s">
        <v>1898</v>
      </c>
      <c r="AF48" s="45" t="s">
        <v>1899</v>
      </c>
      <c r="AG48" s="48" t="s">
        <v>1900</v>
      </c>
      <c r="AH48" s="257">
        <v>-159</v>
      </c>
      <c r="AI48" s="474"/>
    </row>
    <row r="49" spans="9:35" x14ac:dyDescent="0.35">
      <c r="I49" s="581" t="s">
        <v>1274</v>
      </c>
      <c r="J49" s="431"/>
      <c r="K49" s="432">
        <f t="shared" ref="K49:W49" si="41">IFERROR(K5/K39,0)</f>
        <v>151.87647058823532</v>
      </c>
      <c r="L49" s="432">
        <f t="shared" si="41"/>
        <v>147.59090909090909</v>
      </c>
      <c r="M49" s="432">
        <f t="shared" si="41"/>
        <v>199.625</v>
      </c>
      <c r="N49" s="432">
        <f t="shared" si="41"/>
        <v>99.305555555555557</v>
      </c>
      <c r="O49" s="432">
        <f t="shared" si="41"/>
        <v>164.70588235294119</v>
      </c>
      <c r="P49" s="432">
        <f t="shared" si="41"/>
        <v>89</v>
      </c>
      <c r="Q49" s="432">
        <f t="shared" si="41"/>
        <v>70.25</v>
      </c>
      <c r="R49" s="432">
        <f t="shared" si="41"/>
        <v>250.5</v>
      </c>
      <c r="S49" s="432">
        <f t="shared" si="41"/>
        <v>179.0952380952381</v>
      </c>
      <c r="T49" s="432">
        <f t="shared" si="41"/>
        <v>109.79166666666667</v>
      </c>
      <c r="U49" s="432">
        <f t="shared" si="41"/>
        <v>295.87916666666666</v>
      </c>
      <c r="V49" s="432">
        <f t="shared" si="41"/>
        <v>188</v>
      </c>
      <c r="W49" s="431">
        <f t="shared" si="41"/>
        <v>153.68636363636364</v>
      </c>
      <c r="AD49" s="470">
        <v>43140</v>
      </c>
      <c r="AE49" s="45" t="s">
        <v>1901</v>
      </c>
      <c r="AF49" s="426" t="s">
        <v>1902</v>
      </c>
      <c r="AG49" s="48" t="s">
        <v>1903</v>
      </c>
      <c r="AH49" s="476">
        <v>200</v>
      </c>
      <c r="AI49" s="45" t="s">
        <v>1267</v>
      </c>
    </row>
    <row r="50" spans="9:35" x14ac:dyDescent="0.35">
      <c r="I50" s="581" t="s">
        <v>1276</v>
      </c>
      <c r="J50" s="431"/>
      <c r="K50" s="432">
        <f t="shared" ref="K50:W50" si="42">IFERROR(K6/K40,0)</f>
        <v>103.80500000000001</v>
      </c>
      <c r="L50" s="432">
        <f t="shared" si="42"/>
        <v>243.685</v>
      </c>
      <c r="M50" s="432">
        <f t="shared" si="42"/>
        <v>268</v>
      </c>
      <c r="N50" s="432">
        <f t="shared" si="42"/>
        <v>273.40750000000003</v>
      </c>
      <c r="O50" s="432">
        <f t="shared" si="42"/>
        <v>93.63</v>
      </c>
      <c r="P50" s="432">
        <f t="shared" si="42"/>
        <v>348.63</v>
      </c>
      <c r="Q50" s="432">
        <f t="shared" si="42"/>
        <v>214.54333333333332</v>
      </c>
      <c r="R50" s="432">
        <f t="shared" si="42"/>
        <v>198.2825</v>
      </c>
      <c r="S50" s="432">
        <f t="shared" si="42"/>
        <v>434.315</v>
      </c>
      <c r="T50" s="432">
        <f t="shared" si="42"/>
        <v>493.63</v>
      </c>
      <c r="U50" s="432">
        <f t="shared" si="42"/>
        <v>340.28250000000003</v>
      </c>
      <c r="V50" s="432">
        <f t="shared" si="42"/>
        <v>861.13</v>
      </c>
      <c r="W50" s="431">
        <f t="shared" si="42"/>
        <v>289.23653846153849</v>
      </c>
      <c r="AD50" s="470">
        <v>43144</v>
      </c>
      <c r="AE50" s="426" t="s">
        <v>1904</v>
      </c>
      <c r="AF50" s="426" t="s">
        <v>1905</v>
      </c>
      <c r="AG50" s="48" t="s">
        <v>1906</v>
      </c>
      <c r="AH50" s="476">
        <v>200</v>
      </c>
      <c r="AI50" s="45" t="s">
        <v>1267</v>
      </c>
    </row>
    <row r="51" spans="9:35" x14ac:dyDescent="0.35">
      <c r="I51" s="581" t="s">
        <v>1277</v>
      </c>
      <c r="J51" s="431"/>
      <c r="K51" s="432">
        <f t="shared" ref="K51:W51" si="43">IFERROR(K7/K41,0)</f>
        <v>-147.75</v>
      </c>
      <c r="L51" s="432">
        <f t="shared" si="43"/>
        <v>-451</v>
      </c>
      <c r="M51" s="432">
        <f t="shared" si="43"/>
        <v>-295</v>
      </c>
      <c r="N51" s="432">
        <f t="shared" si="43"/>
        <v>-632</v>
      </c>
      <c r="O51" s="432">
        <f t="shared" si="43"/>
        <v>-725</v>
      </c>
      <c r="P51" s="432">
        <f t="shared" si="43"/>
        <v>0</v>
      </c>
      <c r="Q51" s="432">
        <f t="shared" si="43"/>
        <v>-357.5</v>
      </c>
      <c r="R51" s="432">
        <f t="shared" si="43"/>
        <v>0</v>
      </c>
      <c r="S51" s="432">
        <f t="shared" si="43"/>
        <v>0</v>
      </c>
      <c r="T51" s="432">
        <f t="shared" si="43"/>
        <v>0</v>
      </c>
      <c r="U51" s="432">
        <f t="shared" si="43"/>
        <v>-235.5</v>
      </c>
      <c r="V51" s="432">
        <f t="shared" si="43"/>
        <v>-112.5</v>
      </c>
      <c r="W51" s="431">
        <f t="shared" si="43"/>
        <v>-356.08333333333331</v>
      </c>
      <c r="AD51" s="470">
        <v>43144</v>
      </c>
      <c r="AE51" s="426" t="s">
        <v>1907</v>
      </c>
      <c r="AF51" s="45" t="s">
        <v>1908</v>
      </c>
      <c r="AG51" s="48" t="s">
        <v>1909</v>
      </c>
      <c r="AH51" s="476">
        <v>200</v>
      </c>
      <c r="AI51" s="45" t="s">
        <v>1267</v>
      </c>
    </row>
    <row r="52" spans="9:35" x14ac:dyDescent="0.35">
      <c r="I52" s="581" t="s">
        <v>1278</v>
      </c>
      <c r="J52" s="431"/>
      <c r="K52" s="432">
        <f t="shared" ref="K52:W52" si="44">IFERROR(K8/K42,0)</f>
        <v>60</v>
      </c>
      <c r="L52" s="432">
        <f t="shared" si="44"/>
        <v>70</v>
      </c>
      <c r="M52" s="432">
        <f t="shared" si="44"/>
        <v>26.666666666666668</v>
      </c>
      <c r="N52" s="432">
        <f t="shared" si="44"/>
        <v>20</v>
      </c>
      <c r="O52" s="432">
        <f t="shared" si="44"/>
        <v>60</v>
      </c>
      <c r="P52" s="432">
        <f t="shared" si="44"/>
        <v>80</v>
      </c>
      <c r="Q52" s="432">
        <f t="shared" si="44"/>
        <v>40</v>
      </c>
      <c r="R52" s="432">
        <f t="shared" si="44"/>
        <v>140</v>
      </c>
      <c r="S52" s="432">
        <f t="shared" si="44"/>
        <v>30</v>
      </c>
      <c r="T52" s="432">
        <f t="shared" si="44"/>
        <v>40</v>
      </c>
      <c r="U52" s="432">
        <f t="shared" si="44"/>
        <v>40</v>
      </c>
      <c r="V52" s="432">
        <f t="shared" si="44"/>
        <v>40</v>
      </c>
      <c r="W52" s="431">
        <f t="shared" si="44"/>
        <v>51.666666666666664</v>
      </c>
      <c r="AD52" s="470">
        <v>43145</v>
      </c>
      <c r="AE52" s="426" t="s">
        <v>1910</v>
      </c>
      <c r="AF52" s="45" t="s">
        <v>1911</v>
      </c>
      <c r="AG52" s="48" t="s">
        <v>1912</v>
      </c>
      <c r="AH52" s="476">
        <v>200</v>
      </c>
      <c r="AI52" s="45" t="s">
        <v>1775</v>
      </c>
    </row>
    <row r="53" spans="9:35" x14ac:dyDescent="0.35">
      <c r="I53" s="582" t="s">
        <v>1279</v>
      </c>
      <c r="J53" s="431"/>
      <c r="K53" s="432">
        <f t="shared" ref="K53:W53" si="45">IFERROR(K9/K43,0)</f>
        <v>153.33333333333334</v>
      </c>
      <c r="L53" s="432">
        <f t="shared" si="45"/>
        <v>92.5</v>
      </c>
      <c r="M53" s="432">
        <f t="shared" si="45"/>
        <v>120</v>
      </c>
      <c r="N53" s="432">
        <f t="shared" si="45"/>
        <v>16.25</v>
      </c>
      <c r="O53" s="432">
        <f t="shared" si="45"/>
        <v>170</v>
      </c>
      <c r="P53" s="432">
        <f t="shared" si="45"/>
        <v>120</v>
      </c>
      <c r="Q53" s="432">
        <f t="shared" si="45"/>
        <v>151.33333333333334</v>
      </c>
      <c r="R53" s="432">
        <f t="shared" si="45"/>
        <v>107.33333333333333</v>
      </c>
      <c r="S53" s="432">
        <f t="shared" si="45"/>
        <v>240</v>
      </c>
      <c r="T53" s="432">
        <f t="shared" si="45"/>
        <v>120</v>
      </c>
      <c r="U53" s="432">
        <f t="shared" si="45"/>
        <v>187.5</v>
      </c>
      <c r="V53" s="432">
        <f t="shared" si="45"/>
        <v>360</v>
      </c>
      <c r="W53" s="431">
        <f t="shared" si="45"/>
        <v>139.53333333333333</v>
      </c>
      <c r="AD53" s="470">
        <v>43151</v>
      </c>
      <c r="AE53" s="45" t="s">
        <v>1913</v>
      </c>
      <c r="AF53" s="426" t="s">
        <v>1914</v>
      </c>
      <c r="AG53" s="48" t="s">
        <v>1915</v>
      </c>
      <c r="AH53" s="476">
        <v>200</v>
      </c>
      <c r="AI53" s="45" t="s">
        <v>1267</v>
      </c>
    </row>
    <row r="54" spans="9:35" x14ac:dyDescent="0.35">
      <c r="I54" s="582" t="s">
        <v>2525</v>
      </c>
      <c r="J54" s="431"/>
      <c r="K54" s="432">
        <f t="shared" ref="K54:W54" si="46">IFERROR(K10/K44,0)</f>
        <v>124.49428571428572</v>
      </c>
      <c r="L54" s="432">
        <f t="shared" si="46"/>
        <v>59.24666666666667</v>
      </c>
      <c r="M54" s="432">
        <f t="shared" si="46"/>
        <v>78.3</v>
      </c>
      <c r="N54" s="432">
        <f t="shared" si="46"/>
        <v>2.1924999999999999</v>
      </c>
      <c r="O54" s="432">
        <f t="shared" si="46"/>
        <v>950</v>
      </c>
      <c r="P54" s="432">
        <f t="shared" si="46"/>
        <v>125.74250000000001</v>
      </c>
      <c r="Q54" s="432">
        <f t="shared" si="46"/>
        <v>9.4</v>
      </c>
      <c r="R54" s="432">
        <f t="shared" si="46"/>
        <v>33.486666666666672</v>
      </c>
      <c r="S54" s="432">
        <f t="shared" si="46"/>
        <v>22.5</v>
      </c>
      <c r="T54" s="432">
        <f t="shared" si="46"/>
        <v>9.4</v>
      </c>
      <c r="U54" s="432">
        <f t="shared" si="46"/>
        <v>82.974999999999994</v>
      </c>
      <c r="V54" s="432">
        <f t="shared" si="46"/>
        <v>63.384999999999998</v>
      </c>
      <c r="W54" s="431">
        <f t="shared" si="46"/>
        <v>91.264811320754731</v>
      </c>
      <c r="AD54" s="470">
        <v>43152</v>
      </c>
      <c r="AE54" s="45" t="s">
        <v>1854</v>
      </c>
      <c r="AF54" s="426" t="s">
        <v>1916</v>
      </c>
      <c r="AG54" s="48" t="s">
        <v>1917</v>
      </c>
      <c r="AH54" s="476">
        <v>200</v>
      </c>
      <c r="AI54" s="45" t="s">
        <v>1267</v>
      </c>
    </row>
    <row r="55" spans="9:35" ht="13.15" customHeight="1" x14ac:dyDescent="0.4">
      <c r="I55" s="437" t="s">
        <v>63</v>
      </c>
      <c r="J55" s="438"/>
      <c r="K55" s="554">
        <f t="shared" ref="K55:W55" si="47">IFERROR(K11/K45,0)</f>
        <v>118.24957142857144</v>
      </c>
      <c r="L55" s="554">
        <f t="shared" si="47"/>
        <v>145.30287671232878</v>
      </c>
      <c r="M55" s="554">
        <f t="shared" si="47"/>
        <v>113.57222222222222</v>
      </c>
      <c r="N55" s="554">
        <f t="shared" si="47"/>
        <v>55.329303797468356</v>
      </c>
      <c r="O55" s="554">
        <f t="shared" si="47"/>
        <v>105.33236842105264</v>
      </c>
      <c r="P55" s="554">
        <f t="shared" si="47"/>
        <v>115.84285714285716</v>
      </c>
      <c r="Q55" s="554">
        <f t="shared" si="47"/>
        <v>102.1082142857143</v>
      </c>
      <c r="R55" s="554">
        <f t="shared" si="47"/>
        <v>140.95852941176472</v>
      </c>
      <c r="S55" s="554">
        <f t="shared" si="47"/>
        <v>165.22769230769231</v>
      </c>
      <c r="T55" s="554">
        <f t="shared" si="47"/>
        <v>108.55638888888889</v>
      </c>
      <c r="U55" s="554">
        <f t="shared" si="47"/>
        <v>184.42400000000001</v>
      </c>
      <c r="V55" s="554">
        <f t="shared" si="47"/>
        <v>132.63571428571427</v>
      </c>
      <c r="W55" s="438">
        <f t="shared" si="47"/>
        <v>120.77770246478873</v>
      </c>
      <c r="AD55" s="470">
        <v>43152</v>
      </c>
      <c r="AE55" s="426" t="s">
        <v>1918</v>
      </c>
      <c r="AF55" s="426" t="s">
        <v>1919</v>
      </c>
      <c r="AG55" s="48" t="s">
        <v>1920</v>
      </c>
      <c r="AH55" s="476">
        <v>200</v>
      </c>
      <c r="AI55" s="45" t="s">
        <v>1775</v>
      </c>
    </row>
    <row r="56" spans="9:35" x14ac:dyDescent="0.35">
      <c r="AD56" s="470">
        <v>43167</v>
      </c>
      <c r="AE56" s="426" t="s">
        <v>1921</v>
      </c>
      <c r="AF56" s="45" t="s">
        <v>1922</v>
      </c>
      <c r="AG56" s="48" t="s">
        <v>1923</v>
      </c>
      <c r="AH56" s="476">
        <v>30</v>
      </c>
      <c r="AI56" s="45" t="s">
        <v>1924</v>
      </c>
    </row>
    <row r="57" spans="9:35" x14ac:dyDescent="0.35">
      <c r="AD57" s="470">
        <v>43190</v>
      </c>
      <c r="AE57" s="45" t="s">
        <v>1925</v>
      </c>
      <c r="AF57" s="45" t="s">
        <v>1926</v>
      </c>
      <c r="AG57" s="48" t="s">
        <v>1927</v>
      </c>
      <c r="AH57" s="476">
        <v>125</v>
      </c>
      <c r="AI57" s="45" t="s">
        <v>1928</v>
      </c>
    </row>
    <row r="58" spans="9:35" ht="13.15" customHeight="1" x14ac:dyDescent="0.4">
      <c r="I58" s="420" t="s">
        <v>140</v>
      </c>
      <c r="J58" s="557" t="s">
        <v>1596</v>
      </c>
      <c r="K58" s="577" t="s">
        <v>142</v>
      </c>
      <c r="L58" s="577" t="s">
        <v>143</v>
      </c>
      <c r="M58" s="577" t="s">
        <v>144</v>
      </c>
      <c r="N58" s="577" t="s">
        <v>145</v>
      </c>
      <c r="O58" s="577" t="s">
        <v>146</v>
      </c>
      <c r="P58" s="577" t="s">
        <v>147</v>
      </c>
      <c r="Q58" s="577" t="s">
        <v>148</v>
      </c>
      <c r="R58" s="577" t="s">
        <v>149</v>
      </c>
      <c r="S58" s="577" t="s">
        <v>150</v>
      </c>
      <c r="T58" s="577" t="s">
        <v>151</v>
      </c>
      <c r="U58" s="577" t="s">
        <v>152</v>
      </c>
      <c r="V58" s="577" t="s">
        <v>153</v>
      </c>
      <c r="W58" s="577" t="s">
        <v>19</v>
      </c>
      <c r="X58" s="559" t="s">
        <v>76</v>
      </c>
      <c r="Y58" s="560" t="s">
        <v>23</v>
      </c>
      <c r="Z58" s="560" t="s">
        <v>21</v>
      </c>
      <c r="AD58" s="470">
        <v>43249</v>
      </c>
      <c r="AE58" s="45" t="s">
        <v>1191</v>
      </c>
      <c r="AF58" s="426" t="s">
        <v>1929</v>
      </c>
      <c r="AG58" s="48" t="s">
        <v>1930</v>
      </c>
      <c r="AH58" s="476">
        <v>200</v>
      </c>
      <c r="AI58" s="45" t="s">
        <v>1931</v>
      </c>
    </row>
    <row r="59" spans="9:35" x14ac:dyDescent="0.35">
      <c r="I59" s="581" t="s">
        <v>28</v>
      </c>
      <c r="J59" s="432">
        <f t="shared" ref="J59:V59" si="48">J4*60%</f>
        <v>1500</v>
      </c>
      <c r="K59" s="432">
        <f t="shared" si="48"/>
        <v>2723.85</v>
      </c>
      <c r="L59" s="432">
        <f t="shared" si="48"/>
        <v>4008.6</v>
      </c>
      <c r="M59" s="432">
        <f t="shared" si="48"/>
        <v>1490.01</v>
      </c>
      <c r="N59" s="432">
        <f t="shared" si="48"/>
        <v>869.4</v>
      </c>
      <c r="O59" s="432">
        <f t="shared" si="48"/>
        <v>152.4</v>
      </c>
      <c r="P59" s="432">
        <f t="shared" si="48"/>
        <v>709.19999999999993</v>
      </c>
      <c r="Q59" s="432">
        <f t="shared" si="48"/>
        <v>796.19999999999993</v>
      </c>
      <c r="R59" s="432">
        <f t="shared" si="48"/>
        <v>475.2</v>
      </c>
      <c r="S59" s="432">
        <f t="shared" si="48"/>
        <v>751.05</v>
      </c>
      <c r="T59" s="432">
        <f t="shared" si="48"/>
        <v>294</v>
      </c>
      <c r="U59" s="432">
        <f t="shared" si="48"/>
        <v>1641.8999999999999</v>
      </c>
      <c r="V59" s="432">
        <f t="shared" si="48"/>
        <v>511.79999999999995</v>
      </c>
      <c r="W59" s="431">
        <f t="shared" ref="W59:W65" si="49">SUM(K59:V59)</f>
        <v>14423.609999999999</v>
      </c>
      <c r="X59" s="445">
        <f>IFERROR(W59/W4,0)</f>
        <v>0.6</v>
      </c>
      <c r="Y59" s="558">
        <f>J59*12</f>
        <v>18000</v>
      </c>
      <c r="Z59" s="434">
        <f>W59-Y59</f>
        <v>-3576.3900000000012</v>
      </c>
      <c r="AD59" s="470">
        <v>43343</v>
      </c>
      <c r="AE59" s="45" t="s">
        <v>1932</v>
      </c>
      <c r="AF59" s="426" t="s">
        <v>1933</v>
      </c>
      <c r="AG59" s="48" t="s">
        <v>1934</v>
      </c>
      <c r="AH59" s="476">
        <v>200</v>
      </c>
      <c r="AI59" s="45" t="s">
        <v>1531</v>
      </c>
    </row>
    <row r="60" spans="9:35" x14ac:dyDescent="0.35">
      <c r="I60" s="581" t="s">
        <v>1274</v>
      </c>
      <c r="J60" s="432">
        <f>J5*45%</f>
        <v>1125</v>
      </c>
      <c r="K60" s="432">
        <f t="shared" ref="K60:V60" si="50">K5*60%</f>
        <v>1549.1400000000003</v>
      </c>
      <c r="L60" s="432">
        <f t="shared" si="50"/>
        <v>1948.1999999999998</v>
      </c>
      <c r="M60" s="432">
        <f t="shared" si="50"/>
        <v>2395.5</v>
      </c>
      <c r="N60" s="432">
        <f t="shared" si="50"/>
        <v>2145</v>
      </c>
      <c r="O60" s="432">
        <f t="shared" si="50"/>
        <v>1680</v>
      </c>
      <c r="P60" s="432">
        <f t="shared" si="50"/>
        <v>534</v>
      </c>
      <c r="Q60" s="432">
        <f t="shared" si="50"/>
        <v>421.5</v>
      </c>
      <c r="R60" s="432">
        <f t="shared" si="50"/>
        <v>1503</v>
      </c>
      <c r="S60" s="432">
        <f t="shared" si="50"/>
        <v>2256.6</v>
      </c>
      <c r="T60" s="432">
        <f t="shared" si="50"/>
        <v>1581</v>
      </c>
      <c r="U60" s="432">
        <f t="shared" si="50"/>
        <v>2130.33</v>
      </c>
      <c r="V60" s="432">
        <f t="shared" si="50"/>
        <v>1128</v>
      </c>
      <c r="W60" s="431">
        <f t="shared" si="49"/>
        <v>19272.27</v>
      </c>
      <c r="X60" s="445">
        <f>IFERROR(W60/W5,0)</f>
        <v>0.6</v>
      </c>
      <c r="Y60" s="558">
        <f>J60*12</f>
        <v>13500</v>
      </c>
      <c r="Z60" s="434">
        <f>W60-Y60</f>
        <v>5772.27</v>
      </c>
      <c r="AD60" s="470">
        <v>43392</v>
      </c>
      <c r="AE60" s="45" t="s">
        <v>1935</v>
      </c>
      <c r="AF60" s="426" t="s">
        <v>1936</v>
      </c>
      <c r="AG60" s="48" t="s">
        <v>1937</v>
      </c>
      <c r="AH60" s="476">
        <v>200</v>
      </c>
      <c r="AI60" s="45" t="s">
        <v>1938</v>
      </c>
    </row>
    <row r="61" spans="9:35" x14ac:dyDescent="0.35">
      <c r="I61" s="581" t="s">
        <v>1276</v>
      </c>
      <c r="J61" s="432">
        <f>J6*40%</f>
        <v>200</v>
      </c>
      <c r="K61" s="432">
        <f t="shared" ref="K61:V61" si="51">K6*60%</f>
        <v>124.566</v>
      </c>
      <c r="L61" s="432">
        <f t="shared" si="51"/>
        <v>292.42199999999997</v>
      </c>
      <c r="M61" s="432">
        <f t="shared" si="51"/>
        <v>160.79999999999998</v>
      </c>
      <c r="N61" s="432">
        <f t="shared" si="51"/>
        <v>656.178</v>
      </c>
      <c r="O61" s="432">
        <f t="shared" si="51"/>
        <v>56.177999999999997</v>
      </c>
      <c r="P61" s="432">
        <f t="shared" si="51"/>
        <v>209.178</v>
      </c>
      <c r="Q61" s="432">
        <f t="shared" si="51"/>
        <v>386.178</v>
      </c>
      <c r="R61" s="432">
        <f t="shared" si="51"/>
        <v>475.87799999999999</v>
      </c>
      <c r="S61" s="432">
        <f t="shared" si="51"/>
        <v>521.178</v>
      </c>
      <c r="T61" s="432">
        <f t="shared" si="51"/>
        <v>296.178</v>
      </c>
      <c r="U61" s="432">
        <f t="shared" si="51"/>
        <v>816.678</v>
      </c>
      <c r="V61" s="432">
        <f t="shared" si="51"/>
        <v>516.678</v>
      </c>
      <c r="W61" s="431">
        <f t="shared" si="49"/>
        <v>4512.0899999999992</v>
      </c>
      <c r="X61" s="445">
        <f>IFERROR(W61/W7,0)</f>
        <v>-0.84476293002574288</v>
      </c>
      <c r="Y61" s="558">
        <f>J61*12</f>
        <v>2400</v>
      </c>
      <c r="Z61" s="434">
        <f>W61-Y61</f>
        <v>2112.0899999999992</v>
      </c>
      <c r="AD61" s="470">
        <v>43424</v>
      </c>
      <c r="AE61" s="45" t="s">
        <v>1939</v>
      </c>
      <c r="AF61" s="426" t="s">
        <v>1940</v>
      </c>
      <c r="AG61" s="48" t="s">
        <v>1941</v>
      </c>
      <c r="AH61" s="426">
        <v>250</v>
      </c>
      <c r="AI61" s="45" t="s">
        <v>1942</v>
      </c>
    </row>
    <row r="62" spans="9:35" x14ac:dyDescent="0.35">
      <c r="I62" s="581" t="s">
        <v>1277</v>
      </c>
      <c r="J62" s="432"/>
      <c r="K62" s="432">
        <f t="shared" ref="K62:V62" si="52">K7*60%</f>
        <v>-265.95</v>
      </c>
      <c r="L62" s="432">
        <f t="shared" si="52"/>
        <v>-270.59999999999997</v>
      </c>
      <c r="M62" s="432">
        <f t="shared" si="52"/>
        <v>-531</v>
      </c>
      <c r="N62" s="432">
        <f t="shared" si="52"/>
        <v>-1137.5999999999999</v>
      </c>
      <c r="O62" s="432">
        <f t="shared" si="52"/>
        <v>-435</v>
      </c>
      <c r="P62" s="432">
        <f t="shared" si="52"/>
        <v>0</v>
      </c>
      <c r="Q62" s="432">
        <f t="shared" si="52"/>
        <v>-214.5</v>
      </c>
      <c r="R62" s="432">
        <f t="shared" si="52"/>
        <v>0</v>
      </c>
      <c r="S62" s="432">
        <f t="shared" si="52"/>
        <v>0</v>
      </c>
      <c r="T62" s="432">
        <f t="shared" si="52"/>
        <v>0</v>
      </c>
      <c r="U62" s="432">
        <f t="shared" si="52"/>
        <v>-282.59999999999997</v>
      </c>
      <c r="V62" s="432">
        <f t="shared" si="52"/>
        <v>-67.5</v>
      </c>
      <c r="W62" s="431">
        <f t="shared" si="49"/>
        <v>-3204.7499999999995</v>
      </c>
      <c r="X62" s="445"/>
      <c r="Y62" s="558"/>
      <c r="Z62" s="434"/>
      <c r="AD62" s="470">
        <v>43438</v>
      </c>
      <c r="AE62" s="426" t="s">
        <v>1943</v>
      </c>
      <c r="AF62" s="426" t="s">
        <v>1944</v>
      </c>
      <c r="AG62" s="48" t="s">
        <v>1945</v>
      </c>
      <c r="AH62" s="426">
        <v>200</v>
      </c>
      <c r="AI62" s="45" t="s">
        <v>1946</v>
      </c>
    </row>
    <row r="63" spans="9:35" x14ac:dyDescent="0.35">
      <c r="I63" s="581" t="s">
        <v>1278</v>
      </c>
      <c r="J63" s="432">
        <f>J8*75%</f>
        <v>225</v>
      </c>
      <c r="K63" s="432">
        <f t="shared" ref="K63:V63" si="53">K8*60%</f>
        <v>36</v>
      </c>
      <c r="L63" s="432">
        <f t="shared" si="53"/>
        <v>168</v>
      </c>
      <c r="M63" s="432">
        <f t="shared" si="53"/>
        <v>48</v>
      </c>
      <c r="N63" s="432">
        <f t="shared" si="53"/>
        <v>48</v>
      </c>
      <c r="O63" s="432">
        <f t="shared" si="53"/>
        <v>72</v>
      </c>
      <c r="P63" s="432">
        <f t="shared" si="53"/>
        <v>48</v>
      </c>
      <c r="Q63" s="432">
        <f t="shared" si="53"/>
        <v>48</v>
      </c>
      <c r="R63" s="432">
        <f t="shared" si="53"/>
        <v>168</v>
      </c>
      <c r="S63" s="432">
        <f t="shared" si="53"/>
        <v>36</v>
      </c>
      <c r="T63" s="432">
        <f t="shared" si="53"/>
        <v>24</v>
      </c>
      <c r="U63" s="432">
        <f t="shared" si="53"/>
        <v>24</v>
      </c>
      <c r="V63" s="432">
        <f t="shared" si="53"/>
        <v>24</v>
      </c>
      <c r="W63" s="431">
        <f t="shared" si="49"/>
        <v>744</v>
      </c>
      <c r="X63" s="445">
        <f>IFERROR(W63/W8,0)</f>
        <v>0.6</v>
      </c>
      <c r="Y63" s="558">
        <f>J63*12</f>
        <v>2700</v>
      </c>
      <c r="Z63" s="434">
        <f>W63-Y63</f>
        <v>-1956</v>
      </c>
    </row>
    <row r="64" spans="9:35" ht="13.15" customHeight="1" x14ac:dyDescent="0.4">
      <c r="I64" s="582" t="s">
        <v>1279</v>
      </c>
      <c r="J64" s="432">
        <f>J9*75%</f>
        <v>225</v>
      </c>
      <c r="K64" s="432">
        <f t="shared" ref="K64:V64" si="54">K9*60%</f>
        <v>276</v>
      </c>
      <c r="L64" s="432">
        <f t="shared" si="54"/>
        <v>111</v>
      </c>
      <c r="M64" s="432">
        <f t="shared" si="54"/>
        <v>72</v>
      </c>
      <c r="N64" s="432">
        <f t="shared" si="54"/>
        <v>39</v>
      </c>
      <c r="O64" s="432">
        <f t="shared" si="54"/>
        <v>306</v>
      </c>
      <c r="P64" s="432">
        <f t="shared" si="54"/>
        <v>144</v>
      </c>
      <c r="Q64" s="432">
        <f t="shared" si="54"/>
        <v>272.39999999999998</v>
      </c>
      <c r="R64" s="432">
        <f t="shared" si="54"/>
        <v>193.2</v>
      </c>
      <c r="S64" s="432">
        <f t="shared" si="54"/>
        <v>288</v>
      </c>
      <c r="T64" s="432">
        <f t="shared" si="54"/>
        <v>144</v>
      </c>
      <c r="U64" s="432">
        <f t="shared" si="54"/>
        <v>450</v>
      </c>
      <c r="V64" s="432">
        <f t="shared" si="54"/>
        <v>216</v>
      </c>
      <c r="W64" s="431">
        <f t="shared" si="49"/>
        <v>2511.6000000000004</v>
      </c>
      <c r="X64" s="445">
        <f>IFERROR(W64/W9,0)</f>
        <v>0.60000000000000009</v>
      </c>
      <c r="Y64" s="558">
        <f>J64*12</f>
        <v>2700</v>
      </c>
      <c r="Z64" s="434">
        <f>W64-Y64</f>
        <v>-188.39999999999964</v>
      </c>
      <c r="AH64" s="610">
        <f>SUM(AH12:AH62)</f>
        <v>8372</v>
      </c>
    </row>
    <row r="65" spans="9:26" x14ac:dyDescent="0.35">
      <c r="I65" s="582" t="s">
        <v>2525</v>
      </c>
      <c r="J65" s="432">
        <f>J10*15%</f>
        <v>45</v>
      </c>
      <c r="K65" s="432">
        <f t="shared" ref="K65:V65" si="55">K10*60%</f>
        <v>522.87599999999998</v>
      </c>
      <c r="L65" s="432">
        <f t="shared" si="55"/>
        <v>106.64400000000001</v>
      </c>
      <c r="M65" s="432">
        <f t="shared" si="55"/>
        <v>657.72</v>
      </c>
      <c r="N65" s="432">
        <f t="shared" si="55"/>
        <v>2.6309999999999998</v>
      </c>
      <c r="O65" s="432">
        <f t="shared" si="55"/>
        <v>570</v>
      </c>
      <c r="P65" s="432">
        <f t="shared" si="55"/>
        <v>301.78199999999998</v>
      </c>
      <c r="Q65" s="432">
        <f t="shared" si="55"/>
        <v>5.64</v>
      </c>
      <c r="R65" s="432">
        <f t="shared" si="55"/>
        <v>60.276000000000003</v>
      </c>
      <c r="S65" s="432">
        <f t="shared" si="55"/>
        <v>13.5</v>
      </c>
      <c r="T65" s="432">
        <f t="shared" si="55"/>
        <v>5.64</v>
      </c>
      <c r="U65" s="432">
        <f t="shared" si="55"/>
        <v>199.14</v>
      </c>
      <c r="V65" s="432">
        <f t="shared" si="55"/>
        <v>456.37200000000001</v>
      </c>
      <c r="W65" s="431">
        <f t="shared" si="49"/>
        <v>2902.2209999999995</v>
      </c>
      <c r="X65" s="445">
        <f>IFERROR(W65/W10,0)</f>
        <v>0.59999999999999987</v>
      </c>
      <c r="Y65" s="558">
        <f>J65*12</f>
        <v>540</v>
      </c>
      <c r="Z65" s="434">
        <f>W65-Y65</f>
        <v>2362.2209999999995</v>
      </c>
    </row>
    <row r="66" spans="9:26" ht="13.15" customHeight="1" x14ac:dyDescent="0.4">
      <c r="I66" s="437" t="s">
        <v>63</v>
      </c>
      <c r="J66" s="438">
        <f t="shared" ref="J66:W66" si="56">SUM(J59:J65)</f>
        <v>3320</v>
      </c>
      <c r="K66" s="439">
        <f t="shared" si="56"/>
        <v>4966.482</v>
      </c>
      <c r="L66" s="439">
        <f t="shared" si="56"/>
        <v>6364.2659999999987</v>
      </c>
      <c r="M66" s="439">
        <f t="shared" si="56"/>
        <v>4293.0300000000007</v>
      </c>
      <c r="N66" s="439">
        <f t="shared" si="56"/>
        <v>2622.6089999999999</v>
      </c>
      <c r="O66" s="439">
        <f t="shared" si="56"/>
        <v>2401.578</v>
      </c>
      <c r="P66" s="439">
        <f t="shared" si="56"/>
        <v>1946.1599999999996</v>
      </c>
      <c r="Q66" s="439">
        <f t="shared" si="56"/>
        <v>1715.4179999999999</v>
      </c>
      <c r="R66" s="439">
        <f t="shared" si="56"/>
        <v>2875.5539999999996</v>
      </c>
      <c r="S66" s="439">
        <f t="shared" si="56"/>
        <v>3866.3279999999995</v>
      </c>
      <c r="T66" s="439">
        <f t="shared" si="56"/>
        <v>2344.8179999999998</v>
      </c>
      <c r="U66" s="439">
        <f t="shared" si="56"/>
        <v>4979.4479999999994</v>
      </c>
      <c r="V66" s="439">
        <f t="shared" si="56"/>
        <v>2785.35</v>
      </c>
      <c r="W66" s="438">
        <f t="shared" si="56"/>
        <v>41161.04099999999</v>
      </c>
      <c r="X66" s="445">
        <f>IFERROR(W66/W11,0)</f>
        <v>0.59999999999999987</v>
      </c>
      <c r="Y66" s="558">
        <f>J66*12</f>
        <v>39840</v>
      </c>
      <c r="Z66" s="434">
        <f>W66-Y66</f>
        <v>1321.0409999999902</v>
      </c>
    </row>
    <row r="68" spans="9:26" ht="13.15" customHeight="1" x14ac:dyDescent="0.4">
      <c r="I68" s="566" t="s">
        <v>157</v>
      </c>
      <c r="K68" s="577" t="s">
        <v>142</v>
      </c>
      <c r="L68" s="577" t="s">
        <v>143</v>
      </c>
      <c r="M68" s="577" t="s">
        <v>144</v>
      </c>
      <c r="N68" s="577" t="s">
        <v>145</v>
      </c>
      <c r="O68" s="577" t="s">
        <v>146</v>
      </c>
      <c r="P68" s="577" t="s">
        <v>147</v>
      </c>
      <c r="Q68" s="577" t="s">
        <v>148</v>
      </c>
      <c r="R68" s="577" t="s">
        <v>149</v>
      </c>
      <c r="S68" s="577" t="s">
        <v>150</v>
      </c>
      <c r="T68" s="577" t="s">
        <v>151</v>
      </c>
      <c r="U68" s="577" t="s">
        <v>152</v>
      </c>
      <c r="V68" s="577" t="s">
        <v>153</v>
      </c>
      <c r="W68" s="577" t="s">
        <v>19</v>
      </c>
      <c r="X68" s="423" t="s">
        <v>158</v>
      </c>
      <c r="Y68" s="423" t="s">
        <v>22</v>
      </c>
    </row>
    <row r="69" spans="9:26" x14ac:dyDescent="0.35">
      <c r="I69" s="426" t="s">
        <v>159</v>
      </c>
      <c r="K69" s="432">
        <f>SUMIF(D$594:$D$663,$I69,$E$594:$E$663)</f>
        <v>4553.5</v>
      </c>
      <c r="L69" s="432">
        <f ca="1">SUMIF($D$520:E$593,$I69,$E$520:$E$593)</f>
        <v>5242</v>
      </c>
      <c r="M69" s="432">
        <f>SUMIF($D$456:D$519,$I69,$E$456:$E$519)</f>
        <v>2289.85</v>
      </c>
      <c r="N69" s="432">
        <f>SUMIF($D$417:D$454,$I69,$E$417:$E$454)</f>
        <v>1900</v>
      </c>
      <c r="O69" s="432">
        <f ca="1">SUMIF($D$377:E$414,$I69,$E$377:$E$414)</f>
        <v>1520</v>
      </c>
      <c r="P69" s="432">
        <f ca="1">SUMIF($D$348:F$375,$I69,$E$348:$E$375)</f>
        <v>1760</v>
      </c>
      <c r="Q69" s="432">
        <f ca="1">SUMIF($D$319:G$346,$I69,$E$319:$E$346)</f>
        <v>793</v>
      </c>
      <c r="R69" s="432">
        <f ca="1">SUMIF($D$284:H$318,$I69,$E$284:$E$318)</f>
        <v>1364.8600000000001</v>
      </c>
      <c r="S69" s="432">
        <f ca="1">SUMIF($D$244:G$282,$I69,$E$244:$E$282)</f>
        <v>2363</v>
      </c>
      <c r="T69" s="432">
        <f ca="1">SUMIF($D$207:G$242,$I69,$E$207:$E$242)</f>
        <v>1895</v>
      </c>
      <c r="U69" s="432">
        <f ca="1">SUMIF($D$161:G$205,$I69,$E$161:$E$205)</f>
        <v>4074.65</v>
      </c>
      <c r="V69" s="432">
        <f ca="1">SUMIF($D$121:G$159,$I69,$E$121:$E$159)</f>
        <v>1304.3699999999999</v>
      </c>
      <c r="W69" s="432">
        <f t="shared" ref="W69:W76" ca="1" si="57">SUM(K69:V69)</f>
        <v>29060.23</v>
      </c>
      <c r="X69" s="460">
        <f t="shared" ref="X69:X76" ca="1" si="58">R69/$R$77</f>
        <v>0.28478547090404144</v>
      </c>
      <c r="Y69" s="460">
        <f ca="1">W69/W77</f>
        <v>0.42360779942373178</v>
      </c>
    </row>
    <row r="70" spans="9:26" x14ac:dyDescent="0.35">
      <c r="I70" s="426" t="s">
        <v>160</v>
      </c>
      <c r="K70" s="432">
        <f>SUMIF(D$594:$D$663,$I70,$E$594:$E$663)</f>
        <v>696.8</v>
      </c>
      <c r="L70" s="432">
        <f ca="1">SUMIF($D$520:E$593,$I70,$E$520:$E$593)</f>
        <v>2574.4</v>
      </c>
      <c r="M70" s="432">
        <f>SUMIF($D$456:D$519,$I70,$E$456:$E$519)</f>
        <v>710</v>
      </c>
      <c r="N70" s="432">
        <f>SUMIF($D$417:D$454,$I70,$E$417:$E$454)</f>
        <v>864.38499999999999</v>
      </c>
      <c r="O70" s="432">
        <f ca="1">SUMIF($D$377:E$414,$I70,$E$377:$E$414)</f>
        <v>590</v>
      </c>
      <c r="P70" s="432">
        <f ca="1">SUMIF($D$348:F$375,$I70,$E$348:$E$375)</f>
        <v>224.22</v>
      </c>
      <c r="Q70" s="432">
        <f ca="1">SUMIF($D$319:G$346,$I70,$E$319:$E$346)</f>
        <v>154.4</v>
      </c>
      <c r="R70" s="432">
        <f ca="1">SUMIF($D$284:H$318,$I70,$E$284:$E$318)</f>
        <v>542.6</v>
      </c>
      <c r="S70" s="432">
        <f ca="1">SUMIF($D$244:G$282,$I70,$E$244:$E$282)</f>
        <v>2709.25</v>
      </c>
      <c r="T70" s="432">
        <f ca="1">SUMIF($D$207:G$242,$I70,$E$207:$E$242)</f>
        <v>1099.4000000000001</v>
      </c>
      <c r="U70" s="432">
        <f ca="1">SUMIF($D$161:G$205,$I70,$E$161:$E$205)</f>
        <v>2570.3000000000002</v>
      </c>
      <c r="V70" s="432">
        <f ca="1">SUMIF($D$121:G$159,$I70,$E$121:$E$159)</f>
        <v>273.75</v>
      </c>
      <c r="W70" s="432">
        <f t="shared" ca="1" si="57"/>
        <v>13009.505000000001</v>
      </c>
      <c r="X70" s="460">
        <f t="shared" ca="1" si="58"/>
        <v>0.11321644455294527</v>
      </c>
      <c r="Y70" s="460">
        <f ca="1">W70/W77</f>
        <v>0.18963813378772418</v>
      </c>
    </row>
    <row r="71" spans="9:26" x14ac:dyDescent="0.35">
      <c r="I71" s="426" t="s">
        <v>161</v>
      </c>
      <c r="K71" s="432">
        <f>SUMIF(D$594:$D$663,$I71,$E$594:$E$663)</f>
        <v>228.11</v>
      </c>
      <c r="L71" s="432">
        <f ca="1">SUMIF($D$520:E$593,$I71,$E$520:$E$593)</f>
        <v>481.24</v>
      </c>
      <c r="M71" s="432">
        <f>SUMIF($D$456:D$519,$I71,$E$456:$E$519)</f>
        <v>308</v>
      </c>
      <c r="N71" s="432">
        <f>SUMIF($D$417:D$454,$I71,$E$417:$E$454)</f>
        <v>173.63</v>
      </c>
      <c r="O71" s="432">
        <f ca="1">SUMIF($D$377:E$414,$I71,$E$377:$E$414)</f>
        <v>193.63</v>
      </c>
      <c r="P71" s="432">
        <f ca="1">SUMIF($D$348:F$375,$I71,$E$348:$E$375)</f>
        <v>428.63</v>
      </c>
      <c r="Q71" s="432">
        <f ca="1">SUMIF($D$319:G$346,$I71,$E$319:$E$346)</f>
        <v>153.63</v>
      </c>
      <c r="R71" s="432">
        <f ca="1">SUMIF($D$284:H$318,$I71,$E$284:$E$318)</f>
        <v>173.63</v>
      </c>
      <c r="S71" s="432">
        <f ca="1">SUMIF($D$244:G$282,$I71,$E$244:$E$282)</f>
        <v>721.13</v>
      </c>
      <c r="T71" s="432">
        <f ca="1">SUMIF($D$207:G$242,$I71,$E$207:$E$242)</f>
        <v>533.63</v>
      </c>
      <c r="U71" s="432">
        <f ca="1">SUMIF($D$161:G$205,$I71,$E$161:$E$205)</f>
        <v>721.13</v>
      </c>
      <c r="V71" s="432">
        <f ca="1">SUMIF($D$121:G$159,$I71,$E$121:$E$159)</f>
        <v>901.13</v>
      </c>
      <c r="W71" s="432">
        <f t="shared" ca="1" si="57"/>
        <v>5017.5200000000004</v>
      </c>
      <c r="X71" s="460">
        <f t="shared" ca="1" si="58"/>
        <v>3.6228844946052136E-2</v>
      </c>
      <c r="Y71" s="460">
        <f ca="1">W71/W77</f>
        <v>7.3139841142501716E-2</v>
      </c>
    </row>
    <row r="72" spans="9:26" x14ac:dyDescent="0.35">
      <c r="I72" s="426" t="s">
        <v>162</v>
      </c>
      <c r="K72" s="432">
        <f>SUMIF(D$594:$D$663,$I72,$E$594:$E$663)</f>
        <v>2695.06</v>
      </c>
      <c r="L72" s="432">
        <f ca="1">SUMIF($D$520:E$593,$I72,$E$520:$E$593)</f>
        <v>2244.4700000000003</v>
      </c>
      <c r="M72" s="432">
        <f>SUMIF($D$456:D$519,$I72,$E$456:$E$519)</f>
        <v>3696.2</v>
      </c>
      <c r="N72" s="432">
        <f>SUMIF($D$417:D$454,$I72,$E$417:$E$454)</f>
        <v>1243</v>
      </c>
      <c r="O72" s="432">
        <f ca="1">SUMIF($D$377:E$414,$I72,$E$377:$E$414)</f>
        <v>1699</v>
      </c>
      <c r="P72" s="432">
        <f ca="1">SUMIF($D$348:F$375,$I72,$E$348:$E$375)</f>
        <v>830.75</v>
      </c>
      <c r="Q72" s="432">
        <f ca="1">SUMIF($D$319:G$346,$I72,$E$319:$E$346)</f>
        <v>1758</v>
      </c>
      <c r="R72" s="432">
        <f ca="1">SUMIF($D$284:H$318,$I72,$E$284:$E$318)</f>
        <v>2561.5</v>
      </c>
      <c r="S72" s="432">
        <f ca="1">SUMIF($D$244:G$282,$I72,$E$244:$E$282)</f>
        <v>650.5</v>
      </c>
      <c r="T72" s="432">
        <f ca="1">SUMIF($D$207:G$242,$I72,$E$207:$E$242)</f>
        <v>230</v>
      </c>
      <c r="U72" s="432">
        <f ca="1">SUMIF($D$161:G$205,$I72,$E$161:$E$205)</f>
        <v>933</v>
      </c>
      <c r="V72" s="432">
        <f ca="1">SUMIF($D$121:G$159,$I72,$E$121:$E$159)</f>
        <v>948</v>
      </c>
      <c r="W72" s="432">
        <f t="shared" ca="1" si="57"/>
        <v>19489.48</v>
      </c>
      <c r="X72" s="460">
        <f t="shared" ca="1" si="58"/>
        <v>0.5344709228204374</v>
      </c>
      <c r="Y72" s="460">
        <f ca="1">W72/W77</f>
        <v>0.28409602176971177</v>
      </c>
    </row>
    <row r="73" spans="9:26" x14ac:dyDescent="0.35">
      <c r="I73" s="426" t="s">
        <v>163</v>
      </c>
      <c r="K73" s="432">
        <f>SUMIF(D$594:$D$663,$I73,$E$594:$E$663)</f>
        <v>104</v>
      </c>
      <c r="L73" s="432">
        <f ca="1">SUMIF($D$520:E$593,$I73,$E$520:$E$593)</f>
        <v>65</v>
      </c>
      <c r="M73" s="432">
        <f>SUMIF($D$456:D$519,$I73,$E$456:$E$519)</f>
        <v>26</v>
      </c>
      <c r="N73" s="432">
        <f>SUMIF($D$417:D$454,$I73,$E$417:$E$454)</f>
        <v>0</v>
      </c>
      <c r="O73" s="432">
        <f ca="1">SUMIF($D$377:E$414,$I73,$E$377:$E$414)</f>
        <v>0</v>
      </c>
      <c r="P73" s="432">
        <f ca="1">SUMIF($D$348:F$375,$I73,$E$348:$E$375)</f>
        <v>0</v>
      </c>
      <c r="Q73" s="432">
        <f ca="1">SUMIF($D$319:G$346,$I73,$E$319:$E$346)</f>
        <v>0</v>
      </c>
      <c r="R73" s="432">
        <f ca="1">SUMIF($D$284:H$318,$I73,$E$284:$E$318)</f>
        <v>0</v>
      </c>
      <c r="S73" s="432">
        <f ca="1">SUMIF($D$244:G$282,$I73,$E$244:$E$282)</f>
        <v>0</v>
      </c>
      <c r="T73" s="432">
        <f ca="1">SUMIF($D$207:G$242,$I73,$E$207:$E$242)</f>
        <v>0</v>
      </c>
      <c r="U73" s="432">
        <f ca="1">SUMIF($D$161:G$205,$I73,$E$161:$E$205)</f>
        <v>0</v>
      </c>
      <c r="V73" s="432">
        <f ca="1">SUMIF($D$121:G$159,$I73,$E$121:$E$159)</f>
        <v>0</v>
      </c>
      <c r="W73" s="432">
        <f t="shared" ca="1" si="57"/>
        <v>195</v>
      </c>
      <c r="X73" s="460">
        <f t="shared" ca="1" si="58"/>
        <v>0</v>
      </c>
      <c r="Y73" s="460">
        <f ca="1">W73/W77</f>
        <v>2.842493706609607E-3</v>
      </c>
    </row>
    <row r="74" spans="9:26" x14ac:dyDescent="0.35">
      <c r="I74" s="426" t="s">
        <v>164</v>
      </c>
      <c r="K74" s="432">
        <f>SUMIF(D$594:$D$663,$I74,$E$594:$E$663)</f>
        <v>0</v>
      </c>
      <c r="L74" s="432">
        <f ca="1">SUMIF($D$520:E$593,$I74,$E$520:$E$593)</f>
        <v>0</v>
      </c>
      <c r="M74" s="432">
        <f>SUMIF($D$456:D$519,$I74,$E$456:$E$519)</f>
        <v>0</v>
      </c>
      <c r="N74" s="432">
        <f>SUMIF($D$417:D$454,$I74,$E$417:$E$454)</f>
        <v>0</v>
      </c>
      <c r="O74" s="432">
        <f ca="1">SUMIF($D$377:E$414,$I74,$E$377:$E$414)</f>
        <v>0</v>
      </c>
      <c r="P74" s="432">
        <f ca="1">SUMIF($D$348:F$375,$I74,$E$348:$E$375)</f>
        <v>0</v>
      </c>
      <c r="Q74" s="432">
        <f ca="1">SUMIF($D$319:G$346,$I74,$E$319:$E$346)</f>
        <v>0</v>
      </c>
      <c r="R74" s="432">
        <f ca="1">SUMIF($D$284:H$318,$I74,$E$284:$E$318)</f>
        <v>50</v>
      </c>
      <c r="S74" s="432">
        <f ca="1">SUMIF($D$244:G$282,$I74,$E$244:$E$282)</f>
        <v>0</v>
      </c>
      <c r="T74" s="432">
        <f ca="1">SUMIF($D$207:G$242,$I74,$E$207:$E$242)</f>
        <v>0</v>
      </c>
      <c r="U74" s="432">
        <f ca="1">SUMIF($D$161:G$205,$I74,$E$161:$E$205)</f>
        <v>0</v>
      </c>
      <c r="V74" s="432">
        <f ca="1">SUMIF($D$121:G$159,$I74,$E$121:$E$159)</f>
        <v>0</v>
      </c>
      <c r="W74" s="432">
        <f t="shared" ca="1" si="57"/>
        <v>50</v>
      </c>
      <c r="X74" s="460">
        <f t="shared" ca="1" si="58"/>
        <v>1.0432772258841252E-2</v>
      </c>
      <c r="Y74" s="460">
        <f ca="1">W74/W77</f>
        <v>7.2884454015630941E-4</v>
      </c>
    </row>
    <row r="75" spans="9:26" x14ac:dyDescent="0.35">
      <c r="I75" s="45" t="s">
        <v>166</v>
      </c>
      <c r="K75" s="432">
        <f>SUMIF(D$594:$D$663,$I75,$E$594:$E$663)</f>
        <v>0</v>
      </c>
      <c r="L75" s="432">
        <f ca="1">SUMIF($D$520:E$593,$I75,$E$520:$E$593)</f>
        <v>0</v>
      </c>
      <c r="M75" s="432">
        <f>SUMIF($D$456:D$519,$I75,$E$456:$E$519)</f>
        <v>0</v>
      </c>
      <c r="N75" s="432">
        <f>SUMIF($D$417:D$454,$I75,$E$417:$E$454)</f>
        <v>0</v>
      </c>
      <c r="O75" s="432">
        <f ca="1">SUMIF($D$377:E$414,$I75,$E$377:$E$414)</f>
        <v>0</v>
      </c>
      <c r="P75" s="432">
        <f ca="1">SUMIF($D$348:F$375,$I75,$E$348:$E$375)</f>
        <v>0</v>
      </c>
      <c r="Q75" s="432">
        <f ca="1">SUMIF($D$319:G$346,$I75,$E$319:$E$346)</f>
        <v>0</v>
      </c>
      <c r="R75" s="432">
        <f ca="1">SUMIF($D$284:H$318,$I75,$E$284:$E$318)</f>
        <v>0</v>
      </c>
      <c r="S75" s="432">
        <f ca="1">SUMIF($D$244:G$282,$I75,$E$244:$E$282)</f>
        <v>0</v>
      </c>
      <c r="T75" s="432">
        <f ca="1">SUMIF($D$207:G$242,$I75,$E$207:$E$242)</f>
        <v>0</v>
      </c>
      <c r="U75" s="432">
        <f ca="1">SUMIF($D$161:G$205,$I75,$E$161:$E$205)</f>
        <v>0</v>
      </c>
      <c r="V75" s="432">
        <f ca="1">SUMIF($D$121:G$159,$I75,$E$121:$E$159)</f>
        <v>0</v>
      </c>
      <c r="W75" s="432">
        <f t="shared" ca="1" si="57"/>
        <v>0</v>
      </c>
      <c r="X75" s="460">
        <f t="shared" ca="1" si="58"/>
        <v>0</v>
      </c>
      <c r="Y75" s="460">
        <f ca="1">W75/W77</f>
        <v>0</v>
      </c>
    </row>
    <row r="76" spans="9:26" x14ac:dyDescent="0.35">
      <c r="I76" s="426" t="s">
        <v>2297</v>
      </c>
      <c r="K76" s="432">
        <f>SUMIF(D$594:$D$663,$I76,$E$594:$E$663)</f>
        <v>0</v>
      </c>
      <c r="L76" s="432">
        <f ca="1">SUMIF($D$520:E$593,$I76,$E$520:$E$593)</f>
        <v>0</v>
      </c>
      <c r="M76" s="432">
        <f>SUMIF($D$456:D$519,$I76,$E$456:$E$519)</f>
        <v>125</v>
      </c>
      <c r="N76" s="432">
        <f>SUMIF($D$417:D$454,$I76,$E$417:$E$454)</f>
        <v>190</v>
      </c>
      <c r="O76" s="432">
        <f ca="1">SUMIF($D$377:E$414,$I76,$E$377:$E$414)</f>
        <v>0</v>
      </c>
      <c r="P76" s="432">
        <f ca="1">SUMIF($D$348:F$375,$I76,$E$348:$E$375)</f>
        <v>0</v>
      </c>
      <c r="Q76" s="432">
        <f ca="1">SUMIF($D$319:G$346,$I76,$E$319:$E$346)</f>
        <v>0</v>
      </c>
      <c r="R76" s="432">
        <f ca="1">SUMIF($D$284:H$318,$I76,$E$284:$E$318)</f>
        <v>100</v>
      </c>
      <c r="S76" s="432">
        <f ca="1">SUMIF($D$244:G$282,$I76,$E$244:$E$282)</f>
        <v>0</v>
      </c>
      <c r="T76" s="432">
        <f ca="1">SUMIF($D$207:G$242,$I76,$E$207:$E$242)</f>
        <v>150</v>
      </c>
      <c r="U76" s="432">
        <f ca="1">SUMIF($D$161:G$205,$I76,$E$161:$E$205)</f>
        <v>0</v>
      </c>
      <c r="V76" s="432">
        <f ca="1">SUMIF($D$121:G$159,$I76,$E$121:$E$159)</f>
        <v>1215</v>
      </c>
      <c r="W76" s="432">
        <f t="shared" ca="1" si="57"/>
        <v>1780</v>
      </c>
      <c r="X76" s="460">
        <f t="shared" ca="1" si="58"/>
        <v>2.0865544517682504E-2</v>
      </c>
      <c r="Y76" s="460">
        <f ca="1">W76/W77</f>
        <v>2.5946865629564615E-2</v>
      </c>
    </row>
    <row r="77" spans="9:26" ht="13.15" customHeight="1" x14ac:dyDescent="0.4">
      <c r="I77" s="454"/>
      <c r="K77" s="444">
        <f t="shared" ref="K77:W77" si="59">SUM(K69:K76)</f>
        <v>8277.4699999999993</v>
      </c>
      <c r="L77" s="444">
        <f t="shared" ca="1" si="59"/>
        <v>10607.11</v>
      </c>
      <c r="M77" s="444">
        <f t="shared" si="59"/>
        <v>7155.0499999999993</v>
      </c>
      <c r="N77" s="444">
        <f t="shared" si="59"/>
        <v>4371.0150000000003</v>
      </c>
      <c r="O77" s="444">
        <f t="shared" ca="1" si="59"/>
        <v>4002.63</v>
      </c>
      <c r="P77" s="444">
        <f t="shared" ca="1" si="59"/>
        <v>3243.6</v>
      </c>
      <c r="Q77" s="444">
        <f t="shared" ca="1" si="59"/>
        <v>2859.0299999999997</v>
      </c>
      <c r="R77" s="444">
        <f t="shared" ca="1" si="59"/>
        <v>4792.59</v>
      </c>
      <c r="S77" s="444">
        <f t="shared" ca="1" si="59"/>
        <v>6443.88</v>
      </c>
      <c r="T77" s="444">
        <f t="shared" ca="1" si="59"/>
        <v>3908.03</v>
      </c>
      <c r="U77" s="444">
        <f t="shared" ca="1" si="59"/>
        <v>8299.0800000000017</v>
      </c>
      <c r="V77" s="444">
        <f t="shared" ca="1" si="59"/>
        <v>4642.25</v>
      </c>
      <c r="W77" s="444">
        <f t="shared" ca="1" si="59"/>
        <v>68601.735000000001</v>
      </c>
      <c r="X77" s="454"/>
      <c r="Y77" s="466"/>
    </row>
    <row r="78" spans="9:26" x14ac:dyDescent="0.35">
      <c r="I78" s="454"/>
      <c r="K78" s="434">
        <f t="shared" ref="K78:S78" si="60">K77-K11</f>
        <v>0</v>
      </c>
      <c r="L78" s="434">
        <f t="shared" ca="1" si="60"/>
        <v>0</v>
      </c>
      <c r="M78" s="434">
        <f t="shared" si="60"/>
        <v>0</v>
      </c>
      <c r="N78" s="434">
        <f t="shared" si="60"/>
        <v>0</v>
      </c>
      <c r="O78" s="434">
        <f t="shared" ca="1" si="60"/>
        <v>0</v>
      </c>
      <c r="P78" s="434">
        <f t="shared" ca="1" si="60"/>
        <v>0</v>
      </c>
      <c r="Q78" s="434">
        <f t="shared" ca="1" si="60"/>
        <v>0</v>
      </c>
      <c r="R78" s="434">
        <f t="shared" ca="1" si="60"/>
        <v>0</v>
      </c>
      <c r="S78" s="434">
        <f t="shared" ca="1" si="60"/>
        <v>0</v>
      </c>
      <c r="T78" s="434"/>
      <c r="U78" s="434"/>
      <c r="V78" s="434"/>
      <c r="W78" s="434"/>
      <c r="X78" s="454"/>
    </row>
    <row r="79" spans="9:26" ht="13.15" customHeight="1" x14ac:dyDescent="0.4">
      <c r="I79" s="556" t="s">
        <v>168</v>
      </c>
      <c r="K79" s="454"/>
      <c r="L79" s="454"/>
      <c r="M79" s="454"/>
      <c r="N79" s="454"/>
      <c r="O79" s="454"/>
      <c r="P79" s="454"/>
      <c r="Q79" s="454"/>
      <c r="R79" s="454"/>
      <c r="S79" s="454"/>
      <c r="T79" s="454"/>
      <c r="U79" s="454"/>
      <c r="V79" s="454"/>
      <c r="W79" s="454"/>
      <c r="X79" s="454"/>
    </row>
    <row r="80" spans="9:26" ht="13.15" customHeight="1" x14ac:dyDescent="0.4">
      <c r="I80" s="454" t="s">
        <v>159</v>
      </c>
      <c r="K80" s="454">
        <f t="shared" ref="K80:V80" si="61">K69*3.5%</f>
        <v>159.3725</v>
      </c>
      <c r="L80" s="454">
        <f t="shared" ca="1" si="61"/>
        <v>183.47000000000003</v>
      </c>
      <c r="M80" s="454">
        <f t="shared" si="61"/>
        <v>80.144750000000002</v>
      </c>
      <c r="N80" s="454">
        <f t="shared" si="61"/>
        <v>66.5</v>
      </c>
      <c r="O80" s="454">
        <f t="shared" ca="1" si="61"/>
        <v>53.2</v>
      </c>
      <c r="P80" s="454">
        <f t="shared" ca="1" si="61"/>
        <v>61.600000000000009</v>
      </c>
      <c r="Q80" s="454">
        <f t="shared" ca="1" si="61"/>
        <v>27.755000000000003</v>
      </c>
      <c r="R80" s="454">
        <f t="shared" ca="1" si="61"/>
        <v>47.770100000000006</v>
      </c>
      <c r="S80" s="454">
        <f t="shared" ca="1" si="61"/>
        <v>82.705000000000013</v>
      </c>
      <c r="T80" s="454">
        <f t="shared" ca="1" si="61"/>
        <v>66.325000000000003</v>
      </c>
      <c r="U80" s="454">
        <f t="shared" ca="1" si="61"/>
        <v>142.61275000000001</v>
      </c>
      <c r="V80" s="454">
        <f t="shared" ca="1" si="61"/>
        <v>45.652949999999997</v>
      </c>
      <c r="W80" s="432">
        <f t="shared" ref="W80:W85" ca="1" si="62">SUM(K80:V80)</f>
        <v>1017.1080500000002</v>
      </c>
      <c r="X80" s="454"/>
      <c r="Y80" s="466"/>
    </row>
    <row r="81" spans="9:24" x14ac:dyDescent="0.35">
      <c r="I81" s="454" t="s">
        <v>2442</v>
      </c>
      <c r="K81" s="454">
        <f t="shared" ref="K81:V81" si="63">K70*3.5%</f>
        <v>24.388000000000002</v>
      </c>
      <c r="L81" s="454">
        <f t="shared" ca="1" si="63"/>
        <v>90.104000000000013</v>
      </c>
      <c r="M81" s="454">
        <f t="shared" si="63"/>
        <v>24.85</v>
      </c>
      <c r="N81" s="454">
        <f t="shared" si="63"/>
        <v>30.253475000000002</v>
      </c>
      <c r="O81" s="454">
        <f t="shared" ca="1" si="63"/>
        <v>20.650000000000002</v>
      </c>
      <c r="P81" s="454">
        <f t="shared" ca="1" si="63"/>
        <v>7.8477000000000006</v>
      </c>
      <c r="Q81" s="454">
        <f t="shared" ca="1" si="63"/>
        <v>5.4040000000000008</v>
      </c>
      <c r="R81" s="454">
        <f t="shared" ca="1" si="63"/>
        <v>18.991000000000003</v>
      </c>
      <c r="S81" s="454">
        <f t="shared" ca="1" si="63"/>
        <v>94.823750000000004</v>
      </c>
      <c r="T81" s="454">
        <f t="shared" ca="1" si="63"/>
        <v>38.479000000000006</v>
      </c>
      <c r="U81" s="454">
        <f t="shared" ca="1" si="63"/>
        <v>89.96050000000001</v>
      </c>
      <c r="V81" s="454">
        <f t="shared" ca="1" si="63"/>
        <v>9.5812500000000007</v>
      </c>
      <c r="W81" s="432">
        <f t="shared" ca="1" si="62"/>
        <v>455.33267500000005</v>
      </c>
      <c r="X81" s="454"/>
    </row>
    <row r="82" spans="9:24" x14ac:dyDescent="0.35">
      <c r="I82" s="454" t="s">
        <v>2297</v>
      </c>
      <c r="K82" s="454">
        <f t="shared" ref="K82:T82" si="64">K76*3.5%</f>
        <v>0</v>
      </c>
      <c r="L82" s="454">
        <f t="shared" ca="1" si="64"/>
        <v>0</v>
      </c>
      <c r="M82" s="454">
        <f t="shared" si="64"/>
        <v>4.375</v>
      </c>
      <c r="N82" s="454">
        <f t="shared" si="64"/>
        <v>6.65</v>
      </c>
      <c r="O82" s="454">
        <f t="shared" ca="1" si="64"/>
        <v>0</v>
      </c>
      <c r="P82" s="454">
        <f t="shared" ca="1" si="64"/>
        <v>0</v>
      </c>
      <c r="Q82" s="454">
        <f t="shared" ca="1" si="64"/>
        <v>0</v>
      </c>
      <c r="R82" s="454">
        <f t="shared" ca="1" si="64"/>
        <v>3.5000000000000004</v>
      </c>
      <c r="S82" s="454">
        <f t="shared" ca="1" si="64"/>
        <v>0</v>
      </c>
      <c r="T82" s="454">
        <f t="shared" ca="1" si="64"/>
        <v>5.2500000000000009</v>
      </c>
      <c r="U82" s="454">
        <f ca="1">U71*3.5%</f>
        <v>25.239550000000001</v>
      </c>
      <c r="V82" s="454">
        <f ca="1">V71*3.5%</f>
        <v>31.539550000000002</v>
      </c>
      <c r="W82" s="432">
        <f t="shared" ca="1" si="62"/>
        <v>76.554100000000005</v>
      </c>
      <c r="X82" s="454"/>
    </row>
    <row r="83" spans="9:24" ht="13.15" customHeight="1" x14ac:dyDescent="0.4">
      <c r="I83" s="444" t="s">
        <v>171</v>
      </c>
      <c r="K83" s="444">
        <f t="shared" ref="K83:V83" si="65">SUM(K79:K82)</f>
        <v>183.76050000000001</v>
      </c>
      <c r="L83" s="444">
        <f t="shared" ca="1" si="65"/>
        <v>273.57400000000007</v>
      </c>
      <c r="M83" s="444">
        <f t="shared" si="65"/>
        <v>109.36975000000001</v>
      </c>
      <c r="N83" s="444">
        <f t="shared" si="65"/>
        <v>103.40347500000001</v>
      </c>
      <c r="O83" s="444">
        <f t="shared" ca="1" si="65"/>
        <v>73.850000000000009</v>
      </c>
      <c r="P83" s="444">
        <f t="shared" ca="1" si="65"/>
        <v>69.447700000000012</v>
      </c>
      <c r="Q83" s="444">
        <f t="shared" ca="1" si="65"/>
        <v>33.159000000000006</v>
      </c>
      <c r="R83" s="444">
        <f t="shared" ca="1" si="65"/>
        <v>70.261100000000013</v>
      </c>
      <c r="S83" s="444">
        <f t="shared" ca="1" si="65"/>
        <v>177.52875</v>
      </c>
      <c r="T83" s="444">
        <f t="shared" ca="1" si="65"/>
        <v>110.054</v>
      </c>
      <c r="U83" s="444">
        <f t="shared" ca="1" si="65"/>
        <v>257.81280000000004</v>
      </c>
      <c r="V83" s="444">
        <f t="shared" ca="1" si="65"/>
        <v>86.773750000000007</v>
      </c>
      <c r="W83" s="432">
        <f t="shared" ca="1" si="62"/>
        <v>1548.9948250000004</v>
      </c>
      <c r="X83" s="454"/>
    </row>
    <row r="84" spans="9:24" x14ac:dyDescent="0.35">
      <c r="I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  <c r="W84" s="432">
        <f t="shared" si="62"/>
        <v>0</v>
      </c>
      <c r="X84" s="454"/>
    </row>
    <row r="85" spans="9:24" ht="13.15" customHeight="1" x14ac:dyDescent="0.4">
      <c r="I85" s="444" t="s">
        <v>164</v>
      </c>
      <c r="K85" s="444">
        <f t="shared" ref="K85:V85" si="66">K77-K83</f>
        <v>8093.709499999999</v>
      </c>
      <c r="L85" s="444">
        <f t="shared" ca="1" si="66"/>
        <v>10333.536</v>
      </c>
      <c r="M85" s="444">
        <f t="shared" si="66"/>
        <v>7045.6802499999994</v>
      </c>
      <c r="N85" s="444">
        <f t="shared" si="66"/>
        <v>4267.6115250000003</v>
      </c>
      <c r="O85" s="444">
        <f t="shared" ca="1" si="66"/>
        <v>3928.78</v>
      </c>
      <c r="P85" s="444">
        <f t="shared" ca="1" si="66"/>
        <v>3174.1522999999997</v>
      </c>
      <c r="Q85" s="444">
        <f t="shared" ca="1" si="66"/>
        <v>2825.8709999999996</v>
      </c>
      <c r="R85" s="444">
        <f t="shared" ca="1" si="66"/>
        <v>4722.3289000000004</v>
      </c>
      <c r="S85" s="444">
        <f t="shared" ca="1" si="66"/>
        <v>6266.3512499999997</v>
      </c>
      <c r="T85" s="444">
        <f t="shared" ca="1" si="66"/>
        <v>3797.9760000000001</v>
      </c>
      <c r="U85" s="444">
        <f t="shared" ca="1" si="66"/>
        <v>8041.267200000002</v>
      </c>
      <c r="V85" s="444">
        <f t="shared" ca="1" si="66"/>
        <v>4555.4762499999997</v>
      </c>
      <c r="W85" s="554">
        <f t="shared" ca="1" si="62"/>
        <v>67052.740174999999</v>
      </c>
      <c r="X85" s="454"/>
    </row>
    <row r="86" spans="9:24" x14ac:dyDescent="0.35">
      <c r="I86" s="454"/>
      <c r="K86" s="454"/>
      <c r="L86" s="454"/>
      <c r="M86" s="454"/>
      <c r="N86" s="454"/>
      <c r="O86" s="454"/>
      <c r="P86" s="454"/>
      <c r="Q86" s="454"/>
      <c r="R86" s="454"/>
      <c r="S86" s="454"/>
      <c r="T86" s="454"/>
      <c r="U86" s="454"/>
      <c r="V86" s="454"/>
      <c r="W86" s="454"/>
      <c r="X86" s="454"/>
    </row>
    <row r="87" spans="9:24" x14ac:dyDescent="0.35">
      <c r="K87" s="454"/>
      <c r="L87" s="454"/>
      <c r="M87" s="454"/>
      <c r="N87" s="454"/>
      <c r="O87" s="454"/>
      <c r="P87" s="454"/>
      <c r="Q87" s="454"/>
      <c r="R87" s="454"/>
      <c r="S87" s="454"/>
      <c r="T87" s="454"/>
      <c r="U87" s="454"/>
      <c r="V87" s="454"/>
      <c r="W87" s="454"/>
      <c r="X87" s="454"/>
    </row>
    <row r="88" spans="9:24" ht="13.15" customHeight="1" x14ac:dyDescent="0.4">
      <c r="I88" s="556" t="s">
        <v>173</v>
      </c>
      <c r="K88" s="577" t="s">
        <v>142</v>
      </c>
      <c r="L88" s="577" t="s">
        <v>143</v>
      </c>
      <c r="M88" s="577" t="s">
        <v>144</v>
      </c>
      <c r="N88" s="577" t="s">
        <v>145</v>
      </c>
      <c r="O88" s="577" t="s">
        <v>146</v>
      </c>
      <c r="P88" s="577" t="s">
        <v>147</v>
      </c>
      <c r="Q88" s="577" t="s">
        <v>148</v>
      </c>
      <c r="R88" s="577" t="s">
        <v>149</v>
      </c>
      <c r="S88" s="577" t="s">
        <v>150</v>
      </c>
      <c r="T88" s="577" t="s">
        <v>151</v>
      </c>
      <c r="U88" s="577" t="s">
        <v>152</v>
      </c>
      <c r="V88" s="577" t="s">
        <v>153</v>
      </c>
      <c r="W88" s="577" t="s">
        <v>19</v>
      </c>
      <c r="X88" s="423" t="s">
        <v>158</v>
      </c>
    </row>
    <row r="89" spans="9:24" x14ac:dyDescent="0.35">
      <c r="I89" s="426" t="s">
        <v>174</v>
      </c>
      <c r="K89" s="432">
        <f t="shared" ref="K89:K95" si="67">SUMIF($G$594:$G$663,$I89,$E$594:$E$663)</f>
        <v>1880</v>
      </c>
      <c r="L89" s="432">
        <f t="shared" ref="L89:L95" si="68">SUMIF($G$520:$G$593,$I89,$E$520:$E$593)</f>
        <v>1830</v>
      </c>
      <c r="M89" s="432">
        <f t="shared" ref="M89:M95" si="69">SUMIF($G$456:$G$519,$I89,$E$456:$E$519)</f>
        <v>1764.85</v>
      </c>
      <c r="N89" s="432">
        <f t="shared" ref="N89:N95" si="70">SUMIF($G$417:$G$454,$I89,$E$417:$E$454)</f>
        <v>929.38499999999999</v>
      </c>
      <c r="O89" s="432">
        <f t="shared" ref="O89:O95" si="71">SUMIF($G$377:$G$414,$I89,$E$377:$E$414)</f>
        <v>2205</v>
      </c>
      <c r="P89" s="432">
        <f t="shared" ref="P89:P95" si="72">SUMIF($G$348:$G$375,$I89,$E$348:$E$375)</f>
        <v>719.61</v>
      </c>
      <c r="Q89" s="432">
        <f t="shared" ref="Q89:Q95" si="73">SUMIF($G$319:$G$346,$I89,$E$319:$E$346)</f>
        <v>1474.4</v>
      </c>
      <c r="R89" s="432">
        <f t="shared" ref="R89:R95" si="74">SUMIF($G$284:$G$317,$I89,$E$284:$E$317)</f>
        <v>932.6</v>
      </c>
      <c r="S89" s="432">
        <f t="shared" ref="S89:S95" si="75">SUMIF($G$244:$G$282,$I89,$E$244:$E$282)</f>
        <v>1451.5</v>
      </c>
      <c r="T89" s="432">
        <f t="shared" ref="T89:T95" si="76">SUMIF($G$207:$G$242,$I89,$E$207:$E$242)</f>
        <v>1212.4000000000001</v>
      </c>
      <c r="U89" s="432">
        <f t="shared" ref="U89:U95" si="77">SUMIF($G$161:$G$205,$I89,$E$161:$E$205)</f>
        <v>780.65</v>
      </c>
      <c r="V89" s="432">
        <f t="shared" ref="V89:V95" si="78">SUMIF($G$121:$G$159,$I89,$E$121:$E$159)</f>
        <v>2155</v>
      </c>
      <c r="W89" s="432">
        <f t="shared" ref="W89:W95" si="79">SUM(K89:V89)</f>
        <v>17335.395</v>
      </c>
      <c r="X89" s="460">
        <f t="shared" ref="X89:X96" si="80">IFERROR(W89/$W$96,0)</f>
        <v>0.25269615994405975</v>
      </c>
    </row>
    <row r="90" spans="9:24" x14ac:dyDescent="0.35">
      <c r="I90" s="426" t="s">
        <v>175</v>
      </c>
      <c r="K90" s="432">
        <f t="shared" si="67"/>
        <v>3918.0100000000007</v>
      </c>
      <c r="L90" s="432">
        <f t="shared" si="68"/>
        <v>6095.77</v>
      </c>
      <c r="M90" s="432">
        <f t="shared" si="69"/>
        <v>3088</v>
      </c>
      <c r="N90" s="432">
        <f t="shared" si="70"/>
        <v>2493.63</v>
      </c>
      <c r="O90" s="432">
        <f t="shared" si="71"/>
        <v>633.63</v>
      </c>
      <c r="P90" s="432">
        <f t="shared" si="72"/>
        <v>1991.9900000000002</v>
      </c>
      <c r="Q90" s="432">
        <f t="shared" si="73"/>
        <v>1177.6300000000001</v>
      </c>
      <c r="R90" s="432">
        <f t="shared" si="74"/>
        <v>3683.9900000000002</v>
      </c>
      <c r="S90" s="432">
        <f t="shared" si="75"/>
        <v>3730.13</v>
      </c>
      <c r="T90" s="432">
        <f t="shared" si="76"/>
        <v>1362.63</v>
      </c>
      <c r="U90" s="432">
        <f t="shared" si="77"/>
        <v>7455.43</v>
      </c>
      <c r="V90" s="432">
        <f t="shared" si="78"/>
        <v>2243.63</v>
      </c>
      <c r="W90" s="432">
        <f t="shared" si="79"/>
        <v>37874.47</v>
      </c>
      <c r="X90" s="460">
        <f t="shared" si="80"/>
        <v>0.55209201341627878</v>
      </c>
    </row>
    <row r="91" spans="9:24" x14ac:dyDescent="0.35">
      <c r="I91" s="426" t="s">
        <v>1311</v>
      </c>
      <c r="K91" s="432">
        <f t="shared" si="67"/>
        <v>1560</v>
      </c>
      <c r="L91" s="432">
        <f t="shared" si="68"/>
        <v>1125</v>
      </c>
      <c r="M91" s="432">
        <f t="shared" si="69"/>
        <v>1200</v>
      </c>
      <c r="N91" s="432">
        <f t="shared" si="70"/>
        <v>230</v>
      </c>
      <c r="O91" s="432">
        <f t="shared" si="71"/>
        <v>170</v>
      </c>
      <c r="P91" s="432">
        <f t="shared" si="72"/>
        <v>200</v>
      </c>
      <c r="Q91" s="432">
        <f t="shared" si="73"/>
        <v>0</v>
      </c>
      <c r="R91" s="432">
        <f t="shared" si="74"/>
        <v>0</v>
      </c>
      <c r="S91" s="432">
        <f t="shared" si="75"/>
        <v>200</v>
      </c>
      <c r="T91" s="432">
        <f t="shared" si="76"/>
        <v>50</v>
      </c>
      <c r="U91" s="432">
        <f t="shared" si="77"/>
        <v>20</v>
      </c>
      <c r="V91" s="432">
        <f t="shared" si="78"/>
        <v>200</v>
      </c>
      <c r="W91" s="432">
        <f t="shared" si="79"/>
        <v>4955</v>
      </c>
      <c r="X91" s="460">
        <f t="shared" si="80"/>
        <v>7.2228493929490267E-2</v>
      </c>
    </row>
    <row r="92" spans="9:24" x14ac:dyDescent="0.35">
      <c r="I92" s="426" t="s">
        <v>163</v>
      </c>
      <c r="K92" s="432">
        <f t="shared" si="67"/>
        <v>104</v>
      </c>
      <c r="L92" s="432">
        <f t="shared" si="68"/>
        <v>65</v>
      </c>
      <c r="M92" s="432">
        <f t="shared" si="69"/>
        <v>26</v>
      </c>
      <c r="N92" s="432">
        <f t="shared" si="70"/>
        <v>13</v>
      </c>
      <c r="O92" s="432">
        <f t="shared" si="71"/>
        <v>104</v>
      </c>
      <c r="P92" s="432">
        <f t="shared" si="72"/>
        <v>52</v>
      </c>
      <c r="Q92" s="432">
        <f t="shared" si="73"/>
        <v>52</v>
      </c>
      <c r="R92" s="432">
        <f t="shared" si="74"/>
        <v>26</v>
      </c>
      <c r="S92" s="432">
        <f t="shared" si="75"/>
        <v>13</v>
      </c>
      <c r="T92" s="432">
        <f t="shared" si="76"/>
        <v>0</v>
      </c>
      <c r="U92" s="432">
        <f t="shared" si="77"/>
        <v>13</v>
      </c>
      <c r="V92" s="432">
        <f t="shared" si="78"/>
        <v>13</v>
      </c>
      <c r="W92" s="432">
        <f t="shared" si="79"/>
        <v>481</v>
      </c>
      <c r="X92" s="460">
        <f t="shared" si="80"/>
        <v>7.0114844763036971E-3</v>
      </c>
    </row>
    <row r="93" spans="9:24" x14ac:dyDescent="0.35">
      <c r="I93" s="426" t="s">
        <v>177</v>
      </c>
      <c r="K93" s="432">
        <f t="shared" si="67"/>
        <v>59</v>
      </c>
      <c r="L93" s="432">
        <f t="shared" si="68"/>
        <v>133</v>
      </c>
      <c r="M93" s="432">
        <f t="shared" si="69"/>
        <v>255</v>
      </c>
      <c r="N93" s="432">
        <f t="shared" si="70"/>
        <v>130</v>
      </c>
      <c r="O93" s="432">
        <f t="shared" si="71"/>
        <v>65</v>
      </c>
      <c r="P93" s="432">
        <f t="shared" si="72"/>
        <v>65</v>
      </c>
      <c r="Q93" s="432">
        <f t="shared" si="73"/>
        <v>155</v>
      </c>
      <c r="R93" s="432">
        <f t="shared" si="74"/>
        <v>120</v>
      </c>
      <c r="S93" s="432">
        <f t="shared" si="75"/>
        <v>687.75</v>
      </c>
      <c r="T93" s="432">
        <f t="shared" si="76"/>
        <v>459</v>
      </c>
      <c r="U93" s="432">
        <f t="shared" si="77"/>
        <v>0</v>
      </c>
      <c r="V93" s="432">
        <f t="shared" si="78"/>
        <v>0</v>
      </c>
      <c r="W93" s="432">
        <f t="shared" si="79"/>
        <v>2128.75</v>
      </c>
      <c r="X93" s="460">
        <f t="shared" si="80"/>
        <v>3.1030556297154874E-2</v>
      </c>
    </row>
    <row r="94" spans="9:24" x14ac:dyDescent="0.35">
      <c r="I94" s="45" t="s">
        <v>179</v>
      </c>
      <c r="K94" s="432">
        <f t="shared" si="67"/>
        <v>175</v>
      </c>
      <c r="L94" s="432">
        <f t="shared" si="68"/>
        <v>1220</v>
      </c>
      <c r="M94" s="432">
        <f t="shared" si="69"/>
        <v>400</v>
      </c>
      <c r="N94" s="432">
        <f t="shared" si="70"/>
        <v>575</v>
      </c>
      <c r="O94" s="432">
        <f t="shared" si="71"/>
        <v>825</v>
      </c>
      <c r="P94" s="432">
        <f t="shared" si="72"/>
        <v>215</v>
      </c>
      <c r="Q94" s="432">
        <f t="shared" si="73"/>
        <v>0</v>
      </c>
      <c r="R94" s="432">
        <f t="shared" si="74"/>
        <v>30</v>
      </c>
      <c r="S94" s="432">
        <f t="shared" si="75"/>
        <v>361.5</v>
      </c>
      <c r="T94" s="432">
        <f t="shared" si="76"/>
        <v>824</v>
      </c>
      <c r="U94" s="432">
        <f t="shared" si="77"/>
        <v>30</v>
      </c>
      <c r="V94" s="432">
        <f t="shared" si="78"/>
        <v>30.62</v>
      </c>
      <c r="W94" s="432">
        <f t="shared" si="79"/>
        <v>4686.12</v>
      </c>
      <c r="X94" s="460">
        <f t="shared" si="80"/>
        <v>6.8309059530345689E-2</v>
      </c>
    </row>
    <row r="95" spans="9:24" x14ac:dyDescent="0.35">
      <c r="I95" s="426" t="s">
        <v>181</v>
      </c>
      <c r="K95" s="432">
        <f t="shared" si="67"/>
        <v>581.46</v>
      </c>
      <c r="L95" s="432">
        <f t="shared" si="68"/>
        <v>138.34</v>
      </c>
      <c r="M95" s="432">
        <f t="shared" si="69"/>
        <v>421.2</v>
      </c>
      <c r="N95" s="432">
        <f t="shared" si="70"/>
        <v>0</v>
      </c>
      <c r="O95" s="432">
        <f t="shared" si="71"/>
        <v>0</v>
      </c>
      <c r="P95" s="432">
        <f t="shared" si="72"/>
        <v>0</v>
      </c>
      <c r="Q95" s="432">
        <f t="shared" si="73"/>
        <v>0</v>
      </c>
      <c r="R95" s="432">
        <f t="shared" si="74"/>
        <v>0</v>
      </c>
      <c r="S95" s="432">
        <f t="shared" si="75"/>
        <v>0</v>
      </c>
      <c r="T95" s="432">
        <f t="shared" si="76"/>
        <v>0</v>
      </c>
      <c r="U95" s="432">
        <f t="shared" si="77"/>
        <v>0</v>
      </c>
      <c r="V95" s="432">
        <f t="shared" si="78"/>
        <v>0</v>
      </c>
      <c r="W95" s="432">
        <f t="shared" si="79"/>
        <v>1141</v>
      </c>
      <c r="X95" s="460">
        <f t="shared" si="80"/>
        <v>1.6632232406366982E-2</v>
      </c>
    </row>
    <row r="96" spans="9:24" ht="13.15" customHeight="1" x14ac:dyDescent="0.4">
      <c r="I96" s="454"/>
      <c r="K96" s="444">
        <f t="shared" ref="K96:W96" si="81">SUM(K89:K95)</f>
        <v>8277.4700000000012</v>
      </c>
      <c r="L96" s="444">
        <f t="shared" si="81"/>
        <v>10607.11</v>
      </c>
      <c r="M96" s="444">
        <f t="shared" si="81"/>
        <v>7155.05</v>
      </c>
      <c r="N96" s="444">
        <f t="shared" si="81"/>
        <v>4371.0150000000003</v>
      </c>
      <c r="O96" s="444">
        <f t="shared" si="81"/>
        <v>4002.63</v>
      </c>
      <c r="P96" s="444">
        <f t="shared" si="81"/>
        <v>3243.6000000000004</v>
      </c>
      <c r="Q96" s="444">
        <f t="shared" si="81"/>
        <v>2859.03</v>
      </c>
      <c r="R96" s="444">
        <f t="shared" si="81"/>
        <v>4792.59</v>
      </c>
      <c r="S96" s="444">
        <f t="shared" si="81"/>
        <v>6443.88</v>
      </c>
      <c r="T96" s="444">
        <f t="shared" si="81"/>
        <v>3908.03</v>
      </c>
      <c r="U96" s="444">
        <f t="shared" si="81"/>
        <v>8299.08</v>
      </c>
      <c r="V96" s="444">
        <f t="shared" si="81"/>
        <v>4642.25</v>
      </c>
      <c r="W96" s="444">
        <f t="shared" si="81"/>
        <v>68601.735000000001</v>
      </c>
      <c r="X96" s="460">
        <f t="shared" si="80"/>
        <v>1</v>
      </c>
    </row>
    <row r="97" spans="9:24" x14ac:dyDescent="0.35">
      <c r="J97" s="454"/>
      <c r="K97" s="454">
        <f t="shared" ref="K97:W97" si="82">K77-K96</f>
        <v>0</v>
      </c>
      <c r="L97" s="454">
        <f t="shared" ca="1" si="82"/>
        <v>0</v>
      </c>
      <c r="M97" s="454">
        <f t="shared" si="82"/>
        <v>0</v>
      </c>
      <c r="N97" s="454">
        <f t="shared" si="82"/>
        <v>0</v>
      </c>
      <c r="O97" s="454">
        <f t="shared" ca="1" si="82"/>
        <v>0</v>
      </c>
      <c r="P97" s="454">
        <f t="shared" ca="1" si="82"/>
        <v>0</v>
      </c>
      <c r="Q97" s="454">
        <f t="shared" ca="1" si="82"/>
        <v>0</v>
      </c>
      <c r="R97" s="454">
        <f t="shared" ca="1" si="82"/>
        <v>0</v>
      </c>
      <c r="S97" s="454">
        <f t="shared" ca="1" si="82"/>
        <v>0</v>
      </c>
      <c r="T97" s="454">
        <f t="shared" ca="1" si="82"/>
        <v>0</v>
      </c>
      <c r="U97" s="454">
        <f t="shared" ca="1" si="82"/>
        <v>0</v>
      </c>
      <c r="V97" s="454">
        <f t="shared" ca="1" si="82"/>
        <v>0</v>
      </c>
      <c r="W97" s="454">
        <f t="shared" ca="1" si="82"/>
        <v>0</v>
      </c>
      <c r="X97" s="454"/>
    </row>
    <row r="98" spans="9:24" ht="13.15" customHeight="1" x14ac:dyDescent="0.4">
      <c r="I98" s="556" t="s">
        <v>182</v>
      </c>
      <c r="K98" s="577" t="s">
        <v>142</v>
      </c>
      <c r="L98" s="577" t="s">
        <v>143</v>
      </c>
      <c r="M98" s="577" t="s">
        <v>144</v>
      </c>
      <c r="N98" s="577" t="s">
        <v>145</v>
      </c>
      <c r="O98" s="577" t="s">
        <v>146</v>
      </c>
      <c r="P98" s="577" t="s">
        <v>147</v>
      </c>
      <c r="Q98" s="577" t="s">
        <v>148</v>
      </c>
      <c r="R98" s="577" t="s">
        <v>149</v>
      </c>
      <c r="S98" s="577" t="s">
        <v>150</v>
      </c>
      <c r="T98" s="577" t="s">
        <v>151</v>
      </c>
      <c r="U98" s="577" t="s">
        <v>152</v>
      </c>
      <c r="V98" s="577" t="s">
        <v>153</v>
      </c>
      <c r="W98" s="577" t="s">
        <v>19</v>
      </c>
      <c r="X98" s="423" t="s">
        <v>158</v>
      </c>
    </row>
    <row r="99" spans="9:24" ht="13.15" customHeight="1" x14ac:dyDescent="0.4">
      <c r="I99" s="444" t="s">
        <v>183</v>
      </c>
      <c r="K99" s="454">
        <f t="shared" ref="K99:V99" si="83">SUM(K96-K90)</f>
        <v>4359.4600000000009</v>
      </c>
      <c r="L99" s="454">
        <f t="shared" si="83"/>
        <v>4511.34</v>
      </c>
      <c r="M99" s="454">
        <f t="shared" si="83"/>
        <v>4067.05</v>
      </c>
      <c r="N99" s="454">
        <f t="shared" si="83"/>
        <v>1877.3850000000002</v>
      </c>
      <c r="O99" s="454">
        <f t="shared" si="83"/>
        <v>3369</v>
      </c>
      <c r="P99" s="454">
        <f t="shared" si="83"/>
        <v>1251.6100000000001</v>
      </c>
      <c r="Q99" s="454">
        <f t="shared" si="83"/>
        <v>1681.4</v>
      </c>
      <c r="R99" s="454">
        <f t="shared" si="83"/>
        <v>1108.5999999999999</v>
      </c>
      <c r="S99" s="454">
        <f t="shared" si="83"/>
        <v>2713.75</v>
      </c>
      <c r="T99" s="454">
        <f t="shared" si="83"/>
        <v>2545.4</v>
      </c>
      <c r="U99" s="454">
        <f t="shared" si="83"/>
        <v>843.64999999999964</v>
      </c>
      <c r="V99" s="454">
        <f t="shared" si="83"/>
        <v>2398.62</v>
      </c>
      <c r="W99" s="554">
        <f>SUM(K99:V99)</f>
        <v>30727.265000000003</v>
      </c>
      <c r="X99" s="475">
        <f>W99/W101</f>
        <v>0.44790798658372127</v>
      </c>
    </row>
    <row r="100" spans="9:24" ht="13.15" customHeight="1" x14ac:dyDescent="0.4">
      <c r="I100" s="444" t="s">
        <v>184</v>
      </c>
      <c r="K100" s="454">
        <f t="shared" ref="K100:V100" si="84">K90</f>
        <v>3918.0100000000007</v>
      </c>
      <c r="L100" s="454">
        <f t="shared" si="84"/>
        <v>6095.77</v>
      </c>
      <c r="M100" s="454">
        <f t="shared" si="84"/>
        <v>3088</v>
      </c>
      <c r="N100" s="454">
        <f t="shared" si="84"/>
        <v>2493.63</v>
      </c>
      <c r="O100" s="454">
        <f t="shared" si="84"/>
        <v>633.63</v>
      </c>
      <c r="P100" s="454">
        <f t="shared" si="84"/>
        <v>1991.9900000000002</v>
      </c>
      <c r="Q100" s="454">
        <f t="shared" si="84"/>
        <v>1177.6300000000001</v>
      </c>
      <c r="R100" s="454">
        <f t="shared" si="84"/>
        <v>3683.9900000000002</v>
      </c>
      <c r="S100" s="454">
        <f t="shared" si="84"/>
        <v>3730.13</v>
      </c>
      <c r="T100" s="454">
        <f t="shared" si="84"/>
        <v>1362.63</v>
      </c>
      <c r="U100" s="454">
        <f t="shared" si="84"/>
        <v>7455.43</v>
      </c>
      <c r="V100" s="454">
        <f t="shared" si="84"/>
        <v>2243.63</v>
      </c>
      <c r="W100" s="562">
        <f>SUM(K100:V100)</f>
        <v>37874.47</v>
      </c>
      <c r="X100" s="475">
        <f>W100/W101</f>
        <v>0.55209201341627878</v>
      </c>
    </row>
    <row r="101" spans="9:24" ht="13.15" customHeight="1" x14ac:dyDescent="0.4">
      <c r="I101" s="444"/>
      <c r="K101" s="563">
        <f t="shared" ref="K101:W101" si="85">K99+K100</f>
        <v>8277.4700000000012</v>
      </c>
      <c r="L101" s="563">
        <f t="shared" si="85"/>
        <v>10607.11</v>
      </c>
      <c r="M101" s="563">
        <f t="shared" si="85"/>
        <v>7155.05</v>
      </c>
      <c r="N101" s="563">
        <f t="shared" si="85"/>
        <v>4371.0150000000003</v>
      </c>
      <c r="O101" s="563">
        <f t="shared" si="85"/>
        <v>4002.63</v>
      </c>
      <c r="P101" s="563">
        <f t="shared" si="85"/>
        <v>3243.6000000000004</v>
      </c>
      <c r="Q101" s="563">
        <f t="shared" si="85"/>
        <v>2859.03</v>
      </c>
      <c r="R101" s="563">
        <f t="shared" si="85"/>
        <v>4792.59</v>
      </c>
      <c r="S101" s="563">
        <f t="shared" si="85"/>
        <v>6443.88</v>
      </c>
      <c r="T101" s="563">
        <f t="shared" si="85"/>
        <v>3908.03</v>
      </c>
      <c r="U101" s="563">
        <f t="shared" si="85"/>
        <v>8299.08</v>
      </c>
      <c r="V101" s="563">
        <f t="shared" si="85"/>
        <v>4642.25</v>
      </c>
      <c r="W101" s="563">
        <f t="shared" si="85"/>
        <v>68601.735000000001</v>
      </c>
      <c r="X101" s="564"/>
    </row>
    <row r="102" spans="9:24" x14ac:dyDescent="0.35">
      <c r="J102" s="454"/>
      <c r="K102" s="454"/>
      <c r="L102" s="454"/>
      <c r="M102" s="454"/>
      <c r="N102" s="454"/>
      <c r="O102" s="454"/>
      <c r="P102" s="454"/>
      <c r="Q102" s="454"/>
      <c r="R102" s="454"/>
      <c r="S102" s="454"/>
      <c r="T102" s="454"/>
      <c r="U102" s="454"/>
      <c r="V102" s="454"/>
      <c r="W102" s="454"/>
      <c r="X102" s="454"/>
    </row>
    <row r="103" spans="9:24" ht="13.15" customHeight="1" x14ac:dyDescent="0.4">
      <c r="I103" s="556" t="s">
        <v>185</v>
      </c>
      <c r="K103" s="577" t="s">
        <v>142</v>
      </c>
      <c r="L103" s="577" t="s">
        <v>143</v>
      </c>
      <c r="M103" s="577" t="s">
        <v>144</v>
      </c>
      <c r="N103" s="577" t="s">
        <v>145</v>
      </c>
      <c r="O103" s="577" t="s">
        <v>146</v>
      </c>
      <c r="P103" s="577" t="s">
        <v>147</v>
      </c>
      <c r="Q103" s="577" t="s">
        <v>148</v>
      </c>
      <c r="R103" s="577" t="s">
        <v>149</v>
      </c>
      <c r="S103" s="577" t="s">
        <v>150</v>
      </c>
      <c r="T103" s="577" t="s">
        <v>151</v>
      </c>
      <c r="U103" s="577" t="s">
        <v>152</v>
      </c>
      <c r="V103" s="577" t="s">
        <v>153</v>
      </c>
      <c r="W103" s="577" t="s">
        <v>19</v>
      </c>
      <c r="X103" s="423" t="s">
        <v>158</v>
      </c>
    </row>
    <row r="104" spans="9:24" ht="13.15" customHeight="1" x14ac:dyDescent="0.4">
      <c r="I104" s="444" t="s">
        <v>183</v>
      </c>
      <c r="K104" s="454">
        <f>COUNTA(G594:G663)-K105</f>
        <v>39</v>
      </c>
      <c r="L104" s="454">
        <f>COUNTA(G520:G592)-L105</f>
        <v>34</v>
      </c>
      <c r="M104" s="454">
        <f>COUNTA(G456:G519)-M105</f>
        <v>33</v>
      </c>
      <c r="N104" s="454">
        <f>COUNTA(G373:G454)-N105</f>
        <v>54</v>
      </c>
      <c r="O104" s="454">
        <f>COUNTA(G373:G414)-O105</f>
        <v>30</v>
      </c>
      <c r="P104" s="454">
        <f>COUNTA(G348:G375)-P105</f>
        <v>15</v>
      </c>
      <c r="Q104" s="454">
        <f>COUNTA(G319:G346)-Q105</f>
        <v>17</v>
      </c>
      <c r="R104" s="454">
        <f>COUNTA(G284:G317)-R105</f>
        <v>14</v>
      </c>
      <c r="S104" s="454">
        <f>COUNTA(G244:G282)-S105</f>
        <v>21</v>
      </c>
      <c r="T104" s="454">
        <f>COUNTA(G207:G242)-T105</f>
        <v>26</v>
      </c>
      <c r="U104" s="454">
        <f>COUNTA(G161:G205)-U105</f>
        <v>14</v>
      </c>
      <c r="V104" s="454">
        <f>COUNTA(G121:G159)-V105</f>
        <v>24</v>
      </c>
      <c r="W104" s="554">
        <f>SUM(K104:V104)</f>
        <v>321</v>
      </c>
      <c r="X104" s="475">
        <f>W104/W106</f>
        <v>0.56217162872154114</v>
      </c>
    </row>
    <row r="105" spans="9:24" ht="13.15" customHeight="1" x14ac:dyDescent="0.4">
      <c r="I105" s="444" t="s">
        <v>184</v>
      </c>
      <c r="K105" s="454">
        <f>COUNTIF(G594:G663,"Existing")</f>
        <v>31</v>
      </c>
      <c r="L105" s="454">
        <f>COUNTIF(G520:G592,"Existing")</f>
        <v>39</v>
      </c>
      <c r="M105" s="454">
        <f>COUNTIF(G456:G519,"Existing")</f>
        <v>30</v>
      </c>
      <c r="N105" s="454">
        <f>COUNTIF(G373:G454,"Existing")</f>
        <v>25</v>
      </c>
      <c r="O105" s="454">
        <f>COUNTIF(G373:G414,"Existing")</f>
        <v>11</v>
      </c>
      <c r="P105" s="454">
        <f>COUNTIF(G348:G375,"Existing")</f>
        <v>13</v>
      </c>
      <c r="Q105" s="454">
        <f>COUNTIF(G319:G346,"Existing")</f>
        <v>11</v>
      </c>
      <c r="R105" s="454">
        <f>COUNTIF(G284:G317,"Existing")</f>
        <v>20</v>
      </c>
      <c r="S105" s="454">
        <f>COUNTIF(G244:G282,"Existing")</f>
        <v>18</v>
      </c>
      <c r="T105" s="454">
        <f>COUNTIF(G207:G242,"Existing")</f>
        <v>10</v>
      </c>
      <c r="U105" s="454">
        <f>COUNTIF(G161:G205,"Existing")</f>
        <v>31</v>
      </c>
      <c r="V105" s="454">
        <f>COUNTIF(G121:G159,"Existing")</f>
        <v>11</v>
      </c>
      <c r="W105" s="554">
        <f>SUM(K105:V105)</f>
        <v>250</v>
      </c>
      <c r="X105" s="475">
        <f>W105/$W$106</f>
        <v>0.43782837127845886</v>
      </c>
    </row>
    <row r="106" spans="9:24" ht="13.15" customHeight="1" x14ac:dyDescent="0.4">
      <c r="J106" s="454"/>
      <c r="K106" s="563">
        <f t="shared" ref="K106:W106" si="86">K104+K105</f>
        <v>70</v>
      </c>
      <c r="L106" s="563">
        <f t="shared" si="86"/>
        <v>73</v>
      </c>
      <c r="M106" s="563">
        <f t="shared" si="86"/>
        <v>63</v>
      </c>
      <c r="N106" s="563">
        <f t="shared" si="86"/>
        <v>79</v>
      </c>
      <c r="O106" s="563">
        <f t="shared" si="86"/>
        <v>41</v>
      </c>
      <c r="P106" s="563">
        <f t="shared" si="86"/>
        <v>28</v>
      </c>
      <c r="Q106" s="563">
        <f t="shared" si="86"/>
        <v>28</v>
      </c>
      <c r="R106" s="563">
        <f t="shared" si="86"/>
        <v>34</v>
      </c>
      <c r="S106" s="563">
        <f t="shared" si="86"/>
        <v>39</v>
      </c>
      <c r="T106" s="563">
        <f t="shared" si="86"/>
        <v>36</v>
      </c>
      <c r="U106" s="563">
        <f t="shared" si="86"/>
        <v>45</v>
      </c>
      <c r="V106" s="563">
        <f t="shared" si="86"/>
        <v>35</v>
      </c>
      <c r="W106" s="563">
        <f t="shared" si="86"/>
        <v>571</v>
      </c>
      <c r="X106" s="564"/>
    </row>
    <row r="107" spans="9:24" ht="13.15" customHeight="1" x14ac:dyDescent="0.4">
      <c r="J107" s="454"/>
      <c r="K107" s="561"/>
      <c r="L107" s="561"/>
      <c r="M107" s="561"/>
      <c r="N107" s="561"/>
      <c r="O107" s="561"/>
      <c r="P107" s="561"/>
      <c r="Q107" s="561"/>
      <c r="R107" s="561"/>
      <c r="S107" s="561"/>
      <c r="T107" s="561"/>
      <c r="U107" s="561"/>
      <c r="V107" s="561"/>
      <c r="W107" s="561"/>
      <c r="X107" s="475"/>
    </row>
    <row r="108" spans="9:24" ht="13.15" customHeight="1" x14ac:dyDescent="0.4">
      <c r="I108" s="556" t="s">
        <v>186</v>
      </c>
      <c r="K108" s="577" t="s">
        <v>142</v>
      </c>
      <c r="L108" s="577" t="s">
        <v>143</v>
      </c>
      <c r="M108" s="577" t="s">
        <v>144</v>
      </c>
      <c r="N108" s="577" t="s">
        <v>145</v>
      </c>
      <c r="O108" s="577" t="s">
        <v>146</v>
      </c>
      <c r="P108" s="577" t="s">
        <v>147</v>
      </c>
      <c r="Q108" s="577" t="s">
        <v>148</v>
      </c>
      <c r="R108" s="577" t="s">
        <v>149</v>
      </c>
      <c r="S108" s="577" t="s">
        <v>150</v>
      </c>
      <c r="T108" s="577" t="s">
        <v>151</v>
      </c>
      <c r="U108" s="577" t="s">
        <v>152</v>
      </c>
      <c r="V108" s="577" t="s">
        <v>153</v>
      </c>
      <c r="W108" s="577" t="s">
        <v>19</v>
      </c>
      <c r="X108" s="423" t="s">
        <v>158</v>
      </c>
    </row>
    <row r="109" spans="9:24" ht="13.15" customHeight="1" x14ac:dyDescent="0.4">
      <c r="I109" s="444" t="s">
        <v>183</v>
      </c>
      <c r="K109" s="454">
        <f t="shared" ref="K109:V109" si="87">IFERROR(K99/K104,0)</f>
        <v>111.78102564102566</v>
      </c>
      <c r="L109" s="454">
        <f t="shared" si="87"/>
        <v>132.6864705882353</v>
      </c>
      <c r="M109" s="454">
        <f t="shared" si="87"/>
        <v>123.2439393939394</v>
      </c>
      <c r="N109" s="454">
        <f t="shared" si="87"/>
        <v>34.766388888888891</v>
      </c>
      <c r="O109" s="454">
        <f t="shared" si="87"/>
        <v>112.3</v>
      </c>
      <c r="P109" s="454">
        <f t="shared" si="87"/>
        <v>83.440666666666672</v>
      </c>
      <c r="Q109" s="454">
        <f t="shared" si="87"/>
        <v>98.905882352941177</v>
      </c>
      <c r="R109" s="454">
        <f t="shared" si="87"/>
        <v>79.185714285714283</v>
      </c>
      <c r="S109" s="454">
        <f t="shared" si="87"/>
        <v>129.22619047619048</v>
      </c>
      <c r="T109" s="454">
        <f t="shared" si="87"/>
        <v>97.9</v>
      </c>
      <c r="U109" s="454">
        <f t="shared" si="87"/>
        <v>60.260714285714258</v>
      </c>
      <c r="V109" s="454">
        <f t="shared" si="87"/>
        <v>99.942499999999995</v>
      </c>
      <c r="W109" s="554">
        <f>AVERAGE(K109:V109)</f>
        <v>96.969957714943007</v>
      </c>
      <c r="X109" s="475">
        <f>W109/W111</f>
        <v>0.39592323707669841</v>
      </c>
    </row>
    <row r="110" spans="9:24" ht="13.15" customHeight="1" x14ac:dyDescent="0.4">
      <c r="I110" s="444" t="s">
        <v>184</v>
      </c>
      <c r="K110" s="454">
        <f t="shared" ref="K110:V110" si="88">IFERROR(K100/K105,0)</f>
        <v>126.38741935483873</v>
      </c>
      <c r="L110" s="454">
        <f t="shared" si="88"/>
        <v>156.3017948717949</v>
      </c>
      <c r="M110" s="454">
        <f t="shared" si="88"/>
        <v>102.93333333333334</v>
      </c>
      <c r="N110" s="454">
        <f t="shared" si="88"/>
        <v>99.745200000000011</v>
      </c>
      <c r="O110" s="454">
        <f t="shared" si="88"/>
        <v>57.602727272727272</v>
      </c>
      <c r="P110" s="454">
        <f t="shared" si="88"/>
        <v>153.23000000000002</v>
      </c>
      <c r="Q110" s="454">
        <f t="shared" si="88"/>
        <v>107.05727272727273</v>
      </c>
      <c r="R110" s="454">
        <f t="shared" si="88"/>
        <v>184.1995</v>
      </c>
      <c r="S110" s="454">
        <f t="shared" si="88"/>
        <v>207.22944444444445</v>
      </c>
      <c r="T110" s="454">
        <f t="shared" si="88"/>
        <v>136.26300000000001</v>
      </c>
      <c r="U110" s="454">
        <f t="shared" si="88"/>
        <v>240.49774193548387</v>
      </c>
      <c r="V110" s="454">
        <f t="shared" si="88"/>
        <v>203.96636363636364</v>
      </c>
      <c r="W110" s="554">
        <f>AVERAGE(K110:V110)</f>
        <v>147.95114979802156</v>
      </c>
      <c r="X110" s="475">
        <f>W110/$W$111</f>
        <v>0.60407676292330159</v>
      </c>
    </row>
    <row r="111" spans="9:24" ht="13.15" customHeight="1" x14ac:dyDescent="0.4">
      <c r="J111" s="454"/>
      <c r="K111" s="563">
        <f t="shared" ref="K111:W111" si="89">K109+K110</f>
        <v>238.16844499586438</v>
      </c>
      <c r="L111" s="563">
        <f t="shared" si="89"/>
        <v>288.98826546003022</v>
      </c>
      <c r="M111" s="563">
        <f t="shared" si="89"/>
        <v>226.17727272727274</v>
      </c>
      <c r="N111" s="563">
        <f t="shared" si="89"/>
        <v>134.51158888888889</v>
      </c>
      <c r="O111" s="563">
        <f t="shared" si="89"/>
        <v>169.90272727272728</v>
      </c>
      <c r="P111" s="563">
        <f t="shared" si="89"/>
        <v>236.6706666666667</v>
      </c>
      <c r="Q111" s="563">
        <f t="shared" si="89"/>
        <v>205.96315508021391</v>
      </c>
      <c r="R111" s="563">
        <f t="shared" si="89"/>
        <v>263.38521428571426</v>
      </c>
      <c r="S111" s="563">
        <f t="shared" si="89"/>
        <v>336.45563492063491</v>
      </c>
      <c r="T111" s="563">
        <f t="shared" si="89"/>
        <v>234.16300000000001</v>
      </c>
      <c r="U111" s="563">
        <f t="shared" si="89"/>
        <v>300.75845622119812</v>
      </c>
      <c r="V111" s="563">
        <f t="shared" si="89"/>
        <v>303.90886363636366</v>
      </c>
      <c r="W111" s="563">
        <f t="shared" si="89"/>
        <v>244.92110751296457</v>
      </c>
      <c r="X111" s="564"/>
    </row>
    <row r="119" spans="1:7" ht="13.15" customHeight="1" x14ac:dyDescent="0.4">
      <c r="E119" s="605">
        <f>SUM(E121:E663)</f>
        <v>68601.734999999986</v>
      </c>
    </row>
    <row r="120" spans="1:7" ht="13.9" customHeight="1" x14ac:dyDescent="0.4">
      <c r="A120" s="482" t="s">
        <v>187</v>
      </c>
      <c r="B120" s="459" t="s">
        <v>188</v>
      </c>
      <c r="C120" s="459" t="s">
        <v>189</v>
      </c>
      <c r="D120" s="459" t="s">
        <v>190</v>
      </c>
      <c r="E120" s="483" t="s">
        <v>74</v>
      </c>
      <c r="F120" s="459" t="s">
        <v>75</v>
      </c>
      <c r="G120" s="459" t="s">
        <v>191</v>
      </c>
    </row>
    <row r="121" spans="1:7" ht="13.5" customHeight="1" x14ac:dyDescent="0.35">
      <c r="A121" s="47"/>
      <c r="B121" s="45"/>
      <c r="C121" s="45"/>
      <c r="D121" s="45"/>
      <c r="E121" s="53"/>
      <c r="F121" s="45"/>
      <c r="G121" s="45"/>
    </row>
    <row r="122" spans="1:7" ht="13.5" customHeight="1" x14ac:dyDescent="0.35">
      <c r="A122" s="47"/>
      <c r="B122" s="45"/>
      <c r="C122" s="45"/>
      <c r="D122" s="45"/>
      <c r="E122" s="53"/>
      <c r="F122" s="45"/>
      <c r="G122" s="45"/>
    </row>
    <row r="123" spans="1:7" ht="13.5" customHeight="1" x14ac:dyDescent="0.35">
      <c r="A123" s="47"/>
      <c r="B123" s="45"/>
      <c r="D123" s="45"/>
      <c r="E123" s="53"/>
      <c r="F123" s="45"/>
      <c r="G123" s="45"/>
    </row>
    <row r="124" spans="1:7" ht="13.5" customHeight="1" x14ac:dyDescent="0.35">
      <c r="A124" s="47">
        <v>43464</v>
      </c>
      <c r="B124" s="45" t="s">
        <v>2153</v>
      </c>
      <c r="C124" s="426" t="s">
        <v>1277</v>
      </c>
      <c r="D124" s="45" t="s">
        <v>166</v>
      </c>
      <c r="E124" s="635">
        <v>-112.5</v>
      </c>
      <c r="F124" s="45" t="s">
        <v>2870</v>
      </c>
      <c r="G124" s="45" t="s">
        <v>175</v>
      </c>
    </row>
    <row r="125" spans="1:7" ht="13.5" customHeight="1" x14ac:dyDescent="0.35">
      <c r="A125" s="47">
        <v>43464</v>
      </c>
      <c r="B125" s="45" t="s">
        <v>2153</v>
      </c>
      <c r="C125" s="426" t="s">
        <v>1274</v>
      </c>
      <c r="D125" s="45" t="s">
        <v>166</v>
      </c>
      <c r="E125" s="53">
        <v>112.5</v>
      </c>
      <c r="F125" s="45" t="s">
        <v>2870</v>
      </c>
      <c r="G125" s="45" t="s">
        <v>175</v>
      </c>
    </row>
    <row r="126" spans="1:7" ht="13.5" customHeight="1" x14ac:dyDescent="0.35">
      <c r="A126" s="47">
        <v>43461</v>
      </c>
      <c r="B126" s="45" t="s">
        <v>2871</v>
      </c>
      <c r="C126" s="426" t="s">
        <v>1274</v>
      </c>
      <c r="D126" s="45" t="s">
        <v>159</v>
      </c>
      <c r="E126" s="53">
        <v>93.75</v>
      </c>
      <c r="F126" s="45" t="s">
        <v>230</v>
      </c>
      <c r="G126" s="45" t="s">
        <v>175</v>
      </c>
    </row>
    <row r="127" spans="1:7" ht="13.5" customHeight="1" x14ac:dyDescent="0.35">
      <c r="A127" s="47">
        <v>43459</v>
      </c>
      <c r="B127" s="45" t="s">
        <v>2872</v>
      </c>
      <c r="C127" s="426" t="s">
        <v>2525</v>
      </c>
      <c r="D127" s="45" t="s">
        <v>159</v>
      </c>
      <c r="E127" s="53">
        <v>30</v>
      </c>
      <c r="F127" s="45" t="s">
        <v>2873</v>
      </c>
      <c r="G127" s="45" t="s">
        <v>174</v>
      </c>
    </row>
    <row r="128" spans="1:7" ht="13.5" customHeight="1" x14ac:dyDescent="0.35">
      <c r="A128" s="47">
        <v>43458</v>
      </c>
      <c r="B128" s="45" t="s">
        <v>2874</v>
      </c>
      <c r="C128" s="426" t="s">
        <v>1274</v>
      </c>
      <c r="D128" s="45" t="s">
        <v>2442</v>
      </c>
      <c r="E128" s="53">
        <v>93.75</v>
      </c>
      <c r="F128" s="45" t="s">
        <v>2875</v>
      </c>
      <c r="G128" s="45" t="s">
        <v>175</v>
      </c>
    </row>
    <row r="129" spans="1:7" ht="13.5" customHeight="1" x14ac:dyDescent="0.35">
      <c r="A129" s="47">
        <v>43455</v>
      </c>
      <c r="B129" s="45" t="s">
        <v>2876</v>
      </c>
      <c r="C129" s="426" t="s">
        <v>2525</v>
      </c>
      <c r="D129" s="45" t="s">
        <v>2442</v>
      </c>
      <c r="E129" s="53">
        <v>100</v>
      </c>
      <c r="F129" s="45" t="s">
        <v>2873</v>
      </c>
      <c r="G129" s="45" t="s">
        <v>174</v>
      </c>
    </row>
    <row r="130" spans="1:7" ht="13.5" customHeight="1" x14ac:dyDescent="0.35">
      <c r="A130" s="47">
        <v>43454</v>
      </c>
      <c r="B130" s="45" t="s">
        <v>2877</v>
      </c>
      <c r="C130" s="426" t="s">
        <v>28</v>
      </c>
      <c r="D130" s="45" t="s">
        <v>159</v>
      </c>
      <c r="E130" s="53">
        <v>30</v>
      </c>
      <c r="F130" s="45" t="s">
        <v>1924</v>
      </c>
      <c r="G130" s="45" t="s">
        <v>174</v>
      </c>
    </row>
    <row r="131" spans="1:7" ht="13.5" customHeight="1" x14ac:dyDescent="0.35">
      <c r="A131" s="47">
        <v>43454</v>
      </c>
      <c r="B131" s="45" t="s">
        <v>2878</v>
      </c>
      <c r="C131" s="426" t="s">
        <v>1274</v>
      </c>
      <c r="D131" s="45" t="s">
        <v>2297</v>
      </c>
      <c r="E131" s="53">
        <v>725</v>
      </c>
      <c r="F131" s="45" t="s">
        <v>2689</v>
      </c>
      <c r="G131" s="45" t="s">
        <v>174</v>
      </c>
    </row>
    <row r="132" spans="1:7" ht="13.5" customHeight="1" x14ac:dyDescent="0.35">
      <c r="A132" s="47">
        <v>43453</v>
      </c>
      <c r="B132" s="45" t="s">
        <v>2879</v>
      </c>
      <c r="C132" s="426" t="s">
        <v>2525</v>
      </c>
      <c r="D132" s="45" t="s">
        <v>159</v>
      </c>
      <c r="E132" s="53">
        <v>30</v>
      </c>
      <c r="F132" s="45" t="s">
        <v>2873</v>
      </c>
      <c r="G132" s="45" t="s">
        <v>174</v>
      </c>
    </row>
    <row r="133" spans="1:7" ht="13.5" customHeight="1" x14ac:dyDescent="0.35">
      <c r="A133" s="47">
        <v>43453</v>
      </c>
      <c r="B133" s="45" t="s">
        <v>2880</v>
      </c>
      <c r="C133" s="426" t="s">
        <v>2525</v>
      </c>
      <c r="D133" s="45" t="s">
        <v>159</v>
      </c>
      <c r="E133" s="53">
        <v>25</v>
      </c>
      <c r="F133" s="45" t="s">
        <v>2873</v>
      </c>
      <c r="G133" s="45" t="s">
        <v>174</v>
      </c>
    </row>
    <row r="134" spans="1:7" ht="13.5" customHeight="1" x14ac:dyDescent="0.35">
      <c r="A134" s="47">
        <v>43453</v>
      </c>
      <c r="B134" s="45" t="s">
        <v>2880</v>
      </c>
      <c r="C134" s="426" t="s">
        <v>2525</v>
      </c>
      <c r="D134" s="45" t="s">
        <v>159</v>
      </c>
      <c r="E134" s="53">
        <v>50</v>
      </c>
      <c r="F134" s="45" t="s">
        <v>2873</v>
      </c>
      <c r="G134" s="45" t="s">
        <v>174</v>
      </c>
    </row>
    <row r="135" spans="1:7" ht="13.5" customHeight="1" x14ac:dyDescent="0.35">
      <c r="A135" s="47">
        <v>43452</v>
      </c>
      <c r="B135" s="45" t="s">
        <v>2881</v>
      </c>
      <c r="C135" s="426" t="s">
        <v>28</v>
      </c>
      <c r="D135" s="45" t="s">
        <v>2297</v>
      </c>
      <c r="E135" s="53">
        <v>210</v>
      </c>
      <c r="F135" s="45" t="s">
        <v>1180</v>
      </c>
      <c r="G135" s="45" t="s">
        <v>174</v>
      </c>
    </row>
    <row r="136" spans="1:7" ht="13.5" customHeight="1" x14ac:dyDescent="0.35">
      <c r="A136" s="47">
        <v>43452</v>
      </c>
      <c r="B136" s="45" t="s">
        <v>2882</v>
      </c>
      <c r="C136" s="426" t="s">
        <v>28</v>
      </c>
      <c r="D136" s="45" t="s">
        <v>2297</v>
      </c>
      <c r="E136" s="53">
        <v>280</v>
      </c>
      <c r="F136" s="45" t="s">
        <v>1180</v>
      </c>
      <c r="G136" s="45" t="s">
        <v>174</v>
      </c>
    </row>
    <row r="137" spans="1:7" ht="13.5" customHeight="1" x14ac:dyDescent="0.35">
      <c r="A137" s="47">
        <v>43450</v>
      </c>
      <c r="B137" s="45" t="s">
        <v>2883</v>
      </c>
      <c r="C137" s="426" t="s">
        <v>2525</v>
      </c>
      <c r="D137" s="45" t="s">
        <v>159</v>
      </c>
      <c r="E137" s="53">
        <v>50</v>
      </c>
      <c r="F137" s="45" t="s">
        <v>2873</v>
      </c>
      <c r="G137" s="45" t="s">
        <v>174</v>
      </c>
    </row>
    <row r="138" spans="1:7" ht="13.5" customHeight="1" x14ac:dyDescent="0.35">
      <c r="A138" s="47">
        <v>43450</v>
      </c>
      <c r="B138" s="45" t="s">
        <v>2883</v>
      </c>
      <c r="C138" s="426" t="s">
        <v>2525</v>
      </c>
      <c r="D138" s="45" t="s">
        <v>159</v>
      </c>
      <c r="E138" s="53">
        <v>25</v>
      </c>
      <c r="F138" s="45" t="s">
        <v>2873</v>
      </c>
      <c r="G138" s="45" t="s">
        <v>174</v>
      </c>
    </row>
    <row r="139" spans="1:7" ht="13.5" customHeight="1" x14ac:dyDescent="0.35">
      <c r="A139" s="47">
        <v>43450</v>
      </c>
      <c r="B139" s="45" t="s">
        <v>2884</v>
      </c>
      <c r="C139" s="426" t="s">
        <v>28</v>
      </c>
      <c r="D139" s="45" t="s">
        <v>162</v>
      </c>
      <c r="E139" s="53">
        <v>13</v>
      </c>
      <c r="F139" s="45" t="s">
        <v>1924</v>
      </c>
      <c r="G139" s="45" t="s">
        <v>163</v>
      </c>
    </row>
    <row r="140" spans="1:7" ht="13.5" customHeight="1" x14ac:dyDescent="0.35">
      <c r="A140" s="47">
        <v>43449</v>
      </c>
      <c r="B140" s="45" t="s">
        <v>2885</v>
      </c>
      <c r="C140" s="426" t="s">
        <v>2525</v>
      </c>
      <c r="D140" s="45" t="s">
        <v>159</v>
      </c>
      <c r="E140" s="53">
        <v>50</v>
      </c>
      <c r="F140" s="45" t="s">
        <v>2873</v>
      </c>
      <c r="G140" s="45" t="s">
        <v>174</v>
      </c>
    </row>
    <row r="141" spans="1:7" ht="13.5" customHeight="1" x14ac:dyDescent="0.35">
      <c r="A141" s="47">
        <v>43449</v>
      </c>
      <c r="B141" s="45" t="s">
        <v>2886</v>
      </c>
      <c r="C141" s="426" t="s">
        <v>2525</v>
      </c>
      <c r="D141" s="45" t="s">
        <v>159</v>
      </c>
      <c r="E141" s="53">
        <v>250</v>
      </c>
      <c r="F141" s="45" t="s">
        <v>2873</v>
      </c>
      <c r="G141" s="45" t="s">
        <v>174</v>
      </c>
    </row>
    <row r="142" spans="1:7" ht="13.5" customHeight="1" x14ac:dyDescent="0.35">
      <c r="A142" s="47">
        <v>43447</v>
      </c>
      <c r="B142" s="45" t="s">
        <v>2887</v>
      </c>
      <c r="C142" s="426" t="s">
        <v>28</v>
      </c>
      <c r="D142" s="45" t="s">
        <v>159</v>
      </c>
      <c r="E142" s="53">
        <v>30</v>
      </c>
      <c r="F142" s="45" t="s">
        <v>1924</v>
      </c>
      <c r="G142" s="45" t="s">
        <v>174</v>
      </c>
    </row>
    <row r="143" spans="1:7" ht="13.5" customHeight="1" x14ac:dyDescent="0.35">
      <c r="A143" s="47">
        <v>43447</v>
      </c>
      <c r="B143" s="45" t="s">
        <v>2888</v>
      </c>
      <c r="C143" s="426" t="s">
        <v>2525</v>
      </c>
      <c r="D143" s="45" t="s">
        <v>159</v>
      </c>
      <c r="E143" s="53">
        <v>100</v>
      </c>
      <c r="F143" s="45" t="s">
        <v>2873</v>
      </c>
      <c r="G143" s="45" t="s">
        <v>174</v>
      </c>
    </row>
    <row r="144" spans="1:7" ht="13.5" customHeight="1" x14ac:dyDescent="0.35">
      <c r="A144" s="47">
        <v>43446</v>
      </c>
      <c r="B144" s="45" t="s">
        <v>2889</v>
      </c>
      <c r="C144" s="426" t="s">
        <v>28</v>
      </c>
      <c r="D144" s="45" t="s">
        <v>159</v>
      </c>
      <c r="E144" s="53">
        <v>30</v>
      </c>
      <c r="F144" s="45" t="s">
        <v>1924</v>
      </c>
      <c r="G144" s="45" t="s">
        <v>174</v>
      </c>
    </row>
    <row r="145" spans="1:7" ht="13.5" customHeight="1" x14ac:dyDescent="0.35">
      <c r="A145" s="47">
        <v>43446</v>
      </c>
      <c r="B145" s="45" t="s">
        <v>732</v>
      </c>
      <c r="C145" s="426" t="s">
        <v>1279</v>
      </c>
      <c r="D145" s="45" t="s">
        <v>159</v>
      </c>
      <c r="E145" s="53">
        <v>360</v>
      </c>
      <c r="F145" s="48" t="s">
        <v>941</v>
      </c>
      <c r="G145" s="45" t="s">
        <v>175</v>
      </c>
    </row>
    <row r="146" spans="1:7" ht="13.5" customHeight="1" x14ac:dyDescent="0.35">
      <c r="A146" s="47">
        <v>43445</v>
      </c>
      <c r="B146" s="45" t="s">
        <v>2890</v>
      </c>
      <c r="C146" s="426" t="s">
        <v>28</v>
      </c>
      <c r="D146" s="45" t="s">
        <v>159</v>
      </c>
      <c r="E146" s="53">
        <v>30</v>
      </c>
      <c r="F146" s="45" t="s">
        <v>1924</v>
      </c>
      <c r="G146" s="45" t="s">
        <v>174</v>
      </c>
    </row>
    <row r="147" spans="1:7" ht="13.5" customHeight="1" x14ac:dyDescent="0.35">
      <c r="A147" s="47">
        <v>43444</v>
      </c>
      <c r="B147" s="45" t="s">
        <v>2891</v>
      </c>
      <c r="C147" s="426" t="s">
        <v>1274</v>
      </c>
      <c r="D147" s="45" t="s">
        <v>159</v>
      </c>
      <c r="E147" s="53">
        <v>10</v>
      </c>
      <c r="F147" s="45" t="s">
        <v>2892</v>
      </c>
      <c r="G147" s="45" t="s">
        <v>175</v>
      </c>
    </row>
    <row r="148" spans="1:7" ht="13.5" customHeight="1" x14ac:dyDescent="0.35">
      <c r="A148" s="47">
        <v>43444</v>
      </c>
      <c r="B148" s="45" t="s">
        <v>2893</v>
      </c>
      <c r="C148" s="426" t="s">
        <v>1274</v>
      </c>
      <c r="D148" s="45" t="s">
        <v>159</v>
      </c>
      <c r="E148" s="53">
        <v>50</v>
      </c>
      <c r="F148" s="45" t="s">
        <v>2894</v>
      </c>
      <c r="G148" s="45" t="s">
        <v>175</v>
      </c>
    </row>
    <row r="149" spans="1:7" ht="13.5" customHeight="1" x14ac:dyDescent="0.35">
      <c r="A149" s="47">
        <v>43444</v>
      </c>
      <c r="B149" s="45" t="s">
        <v>2895</v>
      </c>
      <c r="C149" s="426" t="s">
        <v>1274</v>
      </c>
      <c r="D149" s="45" t="s">
        <v>162</v>
      </c>
      <c r="E149" s="53">
        <v>625</v>
      </c>
      <c r="F149" s="45" t="s">
        <v>1682</v>
      </c>
      <c r="G149" s="45" t="s">
        <v>175</v>
      </c>
    </row>
    <row r="150" spans="1:7" ht="13.5" customHeight="1" x14ac:dyDescent="0.35">
      <c r="A150" s="47">
        <v>43444</v>
      </c>
      <c r="B150" s="45" t="s">
        <v>2896</v>
      </c>
      <c r="C150" s="426" t="s">
        <v>2525</v>
      </c>
      <c r="D150" s="45" t="s">
        <v>159</v>
      </c>
      <c r="E150" s="53">
        <v>30</v>
      </c>
      <c r="F150" s="45" t="s">
        <v>2873</v>
      </c>
      <c r="G150" s="45" t="s">
        <v>174</v>
      </c>
    </row>
    <row r="151" spans="1:7" ht="13.5" customHeight="1" x14ac:dyDescent="0.35">
      <c r="A151" s="47">
        <v>43443</v>
      </c>
      <c r="B151" s="45" t="s">
        <v>2897</v>
      </c>
      <c r="C151" s="426" t="s">
        <v>1274</v>
      </c>
      <c r="D151" s="45" t="s">
        <v>159</v>
      </c>
      <c r="E151" s="53">
        <v>10</v>
      </c>
      <c r="F151" s="45" t="s">
        <v>1085</v>
      </c>
      <c r="G151" s="45" t="s">
        <v>179</v>
      </c>
    </row>
    <row r="152" spans="1:7" ht="13.5" customHeight="1" x14ac:dyDescent="0.35">
      <c r="A152" s="47">
        <v>43444</v>
      </c>
      <c r="B152" s="45" t="s">
        <v>784</v>
      </c>
      <c r="C152" s="426" t="s">
        <v>1274</v>
      </c>
      <c r="D152" s="45" t="s">
        <v>162</v>
      </c>
      <c r="E152" s="53">
        <v>110</v>
      </c>
      <c r="F152" s="45" t="s">
        <v>1085</v>
      </c>
      <c r="G152" s="45" t="s">
        <v>175</v>
      </c>
    </row>
    <row r="153" spans="1:7" ht="13.5" customHeight="1" x14ac:dyDescent="0.35">
      <c r="A153" s="47">
        <v>43439</v>
      </c>
      <c r="B153" s="45" t="s">
        <v>2898</v>
      </c>
      <c r="C153" s="426" t="s">
        <v>2525</v>
      </c>
      <c r="D153" s="45" t="s">
        <v>159</v>
      </c>
      <c r="E153" s="53">
        <v>20.62</v>
      </c>
      <c r="F153" s="45" t="s">
        <v>1254</v>
      </c>
      <c r="G153" s="45" t="s">
        <v>179</v>
      </c>
    </row>
    <row r="154" spans="1:7" ht="13.5" customHeight="1" x14ac:dyDescent="0.35">
      <c r="A154" s="47">
        <v>43438</v>
      </c>
      <c r="B154" s="45" t="s">
        <v>1935</v>
      </c>
      <c r="C154" s="426" t="s">
        <v>28</v>
      </c>
      <c r="D154" s="45" t="s">
        <v>162</v>
      </c>
      <c r="E154" s="53">
        <v>200</v>
      </c>
      <c r="F154" s="45" t="s">
        <v>2899</v>
      </c>
      <c r="G154" s="45" t="s">
        <v>1311</v>
      </c>
    </row>
    <row r="155" spans="1:7" ht="13.5" customHeight="1" x14ac:dyDescent="0.35">
      <c r="A155" s="47">
        <v>43436</v>
      </c>
      <c r="B155" s="45" t="s">
        <v>2900</v>
      </c>
      <c r="C155" s="426" t="s">
        <v>1274</v>
      </c>
      <c r="D155" s="45" t="s">
        <v>2442</v>
      </c>
      <c r="E155" s="53">
        <v>50</v>
      </c>
      <c r="F155" s="45" t="s">
        <v>494</v>
      </c>
      <c r="G155" s="45" t="s">
        <v>174</v>
      </c>
    </row>
    <row r="156" spans="1:7" ht="13.5" customHeight="1" x14ac:dyDescent="0.35">
      <c r="A156" s="47">
        <v>43436</v>
      </c>
      <c r="B156" s="45" t="s">
        <v>2901</v>
      </c>
      <c r="C156" s="426" t="s">
        <v>28</v>
      </c>
      <c r="D156" s="45" t="s">
        <v>2442</v>
      </c>
      <c r="E156" s="53">
        <v>30</v>
      </c>
      <c r="F156" s="45" t="s">
        <v>1924</v>
      </c>
      <c r="G156" s="45" t="s">
        <v>174</v>
      </c>
    </row>
    <row r="157" spans="1:7" ht="13.5" customHeight="1" x14ac:dyDescent="0.35">
      <c r="A157" s="47">
        <v>43435</v>
      </c>
      <c r="B157" s="45" t="s">
        <v>2565</v>
      </c>
      <c r="C157" s="426" t="s">
        <v>1276</v>
      </c>
      <c r="D157" s="426" t="s">
        <v>161</v>
      </c>
      <c r="E157" s="567">
        <v>861.13</v>
      </c>
      <c r="F157" s="426" t="s">
        <v>1078</v>
      </c>
      <c r="G157" s="426" t="s">
        <v>175</v>
      </c>
    </row>
    <row r="158" spans="1:7" ht="14.25" customHeight="1" x14ac:dyDescent="0.35">
      <c r="A158" s="47">
        <v>43435</v>
      </c>
      <c r="B158" s="45" t="s">
        <v>2566</v>
      </c>
      <c r="C158" s="426" t="s">
        <v>1278</v>
      </c>
      <c r="D158" s="426" t="s">
        <v>161</v>
      </c>
      <c r="E158" s="567">
        <v>40</v>
      </c>
      <c r="F158" s="426" t="s">
        <v>292</v>
      </c>
      <c r="G158" s="426" t="s">
        <v>175</v>
      </c>
    </row>
    <row r="161" spans="1:7" ht="13.5" customHeight="1" x14ac:dyDescent="0.35">
      <c r="A161" s="47">
        <v>43434</v>
      </c>
      <c r="B161" s="45" t="s">
        <v>2205</v>
      </c>
      <c r="C161" s="426" t="s">
        <v>1276</v>
      </c>
      <c r="D161" s="45" t="s">
        <v>162</v>
      </c>
      <c r="E161" s="53">
        <v>120</v>
      </c>
      <c r="F161" s="45" t="s">
        <v>1078</v>
      </c>
      <c r="G161" s="45" t="s">
        <v>175</v>
      </c>
    </row>
    <row r="162" spans="1:7" ht="13.5" customHeight="1" x14ac:dyDescent="0.35">
      <c r="A162" s="47">
        <v>43433</v>
      </c>
      <c r="B162" s="45" t="s">
        <v>2902</v>
      </c>
      <c r="C162" s="426" t="s">
        <v>2525</v>
      </c>
      <c r="D162" s="45" t="s">
        <v>160</v>
      </c>
      <c r="E162" s="53">
        <v>25</v>
      </c>
      <c r="F162" s="45" t="s">
        <v>1409</v>
      </c>
      <c r="G162" s="45" t="s">
        <v>175</v>
      </c>
    </row>
    <row r="163" spans="1:7" ht="13.5" customHeight="1" x14ac:dyDescent="0.35">
      <c r="A163" s="47">
        <v>43431</v>
      </c>
      <c r="B163" s="45" t="s">
        <v>2903</v>
      </c>
      <c r="C163" s="426" t="s">
        <v>28</v>
      </c>
      <c r="D163" s="45" t="s">
        <v>160</v>
      </c>
      <c r="E163" s="53">
        <v>250</v>
      </c>
      <c r="F163" s="45" t="s">
        <v>1489</v>
      </c>
      <c r="G163" s="45" t="s">
        <v>175</v>
      </c>
    </row>
    <row r="164" spans="1:7" ht="13.5" customHeight="1" x14ac:dyDescent="0.35">
      <c r="A164" s="47">
        <v>43430</v>
      </c>
      <c r="B164" s="45" t="s">
        <v>276</v>
      </c>
      <c r="C164" s="426" t="s">
        <v>1274</v>
      </c>
      <c r="D164" s="45" t="s">
        <v>160</v>
      </c>
      <c r="E164" s="53">
        <v>543.75</v>
      </c>
      <c r="F164" s="45" t="s">
        <v>1375</v>
      </c>
      <c r="G164" s="45" t="s">
        <v>175</v>
      </c>
    </row>
    <row r="165" spans="1:7" ht="13.5" customHeight="1" x14ac:dyDescent="0.35">
      <c r="A165" s="47">
        <v>43430</v>
      </c>
      <c r="B165" s="45" t="s">
        <v>1681</v>
      </c>
      <c r="C165" s="426" t="s">
        <v>1274</v>
      </c>
      <c r="D165" s="45" t="s">
        <v>159</v>
      </c>
      <c r="E165" s="53">
        <v>356.25</v>
      </c>
      <c r="F165" s="45" t="s">
        <v>1375</v>
      </c>
      <c r="G165" s="45" t="s">
        <v>175</v>
      </c>
    </row>
    <row r="166" spans="1:7" ht="13.5" customHeight="1" x14ac:dyDescent="0.35">
      <c r="A166" s="47">
        <v>43430</v>
      </c>
      <c r="B166" s="45" t="s">
        <v>2904</v>
      </c>
      <c r="C166" s="426" t="s">
        <v>2525</v>
      </c>
      <c r="D166" s="45" t="s">
        <v>159</v>
      </c>
      <c r="E166" s="53">
        <v>200</v>
      </c>
      <c r="F166" s="45" t="s">
        <v>2873</v>
      </c>
      <c r="G166" s="45" t="s">
        <v>174</v>
      </c>
    </row>
    <row r="167" spans="1:7" ht="13.5" customHeight="1" x14ac:dyDescent="0.35">
      <c r="A167" s="47">
        <v>43430</v>
      </c>
      <c r="B167" s="45" t="s">
        <v>2754</v>
      </c>
      <c r="C167" s="426" t="s">
        <v>1274</v>
      </c>
      <c r="D167" s="45" t="s">
        <v>159</v>
      </c>
      <c r="E167" s="53">
        <v>543.75</v>
      </c>
      <c r="F167" s="45" t="s">
        <v>1000</v>
      </c>
      <c r="G167" s="45" t="s">
        <v>175</v>
      </c>
    </row>
    <row r="168" spans="1:7" ht="13.5" customHeight="1" x14ac:dyDescent="0.35">
      <c r="A168" s="47">
        <v>43430</v>
      </c>
      <c r="B168" s="45" t="s">
        <v>2905</v>
      </c>
      <c r="C168" s="426" t="s">
        <v>1274</v>
      </c>
      <c r="D168" s="45" t="s">
        <v>159</v>
      </c>
      <c r="E168" s="53">
        <v>543.75</v>
      </c>
      <c r="F168" s="45" t="s">
        <v>1000</v>
      </c>
      <c r="G168" s="45" t="s">
        <v>175</v>
      </c>
    </row>
    <row r="169" spans="1:7" ht="13.5" customHeight="1" x14ac:dyDescent="0.35">
      <c r="A169" s="47">
        <v>43430</v>
      </c>
      <c r="B169" s="45" t="s">
        <v>2757</v>
      </c>
      <c r="C169" s="426" t="s">
        <v>1274</v>
      </c>
      <c r="D169" s="45" t="s">
        <v>160</v>
      </c>
      <c r="E169" s="53">
        <v>57.15</v>
      </c>
      <c r="F169" s="45" t="s">
        <v>2906</v>
      </c>
      <c r="G169" s="45" t="s">
        <v>175</v>
      </c>
    </row>
    <row r="170" spans="1:7" ht="13.5" customHeight="1" x14ac:dyDescent="0.35">
      <c r="A170" s="47">
        <v>43429</v>
      </c>
      <c r="B170" s="45" t="s">
        <v>1500</v>
      </c>
      <c r="C170" s="426" t="s">
        <v>1274</v>
      </c>
      <c r="D170" s="45" t="s">
        <v>159</v>
      </c>
      <c r="E170" s="53">
        <v>1087.5</v>
      </c>
      <c r="F170" s="45" t="s">
        <v>463</v>
      </c>
      <c r="G170" s="45" t="s">
        <v>175</v>
      </c>
    </row>
    <row r="171" spans="1:7" ht="13.5" customHeight="1" x14ac:dyDescent="0.35">
      <c r="A171" s="47">
        <v>43429</v>
      </c>
      <c r="B171" s="45" t="s">
        <v>2907</v>
      </c>
      <c r="C171" s="426" t="s">
        <v>2525</v>
      </c>
      <c r="D171" s="45" t="s">
        <v>159</v>
      </c>
      <c r="E171" s="53">
        <v>97.5</v>
      </c>
      <c r="F171" s="45" t="s">
        <v>2873</v>
      </c>
      <c r="G171" s="45" t="s">
        <v>175</v>
      </c>
    </row>
    <row r="172" spans="1:7" ht="13.5" customHeight="1" x14ac:dyDescent="0.35">
      <c r="A172" s="47">
        <v>43429</v>
      </c>
      <c r="B172" s="45" t="s">
        <v>784</v>
      </c>
      <c r="C172" s="426" t="s">
        <v>1274</v>
      </c>
      <c r="D172" s="45" t="s">
        <v>159</v>
      </c>
      <c r="E172" s="53">
        <v>57.15</v>
      </c>
      <c r="F172" s="45" t="s">
        <v>2906</v>
      </c>
      <c r="G172" s="45" t="s">
        <v>175</v>
      </c>
    </row>
    <row r="173" spans="1:7" ht="13.5" customHeight="1" x14ac:dyDescent="0.35">
      <c r="A173" s="47">
        <v>43430</v>
      </c>
      <c r="B173" s="45" t="s">
        <v>2562</v>
      </c>
      <c r="C173" s="426" t="s">
        <v>1279</v>
      </c>
      <c r="D173" s="45" t="s">
        <v>160</v>
      </c>
      <c r="E173" s="53">
        <v>180</v>
      </c>
      <c r="F173" s="48" t="s">
        <v>2908</v>
      </c>
      <c r="G173" s="45" t="s">
        <v>175</v>
      </c>
    </row>
    <row r="174" spans="1:7" ht="13.5" customHeight="1" x14ac:dyDescent="0.35">
      <c r="A174" s="47">
        <v>43429</v>
      </c>
      <c r="B174" s="45" t="s">
        <v>2562</v>
      </c>
      <c r="C174" s="426" t="s">
        <v>1279</v>
      </c>
      <c r="D174" s="45" t="s">
        <v>160</v>
      </c>
      <c r="E174" s="53">
        <v>270</v>
      </c>
      <c r="F174" s="48" t="s">
        <v>2908</v>
      </c>
      <c r="G174" s="45" t="s">
        <v>175</v>
      </c>
    </row>
    <row r="175" spans="1:7" ht="13.5" customHeight="1" x14ac:dyDescent="0.35">
      <c r="A175" s="47">
        <v>43428</v>
      </c>
      <c r="B175" s="45" t="s">
        <v>1500</v>
      </c>
      <c r="C175" s="426" t="s">
        <v>1274</v>
      </c>
      <c r="D175" s="45" t="s">
        <v>159</v>
      </c>
      <c r="E175" s="53">
        <v>93.75</v>
      </c>
      <c r="F175" s="45" t="s">
        <v>2909</v>
      </c>
      <c r="G175" s="45" t="s">
        <v>175</v>
      </c>
    </row>
    <row r="176" spans="1:7" ht="13.5" customHeight="1" x14ac:dyDescent="0.35">
      <c r="A176" s="47">
        <v>43428</v>
      </c>
      <c r="B176" s="45" t="s">
        <v>1500</v>
      </c>
      <c r="C176" s="426" t="s">
        <v>1274</v>
      </c>
      <c r="D176" s="45" t="s">
        <v>159</v>
      </c>
      <c r="E176" s="53">
        <v>56.25</v>
      </c>
      <c r="F176" s="45" t="s">
        <v>2910</v>
      </c>
      <c r="G176" s="45" t="s">
        <v>175</v>
      </c>
    </row>
    <row r="177" spans="1:7" ht="13.5" customHeight="1" x14ac:dyDescent="0.35">
      <c r="A177" s="47">
        <v>43428</v>
      </c>
      <c r="B177" s="45" t="s">
        <v>2911</v>
      </c>
      <c r="C177" s="426" t="s">
        <v>1279</v>
      </c>
      <c r="D177" s="45" t="s">
        <v>160</v>
      </c>
      <c r="E177" s="53">
        <v>180</v>
      </c>
      <c r="F177" s="48" t="s">
        <v>941</v>
      </c>
      <c r="G177" s="45" t="s">
        <v>174</v>
      </c>
    </row>
    <row r="178" spans="1:7" ht="13.5" customHeight="1" x14ac:dyDescent="0.35">
      <c r="A178" s="47">
        <v>43427</v>
      </c>
      <c r="B178" s="45" t="s">
        <v>2912</v>
      </c>
      <c r="C178" s="426" t="s">
        <v>28</v>
      </c>
      <c r="D178" s="45" t="s">
        <v>160</v>
      </c>
      <c r="E178" s="53">
        <v>187.5</v>
      </c>
      <c r="F178" s="45" t="s">
        <v>1489</v>
      </c>
      <c r="G178" s="45" t="s">
        <v>175</v>
      </c>
    </row>
    <row r="179" spans="1:7" ht="13.5" customHeight="1" x14ac:dyDescent="0.35">
      <c r="A179" s="47">
        <v>43427</v>
      </c>
      <c r="B179" s="45" t="s">
        <v>2285</v>
      </c>
      <c r="C179" s="426" t="s">
        <v>1274</v>
      </c>
      <c r="D179" s="45" t="s">
        <v>159</v>
      </c>
      <c r="E179" s="53">
        <f>125-38.75</f>
        <v>86.25</v>
      </c>
      <c r="F179" s="45" t="s">
        <v>230</v>
      </c>
      <c r="G179" s="45" t="s">
        <v>174</v>
      </c>
    </row>
    <row r="180" spans="1:7" ht="13.5" customHeight="1" x14ac:dyDescent="0.35">
      <c r="A180" s="47">
        <v>43427</v>
      </c>
      <c r="B180" s="45" t="s">
        <v>2285</v>
      </c>
      <c r="C180" s="426" t="s">
        <v>28</v>
      </c>
      <c r="D180" s="45" t="s">
        <v>159</v>
      </c>
      <c r="E180" s="53">
        <v>30</v>
      </c>
      <c r="F180" s="45" t="s">
        <v>2913</v>
      </c>
      <c r="G180" s="45" t="s">
        <v>174</v>
      </c>
    </row>
    <row r="181" spans="1:7" ht="13.5" customHeight="1" x14ac:dyDescent="0.35">
      <c r="A181" s="47">
        <v>43427</v>
      </c>
      <c r="B181" s="45" t="s">
        <v>2824</v>
      </c>
      <c r="C181" s="426" t="s">
        <v>28</v>
      </c>
      <c r="D181" s="45" t="s">
        <v>159</v>
      </c>
      <c r="E181" s="53">
        <v>187.5</v>
      </c>
      <c r="F181" s="45" t="s">
        <v>2914</v>
      </c>
      <c r="G181" s="45" t="s">
        <v>175</v>
      </c>
    </row>
    <row r="182" spans="1:7" ht="13.5" customHeight="1" x14ac:dyDescent="0.35">
      <c r="A182" s="47">
        <v>43425</v>
      </c>
      <c r="B182" s="45" t="s">
        <v>2912</v>
      </c>
      <c r="C182" s="426" t="s">
        <v>2525</v>
      </c>
      <c r="D182" s="45" t="s">
        <v>160</v>
      </c>
      <c r="E182" s="53">
        <v>9.4</v>
      </c>
      <c r="F182" s="45" t="s">
        <v>1254</v>
      </c>
      <c r="G182" s="45" t="s">
        <v>174</v>
      </c>
    </row>
    <row r="183" spans="1:7" ht="13.5" customHeight="1" x14ac:dyDescent="0.35">
      <c r="A183" s="47">
        <v>43424</v>
      </c>
      <c r="B183" s="45" t="s">
        <v>1766</v>
      </c>
      <c r="C183" s="426" t="s">
        <v>28</v>
      </c>
      <c r="D183" s="45" t="s">
        <v>162</v>
      </c>
      <c r="E183" s="53">
        <v>20</v>
      </c>
      <c r="F183" s="45" t="s">
        <v>2915</v>
      </c>
      <c r="G183" s="45" t="s">
        <v>1311</v>
      </c>
    </row>
    <row r="184" spans="1:7" ht="13.5" customHeight="1" x14ac:dyDescent="0.35">
      <c r="A184" s="47">
        <v>43424</v>
      </c>
      <c r="B184" s="45" t="s">
        <v>2916</v>
      </c>
      <c r="C184" s="426" t="s">
        <v>28</v>
      </c>
      <c r="D184" s="45" t="s">
        <v>159</v>
      </c>
      <c r="E184" s="53">
        <v>30</v>
      </c>
      <c r="F184" s="45" t="s">
        <v>2913</v>
      </c>
      <c r="G184" s="45" t="s">
        <v>174</v>
      </c>
    </row>
    <row r="185" spans="1:7" ht="13.5" customHeight="1" x14ac:dyDescent="0.35">
      <c r="A185" s="47">
        <v>43424</v>
      </c>
      <c r="B185" s="45" t="s">
        <v>2917</v>
      </c>
      <c r="C185" s="426" t="s">
        <v>28</v>
      </c>
      <c r="D185" s="45" t="s">
        <v>159</v>
      </c>
      <c r="E185" s="53">
        <v>30</v>
      </c>
      <c r="F185" s="45" t="s">
        <v>2913</v>
      </c>
      <c r="G185" s="45" t="s">
        <v>174</v>
      </c>
    </row>
    <row r="186" spans="1:7" ht="13.5" customHeight="1" x14ac:dyDescent="0.35">
      <c r="A186" s="47">
        <v>43422</v>
      </c>
      <c r="B186" s="45" t="s">
        <v>2205</v>
      </c>
      <c r="C186" s="426" t="s">
        <v>28</v>
      </c>
      <c r="D186" s="45" t="s">
        <v>166</v>
      </c>
      <c r="E186" s="45">
        <v>396</v>
      </c>
      <c r="F186" s="45" t="s">
        <v>2918</v>
      </c>
      <c r="G186" s="45" t="s">
        <v>175</v>
      </c>
    </row>
    <row r="187" spans="1:7" ht="13.5" customHeight="1" x14ac:dyDescent="0.35">
      <c r="A187" s="47">
        <v>43422</v>
      </c>
      <c r="B187" s="45" t="s">
        <v>1187</v>
      </c>
      <c r="C187" s="426" t="s">
        <v>28</v>
      </c>
      <c r="D187" s="45" t="s">
        <v>166</v>
      </c>
      <c r="E187" s="45">
        <v>75</v>
      </c>
      <c r="F187" s="45" t="s">
        <v>2918</v>
      </c>
      <c r="G187" s="45" t="s">
        <v>175</v>
      </c>
    </row>
    <row r="188" spans="1:7" ht="13.5" customHeight="1" x14ac:dyDescent="0.35">
      <c r="A188" s="47">
        <v>43422</v>
      </c>
      <c r="B188" s="45" t="s">
        <v>2205</v>
      </c>
      <c r="C188" s="426" t="s">
        <v>1277</v>
      </c>
      <c r="D188" s="45" t="s">
        <v>166</v>
      </c>
      <c r="E188" s="257">
        <v>-396</v>
      </c>
      <c r="F188" s="45" t="s">
        <v>2918</v>
      </c>
      <c r="G188" s="45" t="s">
        <v>175</v>
      </c>
    </row>
    <row r="189" spans="1:7" ht="13.5" customHeight="1" x14ac:dyDescent="0.35">
      <c r="A189" s="47">
        <v>43422</v>
      </c>
      <c r="B189" s="45" t="s">
        <v>1187</v>
      </c>
      <c r="C189" s="426" t="s">
        <v>1277</v>
      </c>
      <c r="D189" s="45" t="s">
        <v>166</v>
      </c>
      <c r="E189" s="257">
        <v>-75</v>
      </c>
      <c r="F189" s="45" t="s">
        <v>2918</v>
      </c>
      <c r="G189" s="45" t="s">
        <v>175</v>
      </c>
    </row>
    <row r="190" spans="1:7" ht="13.5" customHeight="1" x14ac:dyDescent="0.35">
      <c r="A190" s="47">
        <v>43422</v>
      </c>
      <c r="B190" s="45" t="s">
        <v>2919</v>
      </c>
      <c r="C190" s="426" t="s">
        <v>28</v>
      </c>
      <c r="D190" s="45" t="s">
        <v>159</v>
      </c>
      <c r="E190" s="53">
        <v>30</v>
      </c>
      <c r="F190" s="45" t="s">
        <v>2913</v>
      </c>
      <c r="G190" s="45" t="s">
        <v>174</v>
      </c>
    </row>
    <row r="191" spans="1:7" ht="13.5" customHeight="1" x14ac:dyDescent="0.35">
      <c r="A191" s="47">
        <v>43420</v>
      </c>
      <c r="B191" s="45" t="s">
        <v>2920</v>
      </c>
      <c r="C191" s="426" t="s">
        <v>1279</v>
      </c>
      <c r="D191" s="45" t="s">
        <v>162</v>
      </c>
      <c r="E191" s="53">
        <v>120</v>
      </c>
      <c r="F191" s="48" t="s">
        <v>2921</v>
      </c>
      <c r="G191" s="45" t="s">
        <v>175</v>
      </c>
    </row>
    <row r="192" spans="1:7" ht="13.5" customHeight="1" x14ac:dyDescent="0.35">
      <c r="A192" s="47">
        <v>43419</v>
      </c>
      <c r="B192" s="45" t="s">
        <v>2922</v>
      </c>
      <c r="C192" s="426" t="s">
        <v>1274</v>
      </c>
      <c r="D192" s="45" t="s">
        <v>160</v>
      </c>
      <c r="E192" s="53">
        <v>25</v>
      </c>
      <c r="F192" s="45" t="s">
        <v>2923</v>
      </c>
      <c r="G192" s="45" t="s">
        <v>174</v>
      </c>
    </row>
    <row r="193" spans="1:7" ht="13.5" customHeight="1" x14ac:dyDescent="0.35">
      <c r="A193" s="47">
        <v>43415</v>
      </c>
      <c r="B193" s="45" t="s">
        <v>2912</v>
      </c>
      <c r="C193" s="426" t="s">
        <v>28</v>
      </c>
      <c r="D193" s="45" t="s">
        <v>160</v>
      </c>
      <c r="E193" s="53">
        <v>30</v>
      </c>
      <c r="F193" s="45" t="s">
        <v>2913</v>
      </c>
      <c r="G193" s="45" t="s">
        <v>179</v>
      </c>
    </row>
    <row r="194" spans="1:7" ht="13.5" customHeight="1" x14ac:dyDescent="0.35">
      <c r="A194" s="47">
        <v>43418</v>
      </c>
      <c r="B194" s="45" t="s">
        <v>2895</v>
      </c>
      <c r="C194" s="426" t="s">
        <v>1274</v>
      </c>
      <c r="D194" s="45" t="s">
        <v>162</v>
      </c>
      <c r="E194" s="53">
        <v>100</v>
      </c>
      <c r="F194" s="45" t="s">
        <v>2924</v>
      </c>
      <c r="G194" s="45" t="s">
        <v>174</v>
      </c>
    </row>
    <row r="195" spans="1:7" ht="13.5" customHeight="1" x14ac:dyDescent="0.35">
      <c r="A195" s="47">
        <v>43411</v>
      </c>
      <c r="B195" s="45" t="s">
        <v>2460</v>
      </c>
      <c r="C195" s="426" t="s">
        <v>28</v>
      </c>
      <c r="D195" s="45" t="s">
        <v>160</v>
      </c>
      <c r="E195" s="53">
        <f>250-37.5</f>
        <v>212.5</v>
      </c>
      <c r="F195" s="45" t="s">
        <v>2925</v>
      </c>
      <c r="G195" s="45" t="s">
        <v>175</v>
      </c>
    </row>
    <row r="196" spans="1:7" ht="13.5" customHeight="1" x14ac:dyDescent="0.35">
      <c r="A196" s="47">
        <v>43411</v>
      </c>
      <c r="B196" s="45" t="s">
        <v>732</v>
      </c>
      <c r="C196" s="426" t="s">
        <v>28</v>
      </c>
      <c r="D196" s="45" t="s">
        <v>160</v>
      </c>
      <c r="E196" s="53">
        <v>200</v>
      </c>
      <c r="F196" s="45" t="s">
        <v>2925</v>
      </c>
      <c r="G196" s="45" t="s">
        <v>175</v>
      </c>
    </row>
    <row r="197" spans="1:7" ht="13.5" customHeight="1" x14ac:dyDescent="0.35">
      <c r="A197" s="47">
        <v>43411</v>
      </c>
      <c r="B197" s="45" t="s">
        <v>2926</v>
      </c>
      <c r="C197" s="426" t="s">
        <v>28</v>
      </c>
      <c r="D197" s="45" t="s">
        <v>160</v>
      </c>
      <c r="E197" s="53">
        <v>200</v>
      </c>
      <c r="F197" s="45" t="s">
        <v>2925</v>
      </c>
      <c r="G197" s="45" t="s">
        <v>175</v>
      </c>
    </row>
    <row r="198" spans="1:7" ht="13.5" customHeight="1" x14ac:dyDescent="0.35">
      <c r="A198" s="47">
        <v>43411</v>
      </c>
      <c r="B198" s="45" t="s">
        <v>2927</v>
      </c>
      <c r="C198" s="426" t="s">
        <v>28</v>
      </c>
      <c r="D198" s="45" t="s">
        <v>160</v>
      </c>
      <c r="E198" s="53">
        <v>200</v>
      </c>
      <c r="F198" s="45" t="s">
        <v>2925</v>
      </c>
      <c r="G198" s="45" t="s">
        <v>175</v>
      </c>
    </row>
    <row r="199" spans="1:7" ht="13.5" customHeight="1" x14ac:dyDescent="0.35">
      <c r="A199" s="47">
        <v>43409</v>
      </c>
      <c r="B199" s="45" t="s">
        <v>2928</v>
      </c>
      <c r="C199" s="426" t="s">
        <v>1276</v>
      </c>
      <c r="D199" s="45" t="s">
        <v>162</v>
      </c>
      <c r="E199" s="53">
        <v>500</v>
      </c>
      <c r="F199" s="45" t="s">
        <v>1078</v>
      </c>
      <c r="G199" s="45" t="s">
        <v>175</v>
      </c>
    </row>
    <row r="200" spans="1:7" ht="13.5" customHeight="1" x14ac:dyDescent="0.35">
      <c r="A200" s="47">
        <v>43407</v>
      </c>
      <c r="B200" s="45" t="s">
        <v>2929</v>
      </c>
      <c r="C200" s="426" t="s">
        <v>28</v>
      </c>
      <c r="D200" s="45" t="s">
        <v>162</v>
      </c>
      <c r="E200" s="53">
        <v>13</v>
      </c>
      <c r="F200" s="45" t="s">
        <v>2913</v>
      </c>
      <c r="G200" s="45" t="s">
        <v>163</v>
      </c>
    </row>
    <row r="201" spans="1:7" ht="13.5" customHeight="1" x14ac:dyDescent="0.35">
      <c r="A201" s="47">
        <v>43407</v>
      </c>
      <c r="B201" s="45" t="s">
        <v>2930</v>
      </c>
      <c r="C201" s="426" t="s">
        <v>28</v>
      </c>
      <c r="D201" s="45" t="s">
        <v>159</v>
      </c>
      <c r="E201" s="53">
        <v>250</v>
      </c>
      <c r="F201" s="45" t="s">
        <v>1489</v>
      </c>
      <c r="G201" s="45" t="s">
        <v>175</v>
      </c>
    </row>
    <row r="202" spans="1:7" ht="13.5" customHeight="1" x14ac:dyDescent="0.35">
      <c r="A202" s="47">
        <v>43407</v>
      </c>
      <c r="B202" s="45" t="s">
        <v>2153</v>
      </c>
      <c r="C202" s="426" t="s">
        <v>1276</v>
      </c>
      <c r="D202" s="45" t="s">
        <v>162</v>
      </c>
      <c r="E202" s="53">
        <v>60</v>
      </c>
      <c r="F202" s="45" t="s">
        <v>1078</v>
      </c>
      <c r="G202" s="45" t="s">
        <v>174</v>
      </c>
    </row>
    <row r="203" spans="1:7" ht="13.5" customHeight="1" x14ac:dyDescent="0.35">
      <c r="A203" s="47">
        <v>43407</v>
      </c>
      <c r="B203" s="45" t="s">
        <v>2931</v>
      </c>
      <c r="C203" s="426" t="s">
        <v>28</v>
      </c>
      <c r="D203" s="45" t="s">
        <v>159</v>
      </c>
      <c r="E203" s="53">
        <v>395</v>
      </c>
      <c r="F203" s="45" t="s">
        <v>1058</v>
      </c>
      <c r="G203" s="45" t="s">
        <v>175</v>
      </c>
    </row>
    <row r="204" spans="1:7" ht="13.5" customHeight="1" x14ac:dyDescent="0.35">
      <c r="A204" s="47">
        <v>43405</v>
      </c>
      <c r="B204" s="45" t="s">
        <v>2595</v>
      </c>
      <c r="C204" s="426" t="s">
        <v>1276</v>
      </c>
      <c r="D204" s="426" t="s">
        <v>161</v>
      </c>
      <c r="E204" s="567">
        <v>681.13</v>
      </c>
      <c r="F204" s="426" t="s">
        <v>1078</v>
      </c>
      <c r="G204" s="426" t="s">
        <v>175</v>
      </c>
    </row>
    <row r="205" spans="1:7" ht="13.5" customHeight="1" x14ac:dyDescent="0.35">
      <c r="A205" s="47">
        <v>43405</v>
      </c>
      <c r="B205" s="45" t="s">
        <v>2596</v>
      </c>
      <c r="C205" s="426" t="s">
        <v>1278</v>
      </c>
      <c r="D205" s="426" t="s">
        <v>161</v>
      </c>
      <c r="E205" s="567">
        <v>40</v>
      </c>
      <c r="F205" s="426" t="s">
        <v>292</v>
      </c>
      <c r="G205" s="426" t="s">
        <v>175</v>
      </c>
    </row>
    <row r="206" spans="1:7" ht="13.5" customHeight="1" x14ac:dyDescent="0.35">
      <c r="A206" s="47"/>
      <c r="B206" s="45"/>
      <c r="C206" s="45"/>
      <c r="D206" s="45"/>
      <c r="E206" s="53"/>
      <c r="F206" s="45"/>
      <c r="G206" s="45"/>
    </row>
    <row r="207" spans="1:7" ht="13.5" customHeight="1" x14ac:dyDescent="0.35">
      <c r="A207" s="47">
        <v>43404</v>
      </c>
      <c r="B207" s="45" t="s">
        <v>2932</v>
      </c>
      <c r="C207" s="426" t="s">
        <v>28</v>
      </c>
      <c r="D207" s="45" t="s">
        <v>159</v>
      </c>
      <c r="E207" s="53">
        <v>30</v>
      </c>
      <c r="F207" s="45" t="s">
        <v>1924</v>
      </c>
      <c r="G207" s="45" t="s">
        <v>175</v>
      </c>
    </row>
    <row r="208" spans="1:7" ht="13.5" customHeight="1" x14ac:dyDescent="0.35">
      <c r="A208" s="47">
        <v>43402</v>
      </c>
      <c r="B208" s="45" t="s">
        <v>2933</v>
      </c>
      <c r="C208" s="426" t="s">
        <v>1274</v>
      </c>
      <c r="D208" s="45" t="s">
        <v>159</v>
      </c>
      <c r="E208" s="53">
        <v>49</v>
      </c>
      <c r="F208" s="45" t="s">
        <v>2162</v>
      </c>
      <c r="G208" s="45" t="s">
        <v>175</v>
      </c>
    </row>
    <row r="209" spans="1:7" ht="13.5" customHeight="1" x14ac:dyDescent="0.35">
      <c r="A209" s="47">
        <v>43398</v>
      </c>
      <c r="B209" s="45" t="s">
        <v>2934</v>
      </c>
      <c r="C209" s="426" t="s">
        <v>1274</v>
      </c>
      <c r="D209" s="45" t="s">
        <v>2297</v>
      </c>
      <c r="E209" s="53">
        <v>150</v>
      </c>
      <c r="F209" s="45" t="s">
        <v>2162</v>
      </c>
      <c r="G209" s="45" t="s">
        <v>177</v>
      </c>
    </row>
    <row r="210" spans="1:7" ht="13.5" customHeight="1" x14ac:dyDescent="0.35">
      <c r="A210" s="47">
        <v>43396</v>
      </c>
      <c r="B210" s="45" t="s">
        <v>2930</v>
      </c>
      <c r="C210" s="426" t="s">
        <v>28</v>
      </c>
      <c r="D210" s="45" t="s">
        <v>160</v>
      </c>
      <c r="E210" s="53">
        <v>30</v>
      </c>
      <c r="F210" s="45" t="s">
        <v>2935</v>
      </c>
      <c r="G210" s="45" t="s">
        <v>174</v>
      </c>
    </row>
    <row r="211" spans="1:7" ht="13.5" customHeight="1" x14ac:dyDescent="0.35">
      <c r="A211" s="47">
        <v>43396</v>
      </c>
      <c r="B211" s="45" t="s">
        <v>2936</v>
      </c>
      <c r="C211" s="426" t="s">
        <v>1274</v>
      </c>
      <c r="D211" s="45" t="s">
        <v>159</v>
      </c>
      <c r="E211" s="53">
        <v>75</v>
      </c>
      <c r="F211" s="45" t="s">
        <v>1638</v>
      </c>
      <c r="G211" s="45" t="s">
        <v>179</v>
      </c>
    </row>
    <row r="212" spans="1:7" ht="13.5" customHeight="1" x14ac:dyDescent="0.35">
      <c r="A212" s="47">
        <v>43396</v>
      </c>
      <c r="B212" s="45" t="s">
        <v>1935</v>
      </c>
      <c r="C212" s="426" t="s">
        <v>28</v>
      </c>
      <c r="D212" s="45" t="s">
        <v>160</v>
      </c>
      <c r="E212" s="53">
        <v>50</v>
      </c>
      <c r="F212" s="45" t="s">
        <v>1489</v>
      </c>
      <c r="G212" s="45" t="s">
        <v>1311</v>
      </c>
    </row>
    <row r="213" spans="1:7" ht="13.5" customHeight="1" x14ac:dyDescent="0.35">
      <c r="A213" s="47">
        <v>43394</v>
      </c>
      <c r="B213" s="45" t="s">
        <v>2228</v>
      </c>
      <c r="C213" s="426" t="s">
        <v>1274</v>
      </c>
      <c r="D213" s="45" t="s">
        <v>159</v>
      </c>
      <c r="E213" s="53">
        <v>75</v>
      </c>
      <c r="F213" s="45" t="s">
        <v>2162</v>
      </c>
      <c r="G213" s="45" t="s">
        <v>174</v>
      </c>
    </row>
    <row r="214" spans="1:7" ht="13.5" customHeight="1" x14ac:dyDescent="0.35">
      <c r="A214" s="47">
        <v>43394</v>
      </c>
      <c r="B214" s="45" t="s">
        <v>2937</v>
      </c>
      <c r="C214" s="426" t="s">
        <v>1279</v>
      </c>
      <c r="D214" s="45" t="s">
        <v>160</v>
      </c>
      <c r="E214" s="53">
        <v>120</v>
      </c>
      <c r="F214" s="48" t="s">
        <v>941</v>
      </c>
      <c r="G214" s="45" t="s">
        <v>174</v>
      </c>
    </row>
    <row r="215" spans="1:7" ht="13.5" customHeight="1" x14ac:dyDescent="0.35">
      <c r="A215" s="47">
        <v>43394</v>
      </c>
      <c r="B215" s="45" t="s">
        <v>2938</v>
      </c>
      <c r="C215" s="426" t="s">
        <v>1274</v>
      </c>
      <c r="D215" s="45" t="s">
        <v>159</v>
      </c>
      <c r="E215" s="53">
        <v>75</v>
      </c>
      <c r="F215" s="45" t="s">
        <v>2162</v>
      </c>
      <c r="G215" s="45" t="s">
        <v>174</v>
      </c>
    </row>
    <row r="216" spans="1:7" ht="13.5" customHeight="1" x14ac:dyDescent="0.35">
      <c r="A216" s="47">
        <v>43393</v>
      </c>
      <c r="B216" s="45" t="s">
        <v>276</v>
      </c>
      <c r="C216" s="426" t="s">
        <v>1274</v>
      </c>
      <c r="D216" s="45" t="s">
        <v>160</v>
      </c>
      <c r="E216" s="53">
        <v>125</v>
      </c>
      <c r="F216" s="45" t="s">
        <v>2162</v>
      </c>
      <c r="G216" s="45" t="s">
        <v>175</v>
      </c>
    </row>
    <row r="217" spans="1:7" ht="13.5" customHeight="1" x14ac:dyDescent="0.35">
      <c r="A217" s="47">
        <v>43393</v>
      </c>
      <c r="B217" s="45" t="s">
        <v>2939</v>
      </c>
      <c r="C217" s="426" t="s">
        <v>1279</v>
      </c>
      <c r="D217" s="45" t="s">
        <v>160</v>
      </c>
      <c r="E217" s="53">
        <v>120</v>
      </c>
      <c r="F217" s="48" t="s">
        <v>941</v>
      </c>
      <c r="G217" s="45" t="s">
        <v>175</v>
      </c>
    </row>
    <row r="218" spans="1:7" ht="13.5" customHeight="1" x14ac:dyDescent="0.35">
      <c r="A218" s="47">
        <v>43392</v>
      </c>
      <c r="B218" s="45" t="s">
        <v>2940</v>
      </c>
      <c r="C218" s="426" t="s">
        <v>1274</v>
      </c>
      <c r="D218" s="45" t="s">
        <v>159</v>
      </c>
      <c r="E218" s="53">
        <v>75</v>
      </c>
      <c r="F218" s="45" t="s">
        <v>2162</v>
      </c>
      <c r="G218" s="45" t="s">
        <v>174</v>
      </c>
    </row>
    <row r="219" spans="1:7" ht="13.5" customHeight="1" x14ac:dyDescent="0.35">
      <c r="A219" s="47">
        <v>43392</v>
      </c>
      <c r="B219" s="45" t="s">
        <v>1667</v>
      </c>
      <c r="C219" s="426" t="s">
        <v>1274</v>
      </c>
      <c r="D219" s="45" t="s">
        <v>160</v>
      </c>
      <c r="E219" s="53">
        <v>75</v>
      </c>
      <c r="F219" s="45" t="s">
        <v>2162</v>
      </c>
      <c r="G219" s="45" t="s">
        <v>175</v>
      </c>
    </row>
    <row r="220" spans="1:7" ht="13.5" customHeight="1" x14ac:dyDescent="0.35">
      <c r="A220" s="47">
        <v>43392</v>
      </c>
      <c r="B220" s="45" t="s">
        <v>2941</v>
      </c>
      <c r="C220" s="426" t="s">
        <v>1274</v>
      </c>
      <c r="D220" s="45" t="s">
        <v>160</v>
      </c>
      <c r="E220" s="53">
        <v>75</v>
      </c>
      <c r="F220" s="45" t="s">
        <v>2162</v>
      </c>
      <c r="G220" s="45" t="s">
        <v>175</v>
      </c>
    </row>
    <row r="221" spans="1:7" ht="13.5" customHeight="1" x14ac:dyDescent="0.35">
      <c r="A221" s="47">
        <v>43391</v>
      </c>
      <c r="B221" s="45" t="s">
        <v>2799</v>
      </c>
      <c r="C221" s="426" t="s">
        <v>1274</v>
      </c>
      <c r="D221" s="45" t="s">
        <v>159</v>
      </c>
      <c r="E221" s="53">
        <v>75</v>
      </c>
      <c r="F221" s="45" t="s">
        <v>2162</v>
      </c>
      <c r="G221" s="45" t="s">
        <v>177</v>
      </c>
    </row>
    <row r="222" spans="1:7" ht="13.5" customHeight="1" x14ac:dyDescent="0.35">
      <c r="A222" s="47">
        <v>43391</v>
      </c>
      <c r="B222" s="45" t="s">
        <v>2942</v>
      </c>
      <c r="C222" s="426" t="s">
        <v>28</v>
      </c>
      <c r="D222" s="45" t="s">
        <v>159</v>
      </c>
      <c r="E222" s="53">
        <v>50</v>
      </c>
      <c r="F222" s="45" t="s">
        <v>2943</v>
      </c>
      <c r="G222" s="45" t="s">
        <v>179</v>
      </c>
    </row>
    <row r="223" spans="1:7" ht="13.5" customHeight="1" x14ac:dyDescent="0.35">
      <c r="A223" s="47">
        <v>43391</v>
      </c>
      <c r="B223" s="45" t="s">
        <v>2944</v>
      </c>
      <c r="C223" s="426" t="s">
        <v>1274</v>
      </c>
      <c r="D223" s="45" t="s">
        <v>159</v>
      </c>
      <c r="E223" s="53">
        <v>125</v>
      </c>
      <c r="F223" s="45" t="s">
        <v>2162</v>
      </c>
      <c r="G223" s="45" t="s">
        <v>175</v>
      </c>
    </row>
    <row r="224" spans="1:7" ht="13.5" customHeight="1" x14ac:dyDescent="0.35">
      <c r="A224" s="47">
        <v>43390</v>
      </c>
      <c r="B224" s="45" t="s">
        <v>2945</v>
      </c>
      <c r="C224" s="426" t="s">
        <v>1274</v>
      </c>
      <c r="D224" s="45" t="s">
        <v>160</v>
      </c>
      <c r="E224" s="53">
        <v>375</v>
      </c>
      <c r="F224" s="45" t="s">
        <v>2162</v>
      </c>
      <c r="G224" s="45" t="s">
        <v>174</v>
      </c>
    </row>
    <row r="225" spans="1:7" ht="13.5" customHeight="1" x14ac:dyDescent="0.35">
      <c r="A225" s="47">
        <v>43390</v>
      </c>
      <c r="B225" s="45" t="s">
        <v>2946</v>
      </c>
      <c r="C225" s="426" t="s">
        <v>1274</v>
      </c>
      <c r="D225" s="45" t="s">
        <v>160</v>
      </c>
      <c r="E225" s="53">
        <v>75</v>
      </c>
      <c r="F225" s="45" t="s">
        <v>2162</v>
      </c>
      <c r="G225" s="45" t="s">
        <v>174</v>
      </c>
    </row>
    <row r="226" spans="1:7" ht="13.5" customHeight="1" x14ac:dyDescent="0.35">
      <c r="A226" s="47">
        <v>43390</v>
      </c>
      <c r="B226" s="45" t="s">
        <v>2829</v>
      </c>
      <c r="C226" s="426" t="s">
        <v>28</v>
      </c>
      <c r="D226" s="45" t="s">
        <v>160</v>
      </c>
      <c r="E226" s="53">
        <v>30</v>
      </c>
      <c r="F226" s="45" t="s">
        <v>2947</v>
      </c>
      <c r="G226" s="45" t="s">
        <v>174</v>
      </c>
    </row>
    <row r="227" spans="1:7" ht="13.5" customHeight="1" x14ac:dyDescent="0.35">
      <c r="A227" s="47">
        <v>43390</v>
      </c>
      <c r="B227" s="45" t="s">
        <v>2231</v>
      </c>
      <c r="C227" s="426" t="s">
        <v>28</v>
      </c>
      <c r="D227" s="45" t="s">
        <v>159</v>
      </c>
      <c r="E227" s="53">
        <v>250</v>
      </c>
      <c r="F227" s="45" t="s">
        <v>2948</v>
      </c>
      <c r="G227" s="45" t="s">
        <v>179</v>
      </c>
    </row>
    <row r="228" spans="1:7" ht="13.5" customHeight="1" x14ac:dyDescent="0.35">
      <c r="A228" s="47">
        <v>43390</v>
      </c>
      <c r="B228" s="45" t="s">
        <v>2231</v>
      </c>
      <c r="C228" s="426" t="s">
        <v>28</v>
      </c>
      <c r="D228" s="45" t="s">
        <v>159</v>
      </c>
      <c r="E228" s="53">
        <v>50</v>
      </c>
      <c r="F228" s="45" t="s">
        <v>2943</v>
      </c>
      <c r="G228" s="45" t="s">
        <v>179</v>
      </c>
    </row>
    <row r="229" spans="1:7" ht="13.5" customHeight="1" x14ac:dyDescent="0.35">
      <c r="A229" s="47">
        <v>43389</v>
      </c>
      <c r="B229" s="45" t="s">
        <v>2949</v>
      </c>
      <c r="C229" s="426" t="s">
        <v>2525</v>
      </c>
      <c r="D229" s="45" t="s">
        <v>160</v>
      </c>
      <c r="E229" s="53">
        <v>9.4</v>
      </c>
      <c r="F229" s="45" t="s">
        <v>1254</v>
      </c>
      <c r="G229" s="45" t="s">
        <v>174</v>
      </c>
    </row>
    <row r="230" spans="1:7" ht="13.5" customHeight="1" x14ac:dyDescent="0.35">
      <c r="A230" s="47">
        <v>43388</v>
      </c>
      <c r="B230" s="45" t="s">
        <v>2615</v>
      </c>
      <c r="C230" s="426" t="s">
        <v>1274</v>
      </c>
      <c r="D230" s="45" t="s">
        <v>159</v>
      </c>
      <c r="E230" s="53">
        <v>150</v>
      </c>
      <c r="F230" s="45" t="s">
        <v>2162</v>
      </c>
      <c r="G230" s="45" t="s">
        <v>177</v>
      </c>
    </row>
    <row r="231" spans="1:7" ht="13.5" customHeight="1" x14ac:dyDescent="0.35">
      <c r="A231" s="47">
        <v>43385</v>
      </c>
      <c r="B231" s="45" t="s">
        <v>1194</v>
      </c>
      <c r="C231" s="426" t="s">
        <v>1274</v>
      </c>
      <c r="D231" s="45" t="s">
        <v>159</v>
      </c>
      <c r="E231" s="53">
        <v>99</v>
      </c>
      <c r="F231" s="45" t="s">
        <v>2162</v>
      </c>
      <c r="G231" s="45" t="s">
        <v>174</v>
      </c>
    </row>
    <row r="232" spans="1:7" ht="13.5" customHeight="1" x14ac:dyDescent="0.35">
      <c r="A232" s="47">
        <v>43380</v>
      </c>
      <c r="B232" s="45" t="s">
        <v>2950</v>
      </c>
      <c r="C232" s="426" t="s">
        <v>1274</v>
      </c>
      <c r="D232" s="45" t="s">
        <v>159</v>
      </c>
      <c r="E232" s="53">
        <v>75</v>
      </c>
      <c r="F232" s="45" t="s">
        <v>209</v>
      </c>
      <c r="G232" s="45" t="s">
        <v>174</v>
      </c>
    </row>
    <row r="233" spans="1:7" ht="13.5" customHeight="1" x14ac:dyDescent="0.35">
      <c r="A233" s="47">
        <v>43380</v>
      </c>
      <c r="B233" s="45" t="s">
        <v>2951</v>
      </c>
      <c r="C233" s="426" t="s">
        <v>1274</v>
      </c>
      <c r="D233" s="45" t="s">
        <v>159</v>
      </c>
      <c r="E233" s="53">
        <v>150</v>
      </c>
      <c r="F233" s="45" t="s">
        <v>2162</v>
      </c>
      <c r="G233" s="45" t="s">
        <v>179</v>
      </c>
    </row>
    <row r="234" spans="1:7" ht="13.5" customHeight="1" x14ac:dyDescent="0.35">
      <c r="A234" s="47">
        <v>43379</v>
      </c>
      <c r="B234" s="45" t="s">
        <v>2952</v>
      </c>
      <c r="C234" s="426" t="s">
        <v>1274</v>
      </c>
      <c r="D234" s="45" t="s">
        <v>159</v>
      </c>
      <c r="E234" s="53">
        <v>99</v>
      </c>
      <c r="F234" s="45" t="s">
        <v>2162</v>
      </c>
      <c r="G234" s="45" t="s">
        <v>179</v>
      </c>
    </row>
    <row r="235" spans="1:7" ht="13.5" customHeight="1" x14ac:dyDescent="0.35">
      <c r="A235" s="47">
        <v>43379</v>
      </c>
      <c r="B235" s="45" t="s">
        <v>2953</v>
      </c>
      <c r="C235" s="426" t="s">
        <v>1274</v>
      </c>
      <c r="D235" s="45" t="s">
        <v>159</v>
      </c>
      <c r="E235" s="53">
        <v>69</v>
      </c>
      <c r="F235" s="45" t="s">
        <v>2162</v>
      </c>
      <c r="G235" s="45" t="s">
        <v>177</v>
      </c>
    </row>
    <row r="236" spans="1:7" ht="13.5" customHeight="1" x14ac:dyDescent="0.35">
      <c r="A236" s="47">
        <v>43376</v>
      </c>
      <c r="B236" s="45" t="s">
        <v>2954</v>
      </c>
      <c r="C236" s="426" t="s">
        <v>1274</v>
      </c>
      <c r="D236" s="45" t="s">
        <v>159</v>
      </c>
      <c r="E236" s="53">
        <v>99</v>
      </c>
      <c r="F236" s="45" t="s">
        <v>2162</v>
      </c>
      <c r="G236" s="45" t="s">
        <v>174</v>
      </c>
    </row>
    <row r="237" spans="1:7" ht="13.5" customHeight="1" x14ac:dyDescent="0.35">
      <c r="A237" s="47">
        <v>43376</v>
      </c>
      <c r="B237" s="45" t="s">
        <v>2235</v>
      </c>
      <c r="C237" s="426" t="s">
        <v>1274</v>
      </c>
      <c r="D237" s="45" t="s">
        <v>162</v>
      </c>
      <c r="E237" s="53">
        <v>230</v>
      </c>
      <c r="F237" s="45" t="s">
        <v>1000</v>
      </c>
      <c r="G237" s="45" t="s">
        <v>175</v>
      </c>
    </row>
    <row r="238" spans="1:7" ht="13.5" customHeight="1" x14ac:dyDescent="0.35">
      <c r="A238" s="47">
        <v>43376</v>
      </c>
      <c r="B238" s="45" t="s">
        <v>2955</v>
      </c>
      <c r="C238" s="426" t="s">
        <v>1274</v>
      </c>
      <c r="D238" s="45" t="s">
        <v>160</v>
      </c>
      <c r="E238" s="53">
        <v>15</v>
      </c>
      <c r="F238" s="45" t="s">
        <v>2956</v>
      </c>
      <c r="G238" s="45" t="s">
        <v>177</v>
      </c>
    </row>
    <row r="239" spans="1:7" ht="13.5" customHeight="1" x14ac:dyDescent="0.35">
      <c r="A239" s="47">
        <v>43374</v>
      </c>
      <c r="B239" s="45" t="s">
        <v>2957</v>
      </c>
      <c r="C239" s="426" t="s">
        <v>1274</v>
      </c>
      <c r="D239" s="45" t="s">
        <v>159</v>
      </c>
      <c r="E239" s="53">
        <v>150</v>
      </c>
      <c r="F239" s="45" t="s">
        <v>2162</v>
      </c>
      <c r="G239" s="45" t="s">
        <v>179</v>
      </c>
    </row>
    <row r="240" spans="1:7" ht="13.5" customHeight="1" x14ac:dyDescent="0.35">
      <c r="A240" s="47">
        <v>43374</v>
      </c>
      <c r="B240" s="45" t="s">
        <v>2958</v>
      </c>
      <c r="C240" s="426" t="s">
        <v>1274</v>
      </c>
      <c r="D240" s="45" t="s">
        <v>159</v>
      </c>
      <c r="E240" s="53">
        <v>75</v>
      </c>
      <c r="F240" s="45" t="s">
        <v>2959</v>
      </c>
      <c r="G240" s="45" t="s">
        <v>174</v>
      </c>
    </row>
    <row r="241" spans="1:7" ht="13.5" customHeight="1" x14ac:dyDescent="0.35">
      <c r="A241" s="47">
        <v>43374</v>
      </c>
      <c r="B241" s="45" t="s">
        <v>2611</v>
      </c>
      <c r="C241" s="426" t="s">
        <v>1276</v>
      </c>
      <c r="D241" s="426" t="s">
        <v>161</v>
      </c>
      <c r="E241" s="567">
        <v>493.63</v>
      </c>
      <c r="F241" s="426" t="s">
        <v>1078</v>
      </c>
      <c r="G241" s="426" t="s">
        <v>175</v>
      </c>
    </row>
    <row r="242" spans="1:7" ht="13.5" customHeight="1" x14ac:dyDescent="0.35">
      <c r="A242" s="47">
        <v>43374</v>
      </c>
      <c r="B242" s="45" t="s">
        <v>2612</v>
      </c>
      <c r="C242" s="426" t="s">
        <v>1278</v>
      </c>
      <c r="D242" s="426" t="s">
        <v>161</v>
      </c>
      <c r="E242" s="567">
        <v>40</v>
      </c>
      <c r="F242" s="426" t="s">
        <v>292</v>
      </c>
      <c r="G242" s="426" t="s">
        <v>175</v>
      </c>
    </row>
    <row r="243" spans="1:7" ht="13.5" customHeight="1" x14ac:dyDescent="0.35">
      <c r="A243" s="47"/>
      <c r="B243" s="45"/>
      <c r="C243" s="45"/>
      <c r="D243" s="45"/>
      <c r="E243" s="53"/>
      <c r="F243" s="45"/>
      <c r="G243" s="45"/>
    </row>
    <row r="244" spans="1:7" ht="13.5" customHeight="1" x14ac:dyDescent="0.35">
      <c r="A244" s="47">
        <v>43373</v>
      </c>
      <c r="B244" s="45" t="s">
        <v>1187</v>
      </c>
      <c r="C244" s="426" t="s">
        <v>1276</v>
      </c>
      <c r="D244" s="45" t="s">
        <v>162</v>
      </c>
      <c r="E244" s="53">
        <v>187.5</v>
      </c>
      <c r="F244" s="45" t="s">
        <v>1078</v>
      </c>
      <c r="G244" s="45" t="s">
        <v>175</v>
      </c>
    </row>
    <row r="245" spans="1:7" ht="13.5" customHeight="1" x14ac:dyDescent="0.35">
      <c r="A245" s="47">
        <v>43373</v>
      </c>
      <c r="B245" s="45" t="s">
        <v>2960</v>
      </c>
      <c r="C245" s="426" t="s">
        <v>1274</v>
      </c>
      <c r="D245" s="45" t="s">
        <v>159</v>
      </c>
      <c r="E245" s="53">
        <v>69</v>
      </c>
      <c r="F245" s="45" t="s">
        <v>2162</v>
      </c>
      <c r="G245" s="45" t="s">
        <v>177</v>
      </c>
    </row>
    <row r="246" spans="1:7" ht="13.5" customHeight="1" x14ac:dyDescent="0.35">
      <c r="A246" s="47">
        <v>43373</v>
      </c>
      <c r="B246" s="45" t="s">
        <v>276</v>
      </c>
      <c r="C246" s="426" t="s">
        <v>1274</v>
      </c>
      <c r="D246" s="45" t="s">
        <v>160</v>
      </c>
      <c r="E246" s="53">
        <v>543.75</v>
      </c>
      <c r="F246" s="45" t="s">
        <v>1531</v>
      </c>
      <c r="G246" s="45" t="s">
        <v>175</v>
      </c>
    </row>
    <row r="247" spans="1:7" ht="13.5" customHeight="1" x14ac:dyDescent="0.35">
      <c r="A247" s="47">
        <v>43372</v>
      </c>
      <c r="B247" s="45" t="s">
        <v>2961</v>
      </c>
      <c r="C247" s="426" t="s">
        <v>1274</v>
      </c>
      <c r="D247" s="45" t="s">
        <v>159</v>
      </c>
      <c r="E247" s="53">
        <v>99</v>
      </c>
      <c r="F247" s="45" t="s">
        <v>2162</v>
      </c>
      <c r="G247" s="45" t="s">
        <v>177</v>
      </c>
    </row>
    <row r="248" spans="1:7" ht="13.5" customHeight="1" x14ac:dyDescent="0.35">
      <c r="A248" s="47">
        <v>43371</v>
      </c>
      <c r="B248" s="45" t="s">
        <v>2962</v>
      </c>
      <c r="C248" s="426" t="s">
        <v>1274</v>
      </c>
      <c r="D248" s="45" t="s">
        <v>162</v>
      </c>
      <c r="E248" s="53">
        <v>200</v>
      </c>
      <c r="F248" s="45" t="s">
        <v>1531</v>
      </c>
      <c r="G248" s="45" t="s">
        <v>1311</v>
      </c>
    </row>
    <row r="249" spans="1:7" ht="13.5" customHeight="1" x14ac:dyDescent="0.35">
      <c r="A249" s="47">
        <v>43370</v>
      </c>
      <c r="B249" s="45" t="s">
        <v>2963</v>
      </c>
      <c r="C249" s="426" t="s">
        <v>1274</v>
      </c>
      <c r="D249" s="45" t="s">
        <v>160</v>
      </c>
      <c r="E249" s="53">
        <v>24</v>
      </c>
      <c r="F249" s="45" t="s">
        <v>2162</v>
      </c>
      <c r="G249" s="45" t="s">
        <v>175</v>
      </c>
    </row>
    <row r="250" spans="1:7" ht="13.5" customHeight="1" x14ac:dyDescent="0.35">
      <c r="A250" s="47">
        <v>43370</v>
      </c>
      <c r="B250" s="45" t="s">
        <v>2905</v>
      </c>
      <c r="C250" s="426" t="s">
        <v>1274</v>
      </c>
      <c r="D250" s="45" t="s">
        <v>159</v>
      </c>
      <c r="E250" s="53">
        <v>725</v>
      </c>
      <c r="F250" s="45" t="s">
        <v>1657</v>
      </c>
      <c r="G250" s="45" t="s">
        <v>175</v>
      </c>
    </row>
    <row r="251" spans="1:7" ht="13.5" customHeight="1" x14ac:dyDescent="0.35">
      <c r="A251" s="47">
        <v>43367</v>
      </c>
      <c r="B251" s="426" t="s">
        <v>2964</v>
      </c>
      <c r="C251" s="426" t="s">
        <v>1274</v>
      </c>
      <c r="D251" s="45" t="s">
        <v>160</v>
      </c>
      <c r="E251" s="435">
        <v>625</v>
      </c>
      <c r="F251" s="45" t="s">
        <v>1657</v>
      </c>
      <c r="G251" s="45" t="s">
        <v>174</v>
      </c>
    </row>
    <row r="252" spans="1:7" ht="13.5" customHeight="1" x14ac:dyDescent="0.35">
      <c r="A252" s="47">
        <v>43367</v>
      </c>
      <c r="B252" s="45" t="s">
        <v>732</v>
      </c>
      <c r="C252" s="426" t="s">
        <v>1279</v>
      </c>
      <c r="D252" s="45" t="s">
        <v>160</v>
      </c>
      <c r="E252" s="53">
        <v>360</v>
      </c>
      <c r="F252" s="48" t="s">
        <v>941</v>
      </c>
      <c r="G252" s="45" t="s">
        <v>175</v>
      </c>
    </row>
    <row r="253" spans="1:7" ht="13.5" customHeight="1" x14ac:dyDescent="0.35">
      <c r="A253" s="47">
        <v>43366</v>
      </c>
      <c r="B253" s="45" t="s">
        <v>2965</v>
      </c>
      <c r="C253" s="426" t="s">
        <v>1274</v>
      </c>
      <c r="D253" s="45" t="s">
        <v>160</v>
      </c>
      <c r="E253" s="53">
        <v>112.5</v>
      </c>
      <c r="F253" s="45" t="s">
        <v>2162</v>
      </c>
      <c r="G253" s="45" t="s">
        <v>174</v>
      </c>
    </row>
    <row r="254" spans="1:7" ht="13.5" customHeight="1" x14ac:dyDescent="0.35">
      <c r="A254" s="47">
        <v>43366</v>
      </c>
      <c r="B254" s="45" t="s">
        <v>2966</v>
      </c>
      <c r="C254" s="426" t="s">
        <v>1274</v>
      </c>
      <c r="D254" s="45" t="s">
        <v>160</v>
      </c>
      <c r="E254" s="53">
        <v>112.5</v>
      </c>
      <c r="F254" s="45" t="s">
        <v>2162</v>
      </c>
      <c r="G254" s="45" t="s">
        <v>179</v>
      </c>
    </row>
    <row r="255" spans="1:7" ht="13.5" customHeight="1" x14ac:dyDescent="0.35">
      <c r="A255" s="47">
        <v>43366</v>
      </c>
      <c r="B255" s="45" t="s">
        <v>2967</v>
      </c>
      <c r="C255" s="426" t="s">
        <v>28</v>
      </c>
      <c r="D255" s="45" t="s">
        <v>159</v>
      </c>
      <c r="E255" s="53">
        <v>22.5</v>
      </c>
      <c r="F255" s="45" t="s">
        <v>1924</v>
      </c>
      <c r="G255" s="45" t="s">
        <v>174</v>
      </c>
    </row>
    <row r="256" spans="1:7" ht="13.5" customHeight="1" x14ac:dyDescent="0.35">
      <c r="A256" s="47">
        <v>43366</v>
      </c>
      <c r="B256" s="45" t="s">
        <v>2968</v>
      </c>
      <c r="C256" s="426" t="s">
        <v>1274</v>
      </c>
      <c r="D256" s="45" t="s">
        <v>159</v>
      </c>
      <c r="E256" s="53">
        <v>74.25</v>
      </c>
      <c r="F256" s="45" t="s">
        <v>2162</v>
      </c>
      <c r="G256" s="45" t="s">
        <v>177</v>
      </c>
    </row>
    <row r="257" spans="1:7" ht="13.5" customHeight="1" x14ac:dyDescent="0.35">
      <c r="A257" s="47">
        <v>43366</v>
      </c>
      <c r="B257" s="45" t="s">
        <v>2969</v>
      </c>
      <c r="C257" s="426" t="s">
        <v>1274</v>
      </c>
      <c r="D257" s="45" t="s">
        <v>159</v>
      </c>
      <c r="E257" s="53">
        <v>99</v>
      </c>
      <c r="F257" s="45" t="s">
        <v>2162</v>
      </c>
      <c r="G257" s="45" t="s">
        <v>179</v>
      </c>
    </row>
    <row r="258" spans="1:7" ht="13.5" customHeight="1" x14ac:dyDescent="0.35">
      <c r="A258" s="47">
        <v>43366</v>
      </c>
      <c r="B258" s="45" t="s">
        <v>2970</v>
      </c>
      <c r="C258" s="426" t="s">
        <v>1274</v>
      </c>
      <c r="D258" s="45" t="s">
        <v>160</v>
      </c>
      <c r="E258" s="53">
        <v>56.25</v>
      </c>
      <c r="F258" s="45" t="s">
        <v>1638</v>
      </c>
      <c r="G258" s="45" t="s">
        <v>175</v>
      </c>
    </row>
    <row r="259" spans="1:7" ht="13.5" customHeight="1" x14ac:dyDescent="0.35">
      <c r="A259" s="47">
        <v>43365</v>
      </c>
      <c r="B259" s="45" t="s">
        <v>2824</v>
      </c>
      <c r="C259" s="426" t="s">
        <v>28</v>
      </c>
      <c r="D259" s="45" t="s">
        <v>159</v>
      </c>
      <c r="E259" s="53">
        <v>371.25</v>
      </c>
      <c r="F259" s="45" t="s">
        <v>2626</v>
      </c>
      <c r="G259" s="45" t="s">
        <v>175</v>
      </c>
    </row>
    <row r="260" spans="1:7" ht="13.5" customHeight="1" x14ac:dyDescent="0.35">
      <c r="A260" s="47">
        <v>43365</v>
      </c>
      <c r="B260" s="45" t="s">
        <v>2971</v>
      </c>
      <c r="C260" s="426" t="s">
        <v>1274</v>
      </c>
      <c r="D260" s="45" t="s">
        <v>159</v>
      </c>
      <c r="E260" s="53">
        <v>56.25</v>
      </c>
      <c r="F260" s="45" t="s">
        <v>1638</v>
      </c>
      <c r="G260" s="45" t="s">
        <v>175</v>
      </c>
    </row>
    <row r="261" spans="1:7" ht="13.5" customHeight="1" x14ac:dyDescent="0.35">
      <c r="A261" s="47">
        <v>43365</v>
      </c>
      <c r="B261" s="45" t="s">
        <v>2972</v>
      </c>
      <c r="C261" s="426" t="s">
        <v>1274</v>
      </c>
      <c r="D261" s="45" t="s">
        <v>160</v>
      </c>
      <c r="E261" s="53">
        <v>114</v>
      </c>
      <c r="F261" s="45" t="s">
        <v>2973</v>
      </c>
      <c r="G261" s="45" t="s">
        <v>174</v>
      </c>
    </row>
    <row r="262" spans="1:7" ht="13.5" customHeight="1" x14ac:dyDescent="0.35">
      <c r="A262" s="47">
        <v>43364</v>
      </c>
      <c r="B262" s="45" t="s">
        <v>2974</v>
      </c>
      <c r="C262" s="426" t="s">
        <v>28</v>
      </c>
      <c r="D262" s="45" t="s">
        <v>160</v>
      </c>
      <c r="E262" s="53">
        <v>187.5</v>
      </c>
      <c r="F262" s="45" t="s">
        <v>1819</v>
      </c>
      <c r="G262" s="45" t="s">
        <v>174</v>
      </c>
    </row>
    <row r="263" spans="1:7" ht="13.5" customHeight="1" x14ac:dyDescent="0.35">
      <c r="A263" s="47">
        <v>43363</v>
      </c>
      <c r="B263" s="45" t="s">
        <v>2975</v>
      </c>
      <c r="C263" s="426" t="s">
        <v>1274</v>
      </c>
      <c r="D263" s="45" t="s">
        <v>160</v>
      </c>
      <c r="E263" s="53">
        <v>150</v>
      </c>
      <c r="F263" s="45" t="s">
        <v>2162</v>
      </c>
      <c r="G263" s="45" t="s">
        <v>179</v>
      </c>
    </row>
    <row r="264" spans="1:7" ht="13.5" customHeight="1" x14ac:dyDescent="0.35">
      <c r="A264" s="47">
        <v>43363</v>
      </c>
      <c r="B264" s="45" t="s">
        <v>1667</v>
      </c>
      <c r="C264" s="426" t="s">
        <v>28</v>
      </c>
      <c r="D264" s="45" t="s">
        <v>160</v>
      </c>
      <c r="E264" s="53">
        <v>37.5</v>
      </c>
      <c r="F264" s="45" t="s">
        <v>2823</v>
      </c>
      <c r="G264" s="45" t="s">
        <v>175</v>
      </c>
    </row>
    <row r="265" spans="1:7" ht="13.5" customHeight="1" x14ac:dyDescent="0.35">
      <c r="A265" s="47">
        <v>43362</v>
      </c>
      <c r="B265" s="45" t="s">
        <v>2738</v>
      </c>
      <c r="C265" s="426" t="s">
        <v>1279</v>
      </c>
      <c r="D265" s="45" t="s">
        <v>159</v>
      </c>
      <c r="E265" s="53">
        <v>120</v>
      </c>
      <c r="F265" s="48" t="s">
        <v>941</v>
      </c>
      <c r="G265" s="45" t="s">
        <v>175</v>
      </c>
    </row>
    <row r="266" spans="1:7" ht="13.5" customHeight="1" x14ac:dyDescent="0.35">
      <c r="A266" s="47">
        <v>43362</v>
      </c>
      <c r="B266" s="45" t="s">
        <v>2976</v>
      </c>
      <c r="C266" s="426" t="s">
        <v>1274</v>
      </c>
      <c r="D266" s="45" t="s">
        <v>159</v>
      </c>
      <c r="E266" s="53">
        <v>97.5</v>
      </c>
      <c r="F266" s="45" t="s">
        <v>2977</v>
      </c>
      <c r="G266" s="45" t="s">
        <v>177</v>
      </c>
    </row>
    <row r="267" spans="1:7" ht="13.5" customHeight="1" x14ac:dyDescent="0.35">
      <c r="A267" s="47">
        <v>43361</v>
      </c>
      <c r="B267" s="45" t="s">
        <v>2978</v>
      </c>
      <c r="C267" s="426" t="s">
        <v>28</v>
      </c>
      <c r="D267" s="45" t="s">
        <v>162</v>
      </c>
      <c r="E267" s="53">
        <v>220</v>
      </c>
      <c r="F267" s="45" t="s">
        <v>1819</v>
      </c>
      <c r="G267" s="45" t="s">
        <v>175</v>
      </c>
    </row>
    <row r="268" spans="1:7" ht="13.5" customHeight="1" x14ac:dyDescent="0.35">
      <c r="A268" s="47">
        <v>43361</v>
      </c>
      <c r="B268" s="45" t="s">
        <v>2979</v>
      </c>
      <c r="C268" s="426" t="s">
        <v>1278</v>
      </c>
      <c r="D268" s="45" t="s">
        <v>160</v>
      </c>
      <c r="E268" s="53">
        <v>20</v>
      </c>
      <c r="F268" s="45" t="s">
        <v>293</v>
      </c>
      <c r="G268" s="45" t="s">
        <v>174</v>
      </c>
    </row>
    <row r="269" spans="1:7" ht="13.5" customHeight="1" x14ac:dyDescent="0.35">
      <c r="A269" s="47">
        <v>43361</v>
      </c>
      <c r="B269" s="45" t="s">
        <v>2781</v>
      </c>
      <c r="C269" s="426" t="s">
        <v>2525</v>
      </c>
      <c r="D269" s="45" t="s">
        <v>159</v>
      </c>
      <c r="E269" s="53">
        <v>22.5</v>
      </c>
      <c r="F269" s="45" t="s">
        <v>2980</v>
      </c>
      <c r="G269" s="45" t="s">
        <v>175</v>
      </c>
    </row>
    <row r="270" spans="1:7" ht="13.5" customHeight="1" x14ac:dyDescent="0.35">
      <c r="A270" s="47">
        <v>43359</v>
      </c>
      <c r="B270" s="45" t="s">
        <v>2981</v>
      </c>
      <c r="C270" s="426" t="s">
        <v>1274</v>
      </c>
      <c r="D270" s="45" t="s">
        <v>159</v>
      </c>
      <c r="E270" s="53">
        <v>48.75</v>
      </c>
      <c r="F270" s="45" t="s">
        <v>2977</v>
      </c>
      <c r="G270" s="45" t="s">
        <v>175</v>
      </c>
    </row>
    <row r="271" spans="1:7" ht="13.5" customHeight="1" x14ac:dyDescent="0.35">
      <c r="A271" s="47">
        <v>43359</v>
      </c>
      <c r="B271" s="45" t="s">
        <v>2722</v>
      </c>
      <c r="C271" s="426" t="s">
        <v>1274</v>
      </c>
      <c r="D271" s="45" t="s">
        <v>160</v>
      </c>
      <c r="E271" s="53">
        <v>56.25</v>
      </c>
      <c r="F271" s="45" t="s">
        <v>578</v>
      </c>
      <c r="G271" s="45" t="s">
        <v>175</v>
      </c>
    </row>
    <row r="272" spans="1:7" ht="13.5" customHeight="1" x14ac:dyDescent="0.35">
      <c r="A272" s="47">
        <v>43357</v>
      </c>
      <c r="B272" s="45" t="s">
        <v>2982</v>
      </c>
      <c r="C272" s="426" t="s">
        <v>28</v>
      </c>
      <c r="D272" s="45" t="s">
        <v>162</v>
      </c>
      <c r="E272" s="53">
        <v>13</v>
      </c>
      <c r="F272" s="45" t="s">
        <v>1924</v>
      </c>
      <c r="G272" s="45" t="s">
        <v>163</v>
      </c>
    </row>
    <row r="273" spans="1:7" ht="13.5" customHeight="1" x14ac:dyDescent="0.35">
      <c r="A273" s="47">
        <v>43356</v>
      </c>
      <c r="B273" s="45" t="s">
        <v>2983</v>
      </c>
      <c r="C273" s="426" t="s">
        <v>28</v>
      </c>
      <c r="D273" s="45" t="s">
        <v>159</v>
      </c>
      <c r="E273" s="53">
        <v>60</v>
      </c>
      <c r="F273" s="45" t="s">
        <v>1924</v>
      </c>
      <c r="G273" s="45" t="s">
        <v>174</v>
      </c>
    </row>
    <row r="274" spans="1:7" ht="13.5" customHeight="1" x14ac:dyDescent="0.35">
      <c r="A274" s="47">
        <v>43352</v>
      </c>
      <c r="B274" s="45" t="s">
        <v>2445</v>
      </c>
      <c r="C274" s="426" t="s">
        <v>1274</v>
      </c>
      <c r="D274" s="45" t="s">
        <v>159</v>
      </c>
      <c r="E274" s="53">
        <v>150</v>
      </c>
      <c r="F274" s="45" t="s">
        <v>177</v>
      </c>
      <c r="G274" s="45" t="s">
        <v>175</v>
      </c>
    </row>
    <row r="275" spans="1:7" ht="13.5" customHeight="1" x14ac:dyDescent="0.35">
      <c r="A275" s="47">
        <v>43351</v>
      </c>
      <c r="B275" s="45" t="s">
        <v>2984</v>
      </c>
      <c r="C275" s="426" t="s">
        <v>1274</v>
      </c>
      <c r="D275" s="45" t="s">
        <v>159</v>
      </c>
      <c r="E275" s="53">
        <v>198</v>
      </c>
      <c r="F275" s="45" t="s">
        <v>177</v>
      </c>
      <c r="G275" s="45" t="s">
        <v>177</v>
      </c>
    </row>
    <row r="276" spans="1:7" ht="13.5" customHeight="1" x14ac:dyDescent="0.35">
      <c r="A276" s="47">
        <v>43351</v>
      </c>
      <c r="B276" s="45" t="s">
        <v>2985</v>
      </c>
      <c r="C276" s="426" t="s">
        <v>1274</v>
      </c>
      <c r="D276" s="45" t="s">
        <v>159</v>
      </c>
      <c r="E276" s="53">
        <v>150</v>
      </c>
      <c r="F276" s="45" t="s">
        <v>177</v>
      </c>
      <c r="G276" s="45" t="s">
        <v>177</v>
      </c>
    </row>
    <row r="277" spans="1:7" ht="13.5" customHeight="1" x14ac:dyDescent="0.35">
      <c r="A277" s="47">
        <v>43349</v>
      </c>
      <c r="B277" s="45" t="s">
        <v>2675</v>
      </c>
      <c r="C277" s="426" t="s">
        <v>28</v>
      </c>
      <c r="D277" s="45" t="s">
        <v>160</v>
      </c>
      <c r="E277" s="53">
        <v>250</v>
      </c>
      <c r="F277" s="45" t="s">
        <v>1819</v>
      </c>
      <c r="G277" s="45" t="s">
        <v>174</v>
      </c>
    </row>
    <row r="278" spans="1:7" ht="13.5" customHeight="1" x14ac:dyDescent="0.35">
      <c r="A278" s="47">
        <v>43348</v>
      </c>
      <c r="B278" s="45" t="s">
        <v>2978</v>
      </c>
      <c r="C278" s="426" t="s">
        <v>28</v>
      </c>
      <c r="D278" s="45" t="s">
        <v>162</v>
      </c>
      <c r="E278" s="53">
        <v>30</v>
      </c>
      <c r="F278" s="45" t="s">
        <v>1819</v>
      </c>
      <c r="G278" s="45" t="s">
        <v>175</v>
      </c>
    </row>
    <row r="279" spans="1:7" ht="13.5" customHeight="1" x14ac:dyDescent="0.35">
      <c r="A279" s="47">
        <v>43347</v>
      </c>
      <c r="B279" s="45" t="s">
        <v>2974</v>
      </c>
      <c r="C279" s="426" t="s">
        <v>28</v>
      </c>
      <c r="D279" s="45" t="s">
        <v>160</v>
      </c>
      <c r="E279" s="53">
        <v>30</v>
      </c>
      <c r="F279" s="45" t="s">
        <v>1924</v>
      </c>
      <c r="G279" s="45" t="s">
        <v>174</v>
      </c>
    </row>
    <row r="280" spans="1:7" ht="13.5" customHeight="1" x14ac:dyDescent="0.35">
      <c r="A280" s="47">
        <v>43345</v>
      </c>
      <c r="B280" s="45" t="s">
        <v>2978</v>
      </c>
      <c r="C280" s="426" t="s">
        <v>28</v>
      </c>
      <c r="D280" s="45" t="s">
        <v>160</v>
      </c>
      <c r="E280" s="53">
        <v>30</v>
      </c>
      <c r="F280" s="45" t="s">
        <v>1924</v>
      </c>
      <c r="G280" s="45" t="s">
        <v>174</v>
      </c>
    </row>
    <row r="281" spans="1:7" ht="13.5" customHeight="1" x14ac:dyDescent="0.35">
      <c r="A281" s="47">
        <v>43344</v>
      </c>
      <c r="B281" s="45" t="s">
        <v>2637</v>
      </c>
      <c r="C281" s="426" t="s">
        <v>1276</v>
      </c>
      <c r="D281" s="426" t="s">
        <v>161</v>
      </c>
      <c r="E281" s="567">
        <v>681.13</v>
      </c>
      <c r="F281" s="426" t="s">
        <v>1078</v>
      </c>
      <c r="G281" s="426" t="s">
        <v>175</v>
      </c>
    </row>
    <row r="282" spans="1:7" ht="13.5" customHeight="1" x14ac:dyDescent="0.35">
      <c r="A282" s="47">
        <v>43344</v>
      </c>
      <c r="B282" s="45" t="s">
        <v>2638</v>
      </c>
      <c r="C282" s="426" t="s">
        <v>1278</v>
      </c>
      <c r="D282" s="426" t="s">
        <v>161</v>
      </c>
      <c r="E282" s="567">
        <v>40</v>
      </c>
      <c r="F282" s="426" t="s">
        <v>292</v>
      </c>
      <c r="G282" s="426" t="s">
        <v>175</v>
      </c>
    </row>
    <row r="283" spans="1:7" ht="13.5" customHeight="1" x14ac:dyDescent="0.35">
      <c r="A283" s="47"/>
      <c r="B283" s="45"/>
      <c r="C283" s="45"/>
      <c r="D283" s="45"/>
      <c r="E283" s="53"/>
      <c r="F283" s="45"/>
      <c r="G283" s="45"/>
    </row>
    <row r="284" spans="1:7" ht="13.5" customHeight="1" x14ac:dyDescent="0.35">
      <c r="A284" s="47">
        <v>43343</v>
      </c>
      <c r="B284" s="45" t="s">
        <v>1187</v>
      </c>
      <c r="C284" s="426" t="s">
        <v>1274</v>
      </c>
      <c r="D284" s="45" t="s">
        <v>159</v>
      </c>
      <c r="E284" s="53">
        <v>200</v>
      </c>
      <c r="F284" s="45" t="s">
        <v>1531</v>
      </c>
      <c r="G284" s="45" t="s">
        <v>175</v>
      </c>
    </row>
    <row r="285" spans="1:7" ht="13.5" customHeight="1" x14ac:dyDescent="0.35">
      <c r="A285" s="47">
        <v>43343</v>
      </c>
      <c r="B285" s="45" t="s">
        <v>2863</v>
      </c>
      <c r="C285" s="426" t="s">
        <v>1276</v>
      </c>
      <c r="D285" s="45" t="s">
        <v>162</v>
      </c>
      <c r="E285" s="53">
        <v>250</v>
      </c>
      <c r="F285" s="45" t="s">
        <v>1078</v>
      </c>
      <c r="G285" s="45" t="s">
        <v>175</v>
      </c>
    </row>
    <row r="286" spans="1:7" ht="13.5" customHeight="1" x14ac:dyDescent="0.35">
      <c r="A286" s="47">
        <v>43343</v>
      </c>
      <c r="B286" s="45" t="s">
        <v>732</v>
      </c>
      <c r="C286" s="426" t="s">
        <v>1279</v>
      </c>
      <c r="D286" s="45" t="s">
        <v>159</v>
      </c>
      <c r="E286" s="53">
        <v>192</v>
      </c>
      <c r="F286" s="48" t="s">
        <v>941</v>
      </c>
      <c r="G286" s="45" t="s">
        <v>175</v>
      </c>
    </row>
    <row r="287" spans="1:7" ht="13.5" customHeight="1" x14ac:dyDescent="0.35">
      <c r="A287" s="47">
        <v>43343</v>
      </c>
      <c r="B287" s="45" t="s">
        <v>1187</v>
      </c>
      <c r="C287" s="426" t="s">
        <v>1274</v>
      </c>
      <c r="D287" s="45" t="s">
        <v>164</v>
      </c>
      <c r="E287" s="53">
        <v>50</v>
      </c>
      <c r="F287" s="45" t="s">
        <v>2986</v>
      </c>
      <c r="G287" s="45" t="s">
        <v>175</v>
      </c>
    </row>
    <row r="288" spans="1:7" ht="13.5" customHeight="1" x14ac:dyDescent="0.35">
      <c r="A288" s="47">
        <v>43343</v>
      </c>
      <c r="B288" s="45" t="s">
        <v>1009</v>
      </c>
      <c r="C288" s="426" t="s">
        <v>1276</v>
      </c>
      <c r="D288" s="45" t="s">
        <v>162</v>
      </c>
      <c r="E288" s="53">
        <v>187.5</v>
      </c>
      <c r="F288" s="45" t="s">
        <v>1078</v>
      </c>
      <c r="G288" s="45" t="s">
        <v>175</v>
      </c>
    </row>
    <row r="289" spans="1:7" ht="13.5" customHeight="1" x14ac:dyDescent="0.35">
      <c r="A289" s="47">
        <v>43340</v>
      </c>
      <c r="B289" s="45" t="s">
        <v>2987</v>
      </c>
      <c r="C289" s="426" t="s">
        <v>2525</v>
      </c>
      <c r="D289" s="45" t="s">
        <v>159</v>
      </c>
      <c r="E289" s="53">
        <v>22.86</v>
      </c>
      <c r="F289" s="45" t="s">
        <v>1254</v>
      </c>
      <c r="G289" s="45" t="s">
        <v>175</v>
      </c>
    </row>
    <row r="290" spans="1:7" ht="13.5" customHeight="1" x14ac:dyDescent="0.35">
      <c r="A290" s="47">
        <v>43340</v>
      </c>
      <c r="B290" s="45" t="s">
        <v>2988</v>
      </c>
      <c r="C290" s="426" t="s">
        <v>28</v>
      </c>
      <c r="D290" s="45" t="s">
        <v>162</v>
      </c>
      <c r="E290" s="53">
        <v>13</v>
      </c>
      <c r="F290" s="45" t="s">
        <v>1924</v>
      </c>
      <c r="G290" s="45" t="s">
        <v>163</v>
      </c>
    </row>
    <row r="291" spans="1:7" ht="13.5" customHeight="1" x14ac:dyDescent="0.35">
      <c r="A291" s="47">
        <v>43340</v>
      </c>
      <c r="B291" s="45" t="s">
        <v>2460</v>
      </c>
      <c r="C291" s="426" t="s">
        <v>28</v>
      </c>
      <c r="D291" s="45" t="s">
        <v>162</v>
      </c>
      <c r="E291" s="53">
        <v>120</v>
      </c>
      <c r="F291" s="45" t="s">
        <v>2989</v>
      </c>
      <c r="G291" s="45" t="s">
        <v>175</v>
      </c>
    </row>
    <row r="292" spans="1:7" ht="13.5" customHeight="1" x14ac:dyDescent="0.35">
      <c r="A292" s="47">
        <v>43339</v>
      </c>
      <c r="B292" s="45" t="s">
        <v>2964</v>
      </c>
      <c r="C292" s="426" t="s">
        <v>1274</v>
      </c>
      <c r="D292" s="45" t="s">
        <v>2297</v>
      </c>
      <c r="E292" s="53">
        <v>100</v>
      </c>
      <c r="F292" s="45" t="s">
        <v>1657</v>
      </c>
      <c r="G292" s="45" t="s">
        <v>174</v>
      </c>
    </row>
    <row r="293" spans="1:7" ht="13.5" customHeight="1" x14ac:dyDescent="0.35">
      <c r="A293" s="47">
        <v>43337</v>
      </c>
      <c r="B293" s="45" t="s">
        <v>2990</v>
      </c>
      <c r="C293" s="426" t="s">
        <v>28</v>
      </c>
      <c r="D293" s="45" t="s">
        <v>159</v>
      </c>
      <c r="E293" s="53">
        <v>30</v>
      </c>
      <c r="F293" s="45" t="s">
        <v>1924</v>
      </c>
      <c r="G293" s="45" t="s">
        <v>174</v>
      </c>
    </row>
    <row r="294" spans="1:7" ht="13.5" customHeight="1" x14ac:dyDescent="0.35">
      <c r="A294" s="47">
        <v>43337</v>
      </c>
      <c r="B294" s="45" t="s">
        <v>2991</v>
      </c>
      <c r="C294" s="426" t="s">
        <v>28</v>
      </c>
      <c r="D294" s="45" t="s">
        <v>159</v>
      </c>
      <c r="E294" s="53">
        <v>30</v>
      </c>
      <c r="F294" s="45" t="s">
        <v>1924</v>
      </c>
      <c r="G294" s="45" t="s">
        <v>174</v>
      </c>
    </row>
    <row r="295" spans="1:7" ht="13.5" customHeight="1" x14ac:dyDescent="0.35">
      <c r="A295" s="47">
        <v>43337</v>
      </c>
      <c r="B295" s="45" t="s">
        <v>2992</v>
      </c>
      <c r="C295" s="426" t="s">
        <v>28</v>
      </c>
      <c r="D295" s="45" t="s">
        <v>160</v>
      </c>
      <c r="E295" s="53">
        <v>30</v>
      </c>
      <c r="F295" s="45" t="s">
        <v>1924</v>
      </c>
      <c r="G295" s="45" t="s">
        <v>174</v>
      </c>
    </row>
    <row r="296" spans="1:7" ht="13.5" customHeight="1" x14ac:dyDescent="0.35">
      <c r="A296" s="47">
        <v>43334</v>
      </c>
      <c r="B296" s="45" t="s">
        <v>2431</v>
      </c>
      <c r="C296" s="426" t="s">
        <v>1279</v>
      </c>
      <c r="D296" s="45" t="s">
        <v>159</v>
      </c>
      <c r="E296" s="53">
        <v>65</v>
      </c>
      <c r="F296" s="48" t="s">
        <v>941</v>
      </c>
      <c r="G296" s="45" t="s">
        <v>175</v>
      </c>
    </row>
    <row r="297" spans="1:7" ht="13.5" customHeight="1" x14ac:dyDescent="0.35">
      <c r="A297" s="47">
        <v>43334</v>
      </c>
      <c r="B297" s="45" t="s">
        <v>2993</v>
      </c>
      <c r="C297" s="426" t="s">
        <v>28</v>
      </c>
      <c r="D297" s="45" t="s">
        <v>159</v>
      </c>
      <c r="E297" s="53">
        <v>30</v>
      </c>
      <c r="F297" s="45" t="s">
        <v>1924</v>
      </c>
      <c r="G297" s="45" t="s">
        <v>174</v>
      </c>
    </row>
    <row r="298" spans="1:7" ht="13.5" customHeight="1" x14ac:dyDescent="0.35">
      <c r="A298" s="47">
        <v>43334</v>
      </c>
      <c r="B298" s="45" t="s">
        <v>2994</v>
      </c>
      <c r="C298" s="426" t="s">
        <v>1274</v>
      </c>
      <c r="D298" s="45" t="s">
        <v>160</v>
      </c>
      <c r="E298" s="53">
        <v>120</v>
      </c>
      <c r="F298" s="45" t="s">
        <v>2090</v>
      </c>
      <c r="G298" s="45" t="s">
        <v>177</v>
      </c>
    </row>
    <row r="299" spans="1:7" ht="13.5" customHeight="1" x14ac:dyDescent="0.35">
      <c r="A299" s="47">
        <v>43332</v>
      </c>
      <c r="B299" s="45" t="s">
        <v>2863</v>
      </c>
      <c r="C299" s="426" t="s">
        <v>1274</v>
      </c>
      <c r="D299" s="45" t="s">
        <v>159</v>
      </c>
      <c r="E299" s="53">
        <v>175</v>
      </c>
      <c r="F299" s="45" t="s">
        <v>235</v>
      </c>
      <c r="G299" s="45" t="s">
        <v>174</v>
      </c>
    </row>
    <row r="300" spans="1:7" ht="13.5" customHeight="1" x14ac:dyDescent="0.35">
      <c r="A300" s="47">
        <v>43332</v>
      </c>
      <c r="B300" s="45" t="s">
        <v>2460</v>
      </c>
      <c r="C300" s="426" t="s">
        <v>28</v>
      </c>
      <c r="D300" s="45" t="s">
        <v>160</v>
      </c>
      <c r="E300" s="53">
        <v>100</v>
      </c>
      <c r="F300" s="45" t="s">
        <v>1489</v>
      </c>
      <c r="G300" s="45" t="s">
        <v>175</v>
      </c>
    </row>
    <row r="301" spans="1:7" ht="13.5" customHeight="1" x14ac:dyDescent="0.35">
      <c r="A301" s="47">
        <v>43331</v>
      </c>
      <c r="B301" s="45" t="s">
        <v>2927</v>
      </c>
      <c r="C301" s="426" t="s">
        <v>28</v>
      </c>
      <c r="D301" s="45" t="s">
        <v>159</v>
      </c>
      <c r="E301" s="53">
        <v>250</v>
      </c>
      <c r="F301" s="45" t="s">
        <v>1489</v>
      </c>
      <c r="G301" s="45" t="s">
        <v>175</v>
      </c>
    </row>
    <row r="302" spans="1:7" ht="13.5" customHeight="1" x14ac:dyDescent="0.35">
      <c r="A302" s="47">
        <v>43325</v>
      </c>
      <c r="B302" s="45" t="s">
        <v>2461</v>
      </c>
      <c r="C302" s="426" t="s">
        <v>1278</v>
      </c>
      <c r="D302" s="45" t="s">
        <v>160</v>
      </c>
      <c r="E302" s="53">
        <v>200</v>
      </c>
      <c r="F302" s="45" t="s">
        <v>923</v>
      </c>
      <c r="G302" s="45" t="s">
        <v>175</v>
      </c>
    </row>
    <row r="303" spans="1:7" ht="13.5" customHeight="1" x14ac:dyDescent="0.35">
      <c r="A303" s="47">
        <v>43325</v>
      </c>
      <c r="B303" s="45" t="s">
        <v>2773</v>
      </c>
      <c r="C303" s="426" t="s">
        <v>1274</v>
      </c>
      <c r="D303" s="45" t="s">
        <v>159</v>
      </c>
      <c r="E303" s="53">
        <v>150</v>
      </c>
      <c r="F303" s="45" t="s">
        <v>2162</v>
      </c>
      <c r="G303" s="45" t="s">
        <v>175</v>
      </c>
    </row>
    <row r="304" spans="1:7" ht="13.5" customHeight="1" x14ac:dyDescent="0.35">
      <c r="A304" s="47">
        <v>43325</v>
      </c>
      <c r="B304" s="45" t="s">
        <v>2995</v>
      </c>
      <c r="C304" s="426" t="s">
        <v>2525</v>
      </c>
      <c r="D304" s="45" t="s">
        <v>160</v>
      </c>
      <c r="E304" s="53">
        <v>27.6</v>
      </c>
      <c r="F304" s="45" t="s">
        <v>1254</v>
      </c>
      <c r="G304" s="45" t="s">
        <v>174</v>
      </c>
    </row>
    <row r="305" spans="1:7" ht="13.5" customHeight="1" x14ac:dyDescent="0.35">
      <c r="A305" s="47">
        <v>43320</v>
      </c>
      <c r="B305" s="45" t="s">
        <v>2996</v>
      </c>
      <c r="C305" s="426" t="s">
        <v>28</v>
      </c>
      <c r="D305" s="45" t="s">
        <v>162</v>
      </c>
      <c r="E305" s="53">
        <v>71</v>
      </c>
      <c r="F305" s="45" t="s">
        <v>2997</v>
      </c>
      <c r="G305" s="45" t="s">
        <v>175</v>
      </c>
    </row>
    <row r="306" spans="1:7" ht="13.5" customHeight="1" x14ac:dyDescent="0.35">
      <c r="A306" s="47">
        <v>43320</v>
      </c>
      <c r="B306" s="45" t="s">
        <v>2920</v>
      </c>
      <c r="C306" s="426" t="s">
        <v>1274</v>
      </c>
      <c r="D306" s="45" t="s">
        <v>162</v>
      </c>
      <c r="E306" s="53">
        <v>625</v>
      </c>
      <c r="F306" s="45" t="s">
        <v>492</v>
      </c>
      <c r="G306" s="45" t="s">
        <v>175</v>
      </c>
    </row>
    <row r="307" spans="1:7" ht="13.5" customHeight="1" x14ac:dyDescent="0.35">
      <c r="A307" s="47">
        <v>43320</v>
      </c>
      <c r="B307" s="45" t="s">
        <v>732</v>
      </c>
      <c r="C307" s="426" t="s">
        <v>1279</v>
      </c>
      <c r="D307" s="45" t="s">
        <v>159</v>
      </c>
      <c r="E307" s="53">
        <v>65</v>
      </c>
      <c r="F307" s="48" t="s">
        <v>941</v>
      </c>
      <c r="G307" s="45" t="s">
        <v>175</v>
      </c>
    </row>
    <row r="308" spans="1:7" ht="13.5" customHeight="1" x14ac:dyDescent="0.35">
      <c r="A308" s="47">
        <v>43318</v>
      </c>
      <c r="B308" s="45" t="s">
        <v>2998</v>
      </c>
      <c r="C308" s="426" t="s">
        <v>28</v>
      </c>
      <c r="D308" s="45" t="s">
        <v>162</v>
      </c>
      <c r="E308" s="53">
        <v>13</v>
      </c>
      <c r="F308" s="45" t="s">
        <v>1924</v>
      </c>
      <c r="G308" s="45" t="s">
        <v>163</v>
      </c>
    </row>
    <row r="309" spans="1:7" ht="13.5" customHeight="1" x14ac:dyDescent="0.35">
      <c r="A309" s="47">
        <v>43318</v>
      </c>
      <c r="B309" s="45" t="s">
        <v>2999</v>
      </c>
      <c r="C309" s="426" t="s">
        <v>2525</v>
      </c>
      <c r="D309" s="45" t="s">
        <v>159</v>
      </c>
      <c r="E309" s="53">
        <v>50</v>
      </c>
      <c r="F309" s="45" t="s">
        <v>734</v>
      </c>
      <c r="G309" s="45" t="s">
        <v>174</v>
      </c>
    </row>
    <row r="310" spans="1:7" ht="13.5" customHeight="1" x14ac:dyDescent="0.35">
      <c r="A310" s="47">
        <v>43317</v>
      </c>
      <c r="B310" s="45" t="s">
        <v>2981</v>
      </c>
      <c r="C310" s="426" t="s">
        <v>1274</v>
      </c>
      <c r="D310" s="45" t="s">
        <v>160</v>
      </c>
      <c r="E310" s="53">
        <v>65</v>
      </c>
      <c r="F310" s="45" t="s">
        <v>3000</v>
      </c>
      <c r="G310" s="45" t="s">
        <v>174</v>
      </c>
    </row>
    <row r="311" spans="1:7" ht="13.5" customHeight="1" x14ac:dyDescent="0.35">
      <c r="A311" s="47">
        <v>43317</v>
      </c>
      <c r="B311" s="45" t="s">
        <v>3001</v>
      </c>
      <c r="C311" s="426" t="s">
        <v>1276</v>
      </c>
      <c r="D311" s="45" t="s">
        <v>162</v>
      </c>
      <c r="E311" s="53">
        <v>262</v>
      </c>
      <c r="F311" s="45" t="s">
        <v>1078</v>
      </c>
      <c r="G311" s="45" t="s">
        <v>175</v>
      </c>
    </row>
    <row r="312" spans="1:7" ht="13.5" customHeight="1" x14ac:dyDescent="0.35">
      <c r="A312" s="47">
        <v>43317</v>
      </c>
      <c r="B312" s="45" t="s">
        <v>2066</v>
      </c>
      <c r="C312" s="426" t="s">
        <v>1274</v>
      </c>
      <c r="D312" s="45" t="s">
        <v>162</v>
      </c>
      <c r="E312" s="53">
        <v>395</v>
      </c>
      <c r="F312" s="45" t="s">
        <v>1000</v>
      </c>
      <c r="G312" s="45" t="s">
        <v>174</v>
      </c>
    </row>
    <row r="313" spans="1:7" ht="13.5" customHeight="1" x14ac:dyDescent="0.35">
      <c r="A313" s="47">
        <v>43317</v>
      </c>
      <c r="B313" s="45" t="s">
        <v>3002</v>
      </c>
      <c r="C313" s="426" t="s">
        <v>1274</v>
      </c>
      <c r="D313" s="45" t="s">
        <v>162</v>
      </c>
      <c r="E313" s="53">
        <v>625</v>
      </c>
      <c r="F313" s="45" t="s">
        <v>492</v>
      </c>
      <c r="G313" s="45" t="s">
        <v>175</v>
      </c>
    </row>
    <row r="314" spans="1:7" ht="13.5" customHeight="1" x14ac:dyDescent="0.35">
      <c r="A314" s="47">
        <v>43314</v>
      </c>
      <c r="B314" s="45" t="s">
        <v>3003</v>
      </c>
      <c r="C314" s="426" t="s">
        <v>28</v>
      </c>
      <c r="D314" s="45" t="s">
        <v>159</v>
      </c>
      <c r="E314" s="53">
        <v>75</v>
      </c>
      <c r="F314" s="45" t="s">
        <v>1489</v>
      </c>
      <c r="G314" s="45" t="s">
        <v>175</v>
      </c>
    </row>
    <row r="315" spans="1:7" ht="13.5" customHeight="1" x14ac:dyDescent="0.35">
      <c r="A315" s="47">
        <v>43314</v>
      </c>
      <c r="B315" s="45" t="s">
        <v>3004</v>
      </c>
      <c r="C315" s="426" t="s">
        <v>28</v>
      </c>
      <c r="D315" s="45" t="s">
        <v>159</v>
      </c>
      <c r="E315" s="53">
        <v>30</v>
      </c>
      <c r="F315" s="45" t="s">
        <v>1924</v>
      </c>
      <c r="G315" s="45" t="s">
        <v>179</v>
      </c>
    </row>
    <row r="316" spans="1:7" ht="13.5" customHeight="1" x14ac:dyDescent="0.35">
      <c r="A316" s="47">
        <v>43313</v>
      </c>
      <c r="B316" s="45" t="s">
        <v>2664</v>
      </c>
      <c r="C316" s="426" t="s">
        <v>1276</v>
      </c>
      <c r="D316" s="426" t="s">
        <v>161</v>
      </c>
      <c r="E316" s="567">
        <v>93.63</v>
      </c>
      <c r="F316" s="426" t="s">
        <v>1078</v>
      </c>
      <c r="G316" s="426" t="s">
        <v>175</v>
      </c>
    </row>
    <row r="317" spans="1:7" ht="13.5" customHeight="1" x14ac:dyDescent="0.35">
      <c r="A317" s="47">
        <v>43313</v>
      </c>
      <c r="B317" s="45" t="s">
        <v>2665</v>
      </c>
      <c r="C317" s="426" t="s">
        <v>1278</v>
      </c>
      <c r="D317" s="426" t="s">
        <v>161</v>
      </c>
      <c r="E317" s="567">
        <v>80</v>
      </c>
      <c r="F317" s="426" t="s">
        <v>292</v>
      </c>
      <c r="G317" s="426" t="s">
        <v>175</v>
      </c>
    </row>
    <row r="318" spans="1:7" ht="13.5" customHeight="1" x14ac:dyDescent="0.35">
      <c r="A318" s="47"/>
      <c r="B318" s="45"/>
      <c r="C318" s="45"/>
      <c r="D318" s="45"/>
      <c r="E318" s="53"/>
      <c r="F318" s="45"/>
      <c r="G318" s="45"/>
    </row>
    <row r="319" spans="1:7" ht="13.5" customHeight="1" x14ac:dyDescent="0.35">
      <c r="A319" s="47">
        <v>43311</v>
      </c>
      <c r="B319" s="45" t="s">
        <v>3005</v>
      </c>
      <c r="C319" s="426" t="s">
        <v>1274</v>
      </c>
      <c r="D319" s="45" t="s">
        <v>159</v>
      </c>
      <c r="E319" s="53">
        <v>42.5</v>
      </c>
      <c r="F319" s="45" t="s">
        <v>3006</v>
      </c>
      <c r="G319" s="45" t="s">
        <v>174</v>
      </c>
    </row>
    <row r="320" spans="1:7" ht="13.5" customHeight="1" x14ac:dyDescent="0.35">
      <c r="A320" s="47">
        <v>43310</v>
      </c>
      <c r="B320" s="45" t="s">
        <v>3007</v>
      </c>
      <c r="C320" s="426" t="s">
        <v>28</v>
      </c>
      <c r="D320" s="45" t="s">
        <v>159</v>
      </c>
      <c r="E320" s="53">
        <v>30</v>
      </c>
      <c r="F320" s="45" t="s">
        <v>1924</v>
      </c>
      <c r="G320" s="45" t="s">
        <v>174</v>
      </c>
    </row>
    <row r="321" spans="1:7" ht="13.5" customHeight="1" x14ac:dyDescent="0.35">
      <c r="A321" s="47">
        <v>43308</v>
      </c>
      <c r="B321" s="45" t="s">
        <v>3008</v>
      </c>
      <c r="C321" s="426" t="s">
        <v>1274</v>
      </c>
      <c r="D321" s="45" t="s">
        <v>160</v>
      </c>
      <c r="E321" s="53">
        <v>25</v>
      </c>
      <c r="F321" s="45" t="s">
        <v>2217</v>
      </c>
      <c r="G321" s="45" t="s">
        <v>174</v>
      </c>
    </row>
    <row r="322" spans="1:7" ht="13.5" customHeight="1" x14ac:dyDescent="0.35">
      <c r="A322" s="47">
        <v>43307</v>
      </c>
      <c r="B322" s="45" t="s">
        <v>2932</v>
      </c>
      <c r="C322" s="426" t="s">
        <v>1274</v>
      </c>
      <c r="D322" s="45" t="s">
        <v>159</v>
      </c>
      <c r="E322" s="53">
        <v>65</v>
      </c>
      <c r="F322" s="45" t="s">
        <v>3009</v>
      </c>
      <c r="G322" s="45" t="s">
        <v>177</v>
      </c>
    </row>
    <row r="323" spans="1:7" ht="13.5" customHeight="1" x14ac:dyDescent="0.35">
      <c r="A323" s="47">
        <v>43307</v>
      </c>
      <c r="B323" s="45" t="s">
        <v>2766</v>
      </c>
      <c r="C323" s="426" t="s">
        <v>1276</v>
      </c>
      <c r="D323" s="45" t="s">
        <v>162</v>
      </c>
      <c r="E323" s="53">
        <v>150</v>
      </c>
      <c r="F323" s="45" t="s">
        <v>2653</v>
      </c>
      <c r="G323" s="45" t="s">
        <v>175</v>
      </c>
    </row>
    <row r="324" spans="1:7" ht="13.5" customHeight="1" x14ac:dyDescent="0.35">
      <c r="A324" s="47">
        <v>43307</v>
      </c>
      <c r="B324" s="45" t="s">
        <v>3010</v>
      </c>
      <c r="C324" s="426" t="s">
        <v>28</v>
      </c>
      <c r="D324" s="45" t="s">
        <v>162</v>
      </c>
      <c r="E324" s="53">
        <v>1050</v>
      </c>
      <c r="F324" s="45" t="s">
        <v>3011</v>
      </c>
      <c r="G324" s="45" t="s">
        <v>174</v>
      </c>
    </row>
    <row r="325" spans="1:7" ht="13.5" customHeight="1" x14ac:dyDescent="0.35">
      <c r="A325" s="47">
        <v>43306</v>
      </c>
      <c r="B325" s="45" t="s">
        <v>3012</v>
      </c>
      <c r="C325" s="426" t="s">
        <v>1274</v>
      </c>
      <c r="D325" s="45" t="s">
        <v>159</v>
      </c>
      <c r="E325" s="53">
        <v>55</v>
      </c>
      <c r="F325" s="45" t="s">
        <v>3006</v>
      </c>
      <c r="G325" s="45" t="s">
        <v>177</v>
      </c>
    </row>
    <row r="326" spans="1:7" ht="13.5" customHeight="1" x14ac:dyDescent="0.35">
      <c r="A326" s="47">
        <v>43304</v>
      </c>
      <c r="B326" s="45" t="s">
        <v>3013</v>
      </c>
      <c r="C326" s="426" t="s">
        <v>1274</v>
      </c>
      <c r="D326" s="45" t="s">
        <v>159</v>
      </c>
      <c r="E326" s="53">
        <v>130</v>
      </c>
      <c r="F326" s="45" t="s">
        <v>3014</v>
      </c>
      <c r="G326" s="45" t="s">
        <v>174</v>
      </c>
    </row>
    <row r="327" spans="1:7" ht="13.5" customHeight="1" x14ac:dyDescent="0.35">
      <c r="A327" s="47">
        <v>43304</v>
      </c>
      <c r="B327" s="45" t="s">
        <v>3015</v>
      </c>
      <c r="C327" s="426" t="s">
        <v>1274</v>
      </c>
      <c r="D327" s="45" t="s">
        <v>159</v>
      </c>
      <c r="E327" s="53">
        <v>57.5</v>
      </c>
      <c r="F327" s="45" t="s">
        <v>3006</v>
      </c>
      <c r="G327" s="45" t="s">
        <v>174</v>
      </c>
    </row>
    <row r="328" spans="1:7" ht="13.5" customHeight="1" x14ac:dyDescent="0.35">
      <c r="A328" s="47">
        <v>43300</v>
      </c>
      <c r="B328" s="45" t="s">
        <v>3016</v>
      </c>
      <c r="C328" s="426" t="s">
        <v>1274</v>
      </c>
      <c r="D328" s="45" t="s">
        <v>159</v>
      </c>
      <c r="E328" s="53">
        <v>35</v>
      </c>
      <c r="F328" s="45" t="s">
        <v>3006</v>
      </c>
      <c r="G328" s="45" t="s">
        <v>177</v>
      </c>
    </row>
    <row r="329" spans="1:7" ht="13.5" customHeight="1" x14ac:dyDescent="0.35">
      <c r="A329" s="47">
        <v>43297</v>
      </c>
      <c r="B329" s="45" t="s">
        <v>3017</v>
      </c>
      <c r="C329" s="426" t="s">
        <v>1274</v>
      </c>
      <c r="D329" s="45" t="s">
        <v>160</v>
      </c>
      <c r="E329" s="53">
        <v>35</v>
      </c>
      <c r="F329" s="45" t="s">
        <v>3006</v>
      </c>
      <c r="G329" s="45" t="s">
        <v>174</v>
      </c>
    </row>
    <row r="330" spans="1:7" ht="13.5" customHeight="1" x14ac:dyDescent="0.35">
      <c r="A330" s="47">
        <v>43292</v>
      </c>
      <c r="B330" s="45" t="s">
        <v>3018</v>
      </c>
      <c r="C330" s="426" t="s">
        <v>28</v>
      </c>
      <c r="D330" s="45" t="s">
        <v>162</v>
      </c>
      <c r="E330" s="53">
        <v>13</v>
      </c>
      <c r="F330" s="45" t="s">
        <v>1924</v>
      </c>
      <c r="G330" s="45" t="s">
        <v>163</v>
      </c>
    </row>
    <row r="331" spans="1:7" ht="13.5" customHeight="1" x14ac:dyDescent="0.35">
      <c r="A331" s="47">
        <v>43292</v>
      </c>
      <c r="B331" s="45" t="s">
        <v>2659</v>
      </c>
      <c r="C331" s="426" t="s">
        <v>1274</v>
      </c>
      <c r="D331" s="45" t="s">
        <v>166</v>
      </c>
      <c r="E331" s="53">
        <v>192.5</v>
      </c>
      <c r="F331" s="45" t="s">
        <v>3019</v>
      </c>
      <c r="G331" s="45" t="s">
        <v>175</v>
      </c>
    </row>
    <row r="332" spans="1:7" ht="13.5" customHeight="1" x14ac:dyDescent="0.35">
      <c r="A332" s="47">
        <v>43292</v>
      </c>
      <c r="B332" s="45" t="s">
        <v>2659</v>
      </c>
      <c r="C332" s="426" t="s">
        <v>28</v>
      </c>
      <c r="D332" s="45" t="s">
        <v>166</v>
      </c>
      <c r="E332" s="53">
        <v>165</v>
      </c>
      <c r="F332" s="45" t="s">
        <v>3019</v>
      </c>
      <c r="G332" s="45" t="s">
        <v>175</v>
      </c>
    </row>
    <row r="333" spans="1:7" ht="13.5" customHeight="1" x14ac:dyDescent="0.35">
      <c r="A333" s="47">
        <v>43292</v>
      </c>
      <c r="B333" s="45" t="s">
        <v>2659</v>
      </c>
      <c r="C333" s="426" t="s">
        <v>1277</v>
      </c>
      <c r="D333" s="45" t="s">
        <v>166</v>
      </c>
      <c r="E333" s="650">
        <v>-357.5</v>
      </c>
      <c r="F333" s="45" t="s">
        <v>3020</v>
      </c>
      <c r="G333" s="45" t="s">
        <v>175</v>
      </c>
    </row>
    <row r="334" spans="1:7" ht="13.5" customHeight="1" x14ac:dyDescent="0.35">
      <c r="A334" s="47">
        <v>43292</v>
      </c>
      <c r="B334" s="45" t="s">
        <v>2235</v>
      </c>
      <c r="C334" s="426" t="s">
        <v>1276</v>
      </c>
      <c r="D334" s="45" t="s">
        <v>162</v>
      </c>
      <c r="E334" s="53">
        <v>400</v>
      </c>
      <c r="F334" s="45" t="s">
        <v>1078</v>
      </c>
      <c r="G334" s="45" t="s">
        <v>175</v>
      </c>
    </row>
    <row r="335" spans="1:7" ht="13.5" customHeight="1" x14ac:dyDescent="0.35">
      <c r="A335" s="47">
        <v>43291</v>
      </c>
      <c r="B335" s="45" t="s">
        <v>3021</v>
      </c>
      <c r="C335" s="426" t="s">
        <v>1278</v>
      </c>
      <c r="D335" s="45" t="s">
        <v>160</v>
      </c>
      <c r="E335" s="53">
        <v>20</v>
      </c>
      <c r="F335" s="45" t="s">
        <v>292</v>
      </c>
      <c r="G335" s="45" t="s">
        <v>175</v>
      </c>
    </row>
    <row r="336" spans="1:7" ht="13.5" customHeight="1" x14ac:dyDescent="0.35">
      <c r="A336" s="47">
        <v>43291</v>
      </c>
      <c r="B336" s="45" t="s">
        <v>2446</v>
      </c>
      <c r="C336" s="426" t="s">
        <v>28</v>
      </c>
      <c r="D336" s="45" t="s">
        <v>159</v>
      </c>
      <c r="E336" s="53">
        <v>30</v>
      </c>
      <c r="F336" s="45" t="s">
        <v>1924</v>
      </c>
      <c r="G336" s="45" t="s">
        <v>174</v>
      </c>
    </row>
    <row r="337" spans="1:7" ht="13.5" customHeight="1" x14ac:dyDescent="0.35">
      <c r="A337" s="47">
        <v>43291</v>
      </c>
      <c r="B337" s="45" t="s">
        <v>3022</v>
      </c>
      <c r="C337" s="426" t="s">
        <v>2525</v>
      </c>
      <c r="D337" s="45" t="s">
        <v>160</v>
      </c>
      <c r="E337" s="53">
        <v>9.4</v>
      </c>
      <c r="F337" s="45" t="s">
        <v>1254</v>
      </c>
      <c r="G337" s="45" t="s">
        <v>174</v>
      </c>
    </row>
    <row r="338" spans="1:7" ht="13.5" customHeight="1" x14ac:dyDescent="0.35">
      <c r="A338" s="47">
        <v>43287</v>
      </c>
      <c r="B338" s="45" t="s">
        <v>3023</v>
      </c>
      <c r="C338" s="426" t="s">
        <v>1279</v>
      </c>
      <c r="D338" s="45" t="s">
        <v>162</v>
      </c>
      <c r="E338" s="53">
        <v>106</v>
      </c>
      <c r="F338" s="48" t="s">
        <v>941</v>
      </c>
      <c r="G338" s="45" t="s">
        <v>175</v>
      </c>
    </row>
    <row r="339" spans="1:7" ht="13.5" customHeight="1" x14ac:dyDescent="0.35">
      <c r="A339" s="47">
        <v>43286</v>
      </c>
      <c r="B339" s="45" t="s">
        <v>2941</v>
      </c>
      <c r="C339" s="426" t="s">
        <v>1279</v>
      </c>
      <c r="D339" s="45" t="s">
        <v>159</v>
      </c>
      <c r="E339" s="53">
        <v>156</v>
      </c>
      <c r="F339" s="48" t="s">
        <v>941</v>
      </c>
      <c r="G339" s="45" t="s">
        <v>175</v>
      </c>
    </row>
    <row r="340" spans="1:7" ht="13.5" customHeight="1" x14ac:dyDescent="0.35">
      <c r="A340" s="47">
        <v>43284</v>
      </c>
      <c r="B340" s="45" t="s">
        <v>3024</v>
      </c>
      <c r="C340" s="426" t="s">
        <v>1274</v>
      </c>
      <c r="D340" s="45" t="s">
        <v>160</v>
      </c>
      <c r="E340" s="53">
        <v>65</v>
      </c>
      <c r="F340" s="45" t="s">
        <v>2669</v>
      </c>
      <c r="G340" s="45" t="s">
        <v>174</v>
      </c>
    </row>
    <row r="341" spans="1:7" ht="13.5" customHeight="1" x14ac:dyDescent="0.35">
      <c r="A341" s="47">
        <v>43284</v>
      </c>
      <c r="B341" s="45" t="s">
        <v>3025</v>
      </c>
      <c r="C341" s="426" t="s">
        <v>28</v>
      </c>
      <c r="D341" s="45" t="s">
        <v>162</v>
      </c>
      <c r="E341" s="53">
        <v>13</v>
      </c>
      <c r="F341" s="45" t="s">
        <v>1924</v>
      </c>
      <c r="G341" s="45" t="s">
        <v>163</v>
      </c>
    </row>
    <row r="342" spans="1:7" ht="13.5" customHeight="1" x14ac:dyDescent="0.35">
      <c r="A342" s="47">
        <v>43284</v>
      </c>
      <c r="B342" s="45" t="s">
        <v>3026</v>
      </c>
      <c r="C342" s="426" t="s">
        <v>28</v>
      </c>
      <c r="D342" s="45" t="s">
        <v>162</v>
      </c>
      <c r="E342" s="53">
        <v>13</v>
      </c>
      <c r="F342" s="45" t="s">
        <v>1924</v>
      </c>
      <c r="G342" s="45" t="s">
        <v>163</v>
      </c>
    </row>
    <row r="343" spans="1:7" ht="13.5" customHeight="1" x14ac:dyDescent="0.35">
      <c r="A343" s="47">
        <v>43283</v>
      </c>
      <c r="B343" s="45" t="s">
        <v>3027</v>
      </c>
      <c r="C343" s="426" t="s">
        <v>28</v>
      </c>
      <c r="D343" s="45" t="s">
        <v>162</v>
      </c>
      <c r="E343" s="53">
        <v>13</v>
      </c>
      <c r="F343" s="45" t="s">
        <v>1924</v>
      </c>
      <c r="G343" s="45" t="s">
        <v>163</v>
      </c>
    </row>
    <row r="344" spans="1:7" ht="13.5" customHeight="1" x14ac:dyDescent="0.35">
      <c r="A344" s="47">
        <v>43283</v>
      </c>
      <c r="B344" s="45" t="s">
        <v>732</v>
      </c>
      <c r="C344" s="426" t="s">
        <v>1279</v>
      </c>
      <c r="D344" s="45" t="s">
        <v>159</v>
      </c>
      <c r="E344" s="53">
        <v>192</v>
      </c>
      <c r="F344" s="48" t="s">
        <v>941</v>
      </c>
      <c r="G344" s="45" t="s">
        <v>175</v>
      </c>
    </row>
    <row r="345" spans="1:7" ht="13.5" customHeight="1" x14ac:dyDescent="0.35">
      <c r="A345" s="47">
        <v>43282</v>
      </c>
      <c r="B345" s="45" t="s">
        <v>3028</v>
      </c>
      <c r="C345" s="426" t="s">
        <v>1276</v>
      </c>
      <c r="D345" s="426" t="s">
        <v>161</v>
      </c>
      <c r="E345" s="567">
        <v>93.63</v>
      </c>
      <c r="F345" s="426" t="s">
        <v>1078</v>
      </c>
      <c r="G345" s="426" t="s">
        <v>175</v>
      </c>
    </row>
    <row r="346" spans="1:7" ht="13.5" customHeight="1" x14ac:dyDescent="0.35">
      <c r="A346" s="47">
        <v>43282</v>
      </c>
      <c r="B346" s="45" t="s">
        <v>3029</v>
      </c>
      <c r="C346" s="426" t="s">
        <v>1278</v>
      </c>
      <c r="D346" s="426" t="s">
        <v>161</v>
      </c>
      <c r="E346" s="567">
        <v>60</v>
      </c>
      <c r="F346" s="426" t="s">
        <v>292</v>
      </c>
      <c r="G346" s="426" t="s">
        <v>175</v>
      </c>
    </row>
    <row r="347" spans="1:7" ht="13.5" customHeight="1" x14ac:dyDescent="0.35">
      <c r="A347" s="47"/>
      <c r="B347" s="45"/>
      <c r="C347" s="45"/>
      <c r="D347" s="45"/>
      <c r="E347" s="53"/>
      <c r="F347" s="45"/>
      <c r="G347" s="45"/>
    </row>
    <row r="348" spans="1:7" ht="13.5" customHeight="1" x14ac:dyDescent="0.35">
      <c r="A348" s="47">
        <v>43277</v>
      </c>
      <c r="B348" s="45" t="s">
        <v>2066</v>
      </c>
      <c r="C348" s="426" t="s">
        <v>1274</v>
      </c>
      <c r="D348" s="45" t="s">
        <v>160</v>
      </c>
      <c r="E348" s="53">
        <v>100</v>
      </c>
      <c r="F348" s="45" t="s">
        <v>1010</v>
      </c>
      <c r="G348" s="45" t="s">
        <v>174</v>
      </c>
    </row>
    <row r="349" spans="1:7" ht="13.5" customHeight="1" x14ac:dyDescent="0.35">
      <c r="A349" s="47">
        <v>43275</v>
      </c>
      <c r="B349" s="45" t="s">
        <v>3030</v>
      </c>
      <c r="C349" s="426" t="s">
        <v>28</v>
      </c>
      <c r="D349" s="45" t="s">
        <v>162</v>
      </c>
      <c r="E349" s="53">
        <v>13</v>
      </c>
      <c r="F349" s="45" t="s">
        <v>1924</v>
      </c>
      <c r="G349" s="45" t="s">
        <v>163</v>
      </c>
    </row>
    <row r="350" spans="1:7" ht="13.5" customHeight="1" x14ac:dyDescent="0.35">
      <c r="A350" s="47">
        <v>43275</v>
      </c>
      <c r="B350" s="45" t="s">
        <v>784</v>
      </c>
      <c r="C350" s="426" t="s">
        <v>1274</v>
      </c>
      <c r="D350" s="45" t="s">
        <v>159</v>
      </c>
      <c r="E350" s="53">
        <v>25</v>
      </c>
      <c r="F350" s="45" t="s">
        <v>1638</v>
      </c>
      <c r="G350" s="45" t="s">
        <v>175</v>
      </c>
    </row>
    <row r="351" spans="1:7" ht="13.5" customHeight="1" x14ac:dyDescent="0.35">
      <c r="A351" s="47">
        <v>43272</v>
      </c>
      <c r="B351" s="45" t="s">
        <v>732</v>
      </c>
      <c r="C351" s="426" t="s">
        <v>1279</v>
      </c>
      <c r="D351" s="45" t="s">
        <v>159</v>
      </c>
      <c r="E351" s="45">
        <v>120</v>
      </c>
      <c r="F351" s="48" t="s">
        <v>941</v>
      </c>
      <c r="G351" s="45" t="s">
        <v>175</v>
      </c>
    </row>
    <row r="352" spans="1:7" ht="13.5" customHeight="1" x14ac:dyDescent="0.35">
      <c r="A352" s="47">
        <v>43272</v>
      </c>
      <c r="B352" s="45" t="s">
        <v>732</v>
      </c>
      <c r="C352" s="426" t="s">
        <v>1274</v>
      </c>
      <c r="D352" s="45" t="s">
        <v>159</v>
      </c>
      <c r="E352" s="45">
        <f>65+65</f>
        <v>130</v>
      </c>
      <c r="F352" s="45" t="s">
        <v>2358</v>
      </c>
      <c r="G352" s="45" t="s">
        <v>175</v>
      </c>
    </row>
    <row r="353" spans="1:7" ht="13.5" customHeight="1" x14ac:dyDescent="0.35">
      <c r="A353" s="47">
        <v>43272</v>
      </c>
      <c r="B353" s="45" t="s">
        <v>2205</v>
      </c>
      <c r="C353" s="426" t="s">
        <v>2525</v>
      </c>
      <c r="D353" s="45" t="s">
        <v>160</v>
      </c>
      <c r="E353" s="53">
        <v>24.61</v>
      </c>
      <c r="F353" s="45" t="s">
        <v>3031</v>
      </c>
      <c r="G353" s="45" t="s">
        <v>175</v>
      </c>
    </row>
    <row r="354" spans="1:7" ht="13.5" customHeight="1" x14ac:dyDescent="0.35">
      <c r="A354" s="47">
        <v>43269</v>
      </c>
      <c r="B354" s="45" t="s">
        <v>3032</v>
      </c>
      <c r="C354" s="426" t="s">
        <v>1274</v>
      </c>
      <c r="D354" s="45" t="s">
        <v>159</v>
      </c>
      <c r="E354" s="53">
        <v>65</v>
      </c>
      <c r="F354" s="45" t="s">
        <v>177</v>
      </c>
      <c r="G354" s="45" t="s">
        <v>179</v>
      </c>
    </row>
    <row r="355" spans="1:7" ht="13.5" customHeight="1" x14ac:dyDescent="0.35">
      <c r="A355" s="47">
        <v>43269</v>
      </c>
      <c r="B355" s="45" t="s">
        <v>3033</v>
      </c>
      <c r="C355" s="426" t="s">
        <v>2525</v>
      </c>
      <c r="D355" s="45" t="s">
        <v>159</v>
      </c>
      <c r="E355" s="53">
        <v>50</v>
      </c>
      <c r="F355" s="45" t="s">
        <v>209</v>
      </c>
      <c r="G355" s="45" t="s">
        <v>175</v>
      </c>
    </row>
    <row r="356" spans="1:7" ht="13.5" customHeight="1" x14ac:dyDescent="0.35">
      <c r="A356" s="47">
        <v>43269</v>
      </c>
      <c r="B356" s="45" t="s">
        <v>3034</v>
      </c>
      <c r="C356" s="426" t="s">
        <v>28</v>
      </c>
      <c r="D356" s="45" t="s">
        <v>162</v>
      </c>
      <c r="E356" s="53">
        <v>13</v>
      </c>
      <c r="F356" s="45" t="s">
        <v>1924</v>
      </c>
      <c r="G356" s="45" t="s">
        <v>163</v>
      </c>
    </row>
    <row r="357" spans="1:7" ht="13.5" customHeight="1" x14ac:dyDescent="0.35">
      <c r="A357" s="47">
        <v>43269</v>
      </c>
      <c r="B357" s="45" t="s">
        <v>759</v>
      </c>
      <c r="C357" s="426" t="s">
        <v>1274</v>
      </c>
      <c r="D357" s="45" t="s">
        <v>159</v>
      </c>
      <c r="E357" s="53">
        <v>75</v>
      </c>
      <c r="F357" s="45" t="s">
        <v>501</v>
      </c>
      <c r="G357" s="45" t="s">
        <v>174</v>
      </c>
    </row>
    <row r="358" spans="1:7" ht="13.5" customHeight="1" x14ac:dyDescent="0.35">
      <c r="A358" s="47">
        <v>43268</v>
      </c>
      <c r="B358" s="45" t="s">
        <v>3035</v>
      </c>
      <c r="C358" s="426" t="s">
        <v>1274</v>
      </c>
      <c r="D358" s="45" t="s">
        <v>159</v>
      </c>
      <c r="E358" s="53">
        <v>105</v>
      </c>
      <c r="F358" s="45" t="s">
        <v>2217</v>
      </c>
      <c r="G358" s="45" t="s">
        <v>175</v>
      </c>
    </row>
    <row r="359" spans="1:7" ht="13.5" customHeight="1" x14ac:dyDescent="0.35">
      <c r="A359" s="47">
        <v>43268</v>
      </c>
      <c r="B359" s="45" t="s">
        <v>3036</v>
      </c>
      <c r="C359" s="426" t="s">
        <v>28</v>
      </c>
      <c r="D359" s="45" t="s">
        <v>162</v>
      </c>
      <c r="E359" s="53">
        <v>200</v>
      </c>
      <c r="F359" s="45" t="s">
        <v>2708</v>
      </c>
      <c r="G359" s="45" t="s">
        <v>1311</v>
      </c>
    </row>
    <row r="360" spans="1:7" ht="13.5" customHeight="1" x14ac:dyDescent="0.35">
      <c r="A360" s="47">
        <v>43267</v>
      </c>
      <c r="B360" s="45" t="s">
        <v>2408</v>
      </c>
      <c r="C360" s="426" t="s">
        <v>28</v>
      </c>
      <c r="D360" s="45" t="s">
        <v>159</v>
      </c>
      <c r="E360" s="53">
        <v>245</v>
      </c>
      <c r="F360" s="45" t="s">
        <v>2708</v>
      </c>
      <c r="G360" s="45" t="s">
        <v>174</v>
      </c>
    </row>
    <row r="361" spans="1:7" ht="13.5" customHeight="1" x14ac:dyDescent="0.35">
      <c r="A361" s="47">
        <v>43263</v>
      </c>
      <c r="B361" s="45" t="s">
        <v>732</v>
      </c>
      <c r="C361" s="426" t="s">
        <v>1279</v>
      </c>
      <c r="D361" s="45" t="s">
        <v>159</v>
      </c>
      <c r="E361" s="53">
        <v>120</v>
      </c>
      <c r="F361" s="48" t="s">
        <v>941</v>
      </c>
      <c r="G361" s="45" t="s">
        <v>175</v>
      </c>
    </row>
    <row r="362" spans="1:7" ht="13.5" customHeight="1" x14ac:dyDescent="0.35">
      <c r="A362" s="47">
        <v>43263</v>
      </c>
      <c r="B362" s="45" t="s">
        <v>3037</v>
      </c>
      <c r="C362" s="426" t="s">
        <v>1274</v>
      </c>
      <c r="D362" s="45" t="s">
        <v>159</v>
      </c>
      <c r="E362" s="53">
        <v>65</v>
      </c>
      <c r="F362" s="45" t="s">
        <v>177</v>
      </c>
      <c r="G362" s="45" t="s">
        <v>177</v>
      </c>
    </row>
    <row r="363" spans="1:7" ht="13.5" customHeight="1" x14ac:dyDescent="0.35">
      <c r="A363" s="47">
        <v>43263</v>
      </c>
      <c r="B363" s="45" t="s">
        <v>2738</v>
      </c>
      <c r="C363" s="426" t="s">
        <v>28</v>
      </c>
      <c r="D363" s="45" t="s">
        <v>159</v>
      </c>
      <c r="E363" s="53">
        <v>395</v>
      </c>
      <c r="F363" s="45" t="s">
        <v>1058</v>
      </c>
      <c r="G363" s="45" t="s">
        <v>175</v>
      </c>
    </row>
    <row r="364" spans="1:7" ht="13.5" customHeight="1" x14ac:dyDescent="0.35">
      <c r="A364" s="47">
        <v>43259</v>
      </c>
      <c r="B364" s="45" t="s">
        <v>3038</v>
      </c>
      <c r="C364" s="426" t="s">
        <v>28</v>
      </c>
      <c r="D364" s="45" t="s">
        <v>162</v>
      </c>
      <c r="E364" s="650">
        <v>13</v>
      </c>
      <c r="F364" s="45" t="s">
        <v>1924</v>
      </c>
      <c r="G364" s="45" t="s">
        <v>163</v>
      </c>
    </row>
    <row r="365" spans="1:7" ht="13.5" customHeight="1" x14ac:dyDescent="0.35">
      <c r="A365" s="47">
        <v>43259</v>
      </c>
      <c r="B365" s="45" t="s">
        <v>3039</v>
      </c>
      <c r="C365" s="426" t="s">
        <v>28</v>
      </c>
      <c r="D365" s="45" t="s">
        <v>162</v>
      </c>
      <c r="E365" s="650">
        <v>13</v>
      </c>
      <c r="F365" s="45" t="s">
        <v>1924</v>
      </c>
      <c r="G365" s="45" t="s">
        <v>163</v>
      </c>
    </row>
    <row r="366" spans="1:7" ht="13.5" customHeight="1" x14ac:dyDescent="0.35">
      <c r="A366" s="47">
        <v>43258</v>
      </c>
      <c r="B366" s="45" t="s">
        <v>3040</v>
      </c>
      <c r="C366" s="426" t="s">
        <v>28</v>
      </c>
      <c r="D366" s="45" t="s">
        <v>159</v>
      </c>
      <c r="E366" s="53">
        <v>15</v>
      </c>
      <c r="F366" s="45" t="s">
        <v>3041</v>
      </c>
      <c r="G366" s="45" t="s">
        <v>175</v>
      </c>
    </row>
    <row r="367" spans="1:7" ht="13.5" customHeight="1" x14ac:dyDescent="0.35">
      <c r="A367" s="47">
        <v>43257</v>
      </c>
      <c r="B367" s="45" t="s">
        <v>1009</v>
      </c>
      <c r="C367" s="426" t="s">
        <v>2525</v>
      </c>
      <c r="D367" s="45" t="s">
        <v>162</v>
      </c>
      <c r="E367" s="53">
        <v>403.75</v>
      </c>
      <c r="F367" s="45" t="s">
        <v>467</v>
      </c>
      <c r="G367" s="45" t="s">
        <v>175</v>
      </c>
    </row>
    <row r="368" spans="1:7" ht="13.5" customHeight="1" x14ac:dyDescent="0.35">
      <c r="A368" s="47">
        <v>43257</v>
      </c>
      <c r="B368" s="45" t="s">
        <v>3042</v>
      </c>
      <c r="C368" s="426" t="s">
        <v>2525</v>
      </c>
      <c r="D368" s="45" t="s">
        <v>160</v>
      </c>
      <c r="E368" s="53">
        <v>24.61</v>
      </c>
      <c r="F368" s="45" t="s">
        <v>3031</v>
      </c>
      <c r="G368" s="45" t="s">
        <v>174</v>
      </c>
    </row>
    <row r="369" spans="1:7" ht="13.5" customHeight="1" x14ac:dyDescent="0.35">
      <c r="A369" s="47">
        <v>43255</v>
      </c>
      <c r="B369" s="45" t="s">
        <v>3043</v>
      </c>
      <c r="C369" s="426" t="s">
        <v>28</v>
      </c>
      <c r="D369" s="45" t="s">
        <v>159</v>
      </c>
      <c r="E369" s="53">
        <v>245</v>
      </c>
      <c r="F369" s="45" t="s">
        <v>2708</v>
      </c>
      <c r="G369" s="45" t="s">
        <v>174</v>
      </c>
    </row>
    <row r="370" spans="1:7" ht="13.5" customHeight="1" x14ac:dyDescent="0.35">
      <c r="A370" s="47">
        <v>43255</v>
      </c>
      <c r="B370" s="45" t="s">
        <v>3044</v>
      </c>
      <c r="C370" s="426" t="s">
        <v>28</v>
      </c>
      <c r="D370" s="45" t="s">
        <v>159</v>
      </c>
      <c r="E370" s="53">
        <v>30</v>
      </c>
      <c r="F370" s="45" t="s">
        <v>1924</v>
      </c>
      <c r="G370" s="45" t="s">
        <v>174</v>
      </c>
    </row>
    <row r="371" spans="1:7" ht="13.5" customHeight="1" x14ac:dyDescent="0.35">
      <c r="A371" s="47">
        <v>43254</v>
      </c>
      <c r="B371" s="45" t="s">
        <v>1681</v>
      </c>
      <c r="C371" s="426" t="s">
        <v>1274</v>
      </c>
      <c r="D371" s="45" t="s">
        <v>162</v>
      </c>
      <c r="E371" s="435">
        <v>175</v>
      </c>
      <c r="F371" s="45" t="s">
        <v>467</v>
      </c>
      <c r="G371" s="45" t="s">
        <v>175</v>
      </c>
    </row>
    <row r="372" spans="1:7" ht="13.5" customHeight="1" x14ac:dyDescent="0.35">
      <c r="A372" s="47">
        <v>43254</v>
      </c>
      <c r="B372" s="45" t="s">
        <v>2837</v>
      </c>
      <c r="C372" s="426" t="s">
        <v>1274</v>
      </c>
      <c r="D372" s="45" t="s">
        <v>159</v>
      </c>
      <c r="E372" s="435">
        <v>75</v>
      </c>
      <c r="F372" s="45" t="s">
        <v>501</v>
      </c>
      <c r="G372" s="45" t="s">
        <v>179</v>
      </c>
    </row>
    <row r="373" spans="1:7" ht="13.5" customHeight="1" x14ac:dyDescent="0.35">
      <c r="A373" s="47">
        <v>43253</v>
      </c>
      <c r="B373" s="45" t="s">
        <v>3045</v>
      </c>
      <c r="C373" s="426" t="s">
        <v>1274</v>
      </c>
      <c r="D373" s="45" t="s">
        <v>160</v>
      </c>
      <c r="E373" s="650">
        <v>75</v>
      </c>
      <c r="F373" s="45" t="s">
        <v>501</v>
      </c>
      <c r="G373" s="45" t="s">
        <v>179</v>
      </c>
    </row>
    <row r="374" spans="1:7" ht="13.5" customHeight="1" x14ac:dyDescent="0.35">
      <c r="A374" s="47">
        <v>43252</v>
      </c>
      <c r="B374" s="45" t="s">
        <v>3028</v>
      </c>
      <c r="C374" s="426" t="s">
        <v>1276</v>
      </c>
      <c r="D374" s="426" t="s">
        <v>161</v>
      </c>
      <c r="E374" s="567">
        <v>348.63</v>
      </c>
      <c r="F374" s="426" t="s">
        <v>1078</v>
      </c>
      <c r="G374" s="426" t="s">
        <v>175</v>
      </c>
    </row>
    <row r="375" spans="1:7" ht="13.5" customHeight="1" x14ac:dyDescent="0.35">
      <c r="A375" s="47">
        <v>43252</v>
      </c>
      <c r="B375" s="45" t="s">
        <v>3029</v>
      </c>
      <c r="C375" s="426" t="s">
        <v>1278</v>
      </c>
      <c r="D375" s="426" t="s">
        <v>161</v>
      </c>
      <c r="E375" s="567">
        <v>80</v>
      </c>
      <c r="F375" s="426" t="s">
        <v>292</v>
      </c>
      <c r="G375" s="426" t="s">
        <v>175</v>
      </c>
    </row>
    <row r="376" spans="1:7" ht="13.5" customHeight="1" x14ac:dyDescent="0.35">
      <c r="A376" s="47"/>
      <c r="B376" s="45"/>
      <c r="D376" s="45"/>
      <c r="E376" s="650"/>
      <c r="F376" s="45"/>
      <c r="G376" s="45"/>
    </row>
    <row r="377" spans="1:7" ht="13.5" customHeight="1" x14ac:dyDescent="0.35">
      <c r="A377" s="47">
        <v>43251</v>
      </c>
      <c r="B377" s="45" t="s">
        <v>2898</v>
      </c>
      <c r="C377" s="426" t="s">
        <v>1274</v>
      </c>
      <c r="D377" s="45" t="s">
        <v>159</v>
      </c>
      <c r="E377" s="650">
        <v>175</v>
      </c>
      <c r="F377" s="45" t="s">
        <v>1793</v>
      </c>
      <c r="G377" s="45" t="s">
        <v>179</v>
      </c>
    </row>
    <row r="378" spans="1:7" ht="13.5" customHeight="1" x14ac:dyDescent="0.35">
      <c r="A378" s="47">
        <v>43250</v>
      </c>
      <c r="B378" s="45" t="s">
        <v>3046</v>
      </c>
      <c r="C378" s="426" t="s">
        <v>28</v>
      </c>
      <c r="D378" s="45" t="s">
        <v>162</v>
      </c>
      <c r="E378" s="650">
        <v>13</v>
      </c>
      <c r="F378" s="45" t="s">
        <v>1924</v>
      </c>
      <c r="G378" s="45" t="s">
        <v>163</v>
      </c>
    </row>
    <row r="379" spans="1:7" ht="13.5" customHeight="1" x14ac:dyDescent="0.35">
      <c r="A379" s="47">
        <v>43250</v>
      </c>
      <c r="B379" s="45" t="s">
        <v>3047</v>
      </c>
      <c r="C379" s="426" t="s">
        <v>1274</v>
      </c>
      <c r="D379" s="45" t="s">
        <v>159</v>
      </c>
      <c r="E379" s="650">
        <v>75</v>
      </c>
      <c r="F379" s="45" t="s">
        <v>501</v>
      </c>
      <c r="G379" s="45" t="s">
        <v>179</v>
      </c>
    </row>
    <row r="380" spans="1:7" ht="13.5" customHeight="1" x14ac:dyDescent="0.35">
      <c r="A380" s="47">
        <v>43250</v>
      </c>
      <c r="B380" s="45" t="s">
        <v>3036</v>
      </c>
      <c r="C380" s="426" t="s">
        <v>28</v>
      </c>
      <c r="D380" s="45" t="s">
        <v>162</v>
      </c>
      <c r="E380" s="650">
        <v>45</v>
      </c>
      <c r="F380" s="45" t="s">
        <v>1489</v>
      </c>
      <c r="G380" s="45" t="s">
        <v>1311</v>
      </c>
    </row>
    <row r="381" spans="1:7" ht="13.5" customHeight="1" x14ac:dyDescent="0.35">
      <c r="A381" s="47">
        <v>43249</v>
      </c>
      <c r="B381" s="45" t="s">
        <v>732</v>
      </c>
      <c r="C381" s="426" t="s">
        <v>1279</v>
      </c>
      <c r="D381" s="45" t="s">
        <v>162</v>
      </c>
      <c r="E381" s="650">
        <v>120</v>
      </c>
      <c r="F381" s="45" t="s">
        <v>3048</v>
      </c>
      <c r="G381" s="45" t="s">
        <v>175</v>
      </c>
    </row>
    <row r="382" spans="1:7" ht="13.5" customHeight="1" x14ac:dyDescent="0.35">
      <c r="A382" s="47">
        <v>43249</v>
      </c>
      <c r="B382" s="45" t="s">
        <v>3049</v>
      </c>
      <c r="C382" s="426" t="s">
        <v>1274</v>
      </c>
      <c r="D382" s="45" t="s">
        <v>162</v>
      </c>
      <c r="E382" s="650">
        <v>125</v>
      </c>
      <c r="F382" s="45" t="s">
        <v>695</v>
      </c>
      <c r="G382" s="45" t="s">
        <v>179</v>
      </c>
    </row>
    <row r="383" spans="1:7" ht="13.5" customHeight="1" x14ac:dyDescent="0.35">
      <c r="A383" s="47">
        <v>43243</v>
      </c>
      <c r="B383" s="45" t="s">
        <v>3050</v>
      </c>
      <c r="C383" s="426" t="s">
        <v>1274</v>
      </c>
      <c r="D383" s="45" t="s">
        <v>159</v>
      </c>
      <c r="E383" s="650">
        <v>75</v>
      </c>
      <c r="F383" s="45" t="s">
        <v>578</v>
      </c>
      <c r="G383" s="45" t="s">
        <v>174</v>
      </c>
    </row>
    <row r="384" spans="1:7" ht="13.5" customHeight="1" x14ac:dyDescent="0.35">
      <c r="A384" s="47">
        <v>43245</v>
      </c>
      <c r="B384" s="45" t="s">
        <v>3051</v>
      </c>
      <c r="C384" s="426" t="s">
        <v>1274</v>
      </c>
      <c r="D384" s="45" t="s">
        <v>160</v>
      </c>
      <c r="E384" s="650">
        <v>75</v>
      </c>
      <c r="F384" s="45" t="s">
        <v>501</v>
      </c>
      <c r="G384" s="45" t="s">
        <v>179</v>
      </c>
    </row>
    <row r="385" spans="1:7" ht="13.5" customHeight="1" x14ac:dyDescent="0.35">
      <c r="A385" s="47">
        <v>43239</v>
      </c>
      <c r="B385" s="45" t="s">
        <v>3052</v>
      </c>
      <c r="C385" s="426" t="s">
        <v>1279</v>
      </c>
      <c r="D385" s="45" t="s">
        <v>162</v>
      </c>
      <c r="E385" s="650">
        <v>195</v>
      </c>
      <c r="F385" s="48" t="s">
        <v>941</v>
      </c>
      <c r="G385" s="45" t="s">
        <v>174</v>
      </c>
    </row>
    <row r="386" spans="1:7" ht="13.5" customHeight="1" x14ac:dyDescent="0.35">
      <c r="A386" s="47">
        <v>43238</v>
      </c>
      <c r="B386" s="45" t="s">
        <v>3053</v>
      </c>
      <c r="C386" s="426" t="s">
        <v>1274</v>
      </c>
      <c r="D386" s="45" t="s">
        <v>162</v>
      </c>
      <c r="E386" s="650">
        <v>35</v>
      </c>
      <c r="F386" s="45" t="s">
        <v>501</v>
      </c>
      <c r="G386" s="45" t="s">
        <v>175</v>
      </c>
    </row>
    <row r="387" spans="1:7" ht="13.5" customHeight="1" x14ac:dyDescent="0.35">
      <c r="A387" s="47">
        <v>43237</v>
      </c>
      <c r="B387" s="45" t="s">
        <v>3054</v>
      </c>
      <c r="C387" s="426" t="s">
        <v>28</v>
      </c>
      <c r="D387" s="45" t="s">
        <v>162</v>
      </c>
      <c r="E387" s="650">
        <v>13</v>
      </c>
      <c r="F387" s="45" t="s">
        <v>1924</v>
      </c>
      <c r="G387" s="45" t="s">
        <v>163</v>
      </c>
    </row>
    <row r="388" spans="1:7" ht="13.5" customHeight="1" x14ac:dyDescent="0.35">
      <c r="A388" s="47">
        <v>43237</v>
      </c>
      <c r="B388" s="45" t="s">
        <v>3055</v>
      </c>
      <c r="C388" s="426" t="s">
        <v>28</v>
      </c>
      <c r="D388" s="45" t="s">
        <v>162</v>
      </c>
      <c r="E388" s="650">
        <v>13</v>
      </c>
      <c r="F388" s="45" t="s">
        <v>1924</v>
      </c>
      <c r="G388" s="45" t="s">
        <v>163</v>
      </c>
    </row>
    <row r="389" spans="1:7" ht="13.5" customHeight="1" x14ac:dyDescent="0.35">
      <c r="A389" s="47">
        <v>43236</v>
      </c>
      <c r="B389" s="45" t="s">
        <v>3056</v>
      </c>
      <c r="C389" s="426" t="s">
        <v>1274</v>
      </c>
      <c r="D389" s="45" t="s">
        <v>159</v>
      </c>
      <c r="E389" s="650">
        <v>75</v>
      </c>
      <c r="F389" s="45" t="s">
        <v>501</v>
      </c>
      <c r="G389" s="45" t="s">
        <v>179</v>
      </c>
    </row>
    <row r="390" spans="1:7" ht="13.5" customHeight="1" x14ac:dyDescent="0.35">
      <c r="A390" s="47">
        <v>43236</v>
      </c>
      <c r="B390" s="45" t="s">
        <v>2970</v>
      </c>
      <c r="C390" s="426" t="s">
        <v>1274</v>
      </c>
      <c r="D390" s="45" t="s">
        <v>160</v>
      </c>
      <c r="E390" s="650">
        <v>75</v>
      </c>
      <c r="F390" s="45" t="s">
        <v>501</v>
      </c>
      <c r="G390" s="45" t="s">
        <v>174</v>
      </c>
    </row>
    <row r="391" spans="1:7" ht="13.5" customHeight="1" x14ac:dyDescent="0.35">
      <c r="A391" s="47">
        <v>43236</v>
      </c>
      <c r="B391" s="45" t="s">
        <v>3057</v>
      </c>
      <c r="C391" s="426" t="s">
        <v>28</v>
      </c>
      <c r="D391" s="45" t="s">
        <v>162</v>
      </c>
      <c r="E391" s="650">
        <v>13</v>
      </c>
      <c r="F391" s="45" t="s">
        <v>1924</v>
      </c>
      <c r="G391" s="45" t="s">
        <v>163</v>
      </c>
    </row>
    <row r="392" spans="1:7" ht="13.5" customHeight="1" x14ac:dyDescent="0.35">
      <c r="A392" s="47">
        <v>43235</v>
      </c>
      <c r="B392" s="45" t="s">
        <v>3058</v>
      </c>
      <c r="C392" s="426" t="s">
        <v>1274</v>
      </c>
      <c r="D392" s="45" t="s">
        <v>160</v>
      </c>
      <c r="E392" s="650">
        <v>75</v>
      </c>
      <c r="F392" s="45" t="s">
        <v>501</v>
      </c>
      <c r="G392" s="45" t="s">
        <v>179</v>
      </c>
    </row>
    <row r="393" spans="1:7" ht="13.5" customHeight="1" x14ac:dyDescent="0.35">
      <c r="A393" s="47">
        <v>43235</v>
      </c>
      <c r="B393" s="45" t="s">
        <v>2738</v>
      </c>
      <c r="C393" s="426" t="s">
        <v>1274</v>
      </c>
      <c r="D393" s="45" t="s">
        <v>159</v>
      </c>
      <c r="E393" s="650">
        <v>725</v>
      </c>
      <c r="F393" s="45" t="s">
        <v>288</v>
      </c>
      <c r="G393" s="45" t="s">
        <v>174</v>
      </c>
    </row>
    <row r="394" spans="1:7" ht="13.5" customHeight="1" x14ac:dyDescent="0.35">
      <c r="A394" s="47">
        <v>43234</v>
      </c>
      <c r="B394" s="45" t="s">
        <v>3059</v>
      </c>
      <c r="C394" s="426" t="s">
        <v>28</v>
      </c>
      <c r="D394" s="45" t="s">
        <v>162</v>
      </c>
      <c r="E394" s="650">
        <v>13</v>
      </c>
      <c r="F394" s="45" t="s">
        <v>1924</v>
      </c>
      <c r="G394" s="45" t="s">
        <v>163</v>
      </c>
    </row>
    <row r="395" spans="1:7" ht="13.5" customHeight="1" x14ac:dyDescent="0.35">
      <c r="A395" s="47">
        <v>43234</v>
      </c>
      <c r="B395" s="45" t="s">
        <v>3060</v>
      </c>
      <c r="C395" s="426" t="s">
        <v>28</v>
      </c>
      <c r="D395" s="45" t="s">
        <v>162</v>
      </c>
      <c r="E395" s="650">
        <v>13</v>
      </c>
      <c r="F395" s="45" t="s">
        <v>1924</v>
      </c>
      <c r="G395" s="45" t="s">
        <v>163</v>
      </c>
    </row>
    <row r="396" spans="1:7" ht="13.5" customHeight="1" x14ac:dyDescent="0.35">
      <c r="A396" s="47">
        <v>43233</v>
      </c>
      <c r="B396" s="45" t="s">
        <v>3061</v>
      </c>
      <c r="C396" s="426" t="s">
        <v>28</v>
      </c>
      <c r="D396" s="45" t="s">
        <v>160</v>
      </c>
      <c r="E396" s="650">
        <v>30</v>
      </c>
      <c r="F396" s="45" t="s">
        <v>1924</v>
      </c>
      <c r="G396" s="45" t="s">
        <v>174</v>
      </c>
    </row>
    <row r="397" spans="1:7" ht="13.5" customHeight="1" x14ac:dyDescent="0.35">
      <c r="A397" s="47">
        <v>43232</v>
      </c>
      <c r="B397" s="45" t="s">
        <v>2715</v>
      </c>
      <c r="C397" s="426" t="s">
        <v>1274</v>
      </c>
      <c r="D397" s="45" t="s">
        <v>160</v>
      </c>
      <c r="E397" s="650">
        <v>75</v>
      </c>
      <c r="F397" s="45" t="s">
        <v>501</v>
      </c>
      <c r="G397" s="45" t="s">
        <v>179</v>
      </c>
    </row>
    <row r="398" spans="1:7" ht="13.5" customHeight="1" x14ac:dyDescent="0.35">
      <c r="A398" s="47">
        <v>43230</v>
      </c>
      <c r="B398" s="45" t="s">
        <v>3062</v>
      </c>
      <c r="C398" s="426" t="s">
        <v>1274</v>
      </c>
      <c r="D398" s="45" t="s">
        <v>159</v>
      </c>
      <c r="E398" s="650">
        <v>75</v>
      </c>
      <c r="F398" s="45" t="s">
        <v>501</v>
      </c>
      <c r="G398" s="45" t="s">
        <v>175</v>
      </c>
    </row>
    <row r="399" spans="1:7" ht="13.5" customHeight="1" x14ac:dyDescent="0.35">
      <c r="A399" s="47">
        <v>43230</v>
      </c>
      <c r="B399" s="45" t="s">
        <v>3063</v>
      </c>
      <c r="C399" s="426" t="s">
        <v>1274</v>
      </c>
      <c r="D399" s="45" t="s">
        <v>160</v>
      </c>
      <c r="E399" s="650">
        <v>75</v>
      </c>
      <c r="F399" s="45" t="s">
        <v>501</v>
      </c>
      <c r="G399" s="45" t="s">
        <v>174</v>
      </c>
    </row>
    <row r="400" spans="1:7" ht="13.5" customHeight="1" x14ac:dyDescent="0.35">
      <c r="A400" s="47">
        <v>43230</v>
      </c>
      <c r="B400" s="45" t="s">
        <v>3001</v>
      </c>
      <c r="C400" s="426" t="s">
        <v>1277</v>
      </c>
      <c r="D400" s="45" t="s">
        <v>166</v>
      </c>
      <c r="E400" s="650">
        <v>-725</v>
      </c>
      <c r="F400" s="45" t="s">
        <v>3020</v>
      </c>
      <c r="G400" s="45" t="s">
        <v>175</v>
      </c>
    </row>
    <row r="401" spans="1:7" ht="13.5" customHeight="1" x14ac:dyDescent="0.35">
      <c r="A401" s="47">
        <v>43230</v>
      </c>
      <c r="B401" s="45" t="s">
        <v>3001</v>
      </c>
      <c r="C401" s="426" t="s">
        <v>1274</v>
      </c>
      <c r="D401" s="45" t="s">
        <v>166</v>
      </c>
      <c r="E401" s="650">
        <v>725</v>
      </c>
      <c r="F401" s="45" t="s">
        <v>496</v>
      </c>
      <c r="G401" s="45" t="s">
        <v>175</v>
      </c>
    </row>
    <row r="402" spans="1:7" ht="13.5" customHeight="1" x14ac:dyDescent="0.35">
      <c r="A402" s="47">
        <v>43229</v>
      </c>
      <c r="B402" s="45" t="s">
        <v>3064</v>
      </c>
      <c r="C402" s="426" t="s">
        <v>28</v>
      </c>
      <c r="D402" s="45" t="s">
        <v>159</v>
      </c>
      <c r="E402" s="650">
        <v>30</v>
      </c>
      <c r="F402" s="45" t="s">
        <v>1924</v>
      </c>
      <c r="G402" s="45" t="s">
        <v>174</v>
      </c>
    </row>
    <row r="403" spans="1:7" ht="13.5" customHeight="1" x14ac:dyDescent="0.35">
      <c r="A403" s="47">
        <v>43229</v>
      </c>
      <c r="B403" s="45" t="s">
        <v>3065</v>
      </c>
      <c r="C403" s="426" t="s">
        <v>1279</v>
      </c>
      <c r="D403" s="45" t="s">
        <v>159</v>
      </c>
      <c r="E403" s="650">
        <v>195</v>
      </c>
      <c r="F403" s="48" t="s">
        <v>941</v>
      </c>
      <c r="G403" s="45" t="s">
        <v>175</v>
      </c>
    </row>
    <row r="404" spans="1:7" ht="13.5" customHeight="1" x14ac:dyDescent="0.35">
      <c r="A404" s="47">
        <v>43228</v>
      </c>
      <c r="B404" s="45" t="s">
        <v>3066</v>
      </c>
      <c r="C404" s="426" t="s">
        <v>28</v>
      </c>
      <c r="D404" s="45" t="s">
        <v>159</v>
      </c>
      <c r="E404" s="650">
        <v>30</v>
      </c>
      <c r="F404" s="45" t="s">
        <v>1924</v>
      </c>
      <c r="G404" s="45" t="s">
        <v>174</v>
      </c>
    </row>
    <row r="405" spans="1:7" ht="13.5" customHeight="1" x14ac:dyDescent="0.35">
      <c r="A405" s="47">
        <v>43227</v>
      </c>
      <c r="B405" s="45" t="s">
        <v>3067</v>
      </c>
      <c r="C405" s="426" t="s">
        <v>28</v>
      </c>
      <c r="D405" s="45" t="s">
        <v>162</v>
      </c>
      <c r="E405" s="650">
        <v>13</v>
      </c>
      <c r="F405" s="45" t="s">
        <v>1924</v>
      </c>
      <c r="G405" s="45" t="s">
        <v>163</v>
      </c>
    </row>
    <row r="406" spans="1:7" ht="13.5" customHeight="1" x14ac:dyDescent="0.35">
      <c r="A406" s="47">
        <v>43227</v>
      </c>
      <c r="B406" s="45" t="s">
        <v>3068</v>
      </c>
      <c r="C406" s="426" t="s">
        <v>28</v>
      </c>
      <c r="D406" s="45" t="s">
        <v>160</v>
      </c>
      <c r="E406" s="650">
        <v>15</v>
      </c>
      <c r="F406" s="45" t="s">
        <v>3069</v>
      </c>
      <c r="G406" s="45" t="s">
        <v>175</v>
      </c>
    </row>
    <row r="407" spans="1:7" ht="13.5" customHeight="1" x14ac:dyDescent="0.35">
      <c r="A407" s="47">
        <v>43224</v>
      </c>
      <c r="B407" s="45" t="s">
        <v>3070</v>
      </c>
      <c r="C407" s="426" t="s">
        <v>2525</v>
      </c>
      <c r="D407" s="45" t="s">
        <v>162</v>
      </c>
      <c r="E407" s="650">
        <v>950</v>
      </c>
      <c r="F407" s="45" t="s">
        <v>3071</v>
      </c>
      <c r="G407" s="45" t="s">
        <v>174</v>
      </c>
    </row>
    <row r="408" spans="1:7" ht="13.5" customHeight="1" x14ac:dyDescent="0.35">
      <c r="A408" s="47">
        <v>43223</v>
      </c>
      <c r="B408" s="45" t="s">
        <v>2766</v>
      </c>
      <c r="C408" s="426" t="s">
        <v>1278</v>
      </c>
      <c r="D408" s="45" t="s">
        <v>160</v>
      </c>
      <c r="E408" s="650">
        <v>20</v>
      </c>
      <c r="F408" s="45" t="s">
        <v>292</v>
      </c>
      <c r="G408" s="45" t="s">
        <v>174</v>
      </c>
    </row>
    <row r="409" spans="1:7" ht="13.5" customHeight="1" x14ac:dyDescent="0.35">
      <c r="A409" s="47">
        <v>43223</v>
      </c>
      <c r="B409" s="45" t="s">
        <v>3072</v>
      </c>
      <c r="C409" s="426" t="s">
        <v>28</v>
      </c>
      <c r="D409" s="45" t="s">
        <v>162</v>
      </c>
      <c r="E409" s="650">
        <v>13</v>
      </c>
      <c r="F409" s="45" t="s">
        <v>1924</v>
      </c>
      <c r="G409" s="45" t="s">
        <v>163</v>
      </c>
    </row>
    <row r="410" spans="1:7" ht="13.5" customHeight="1" x14ac:dyDescent="0.35">
      <c r="A410" s="47">
        <v>43223</v>
      </c>
      <c r="B410" s="45" t="s">
        <v>3073</v>
      </c>
      <c r="C410" s="426" t="s">
        <v>1274</v>
      </c>
      <c r="D410" s="45" t="s">
        <v>160</v>
      </c>
      <c r="E410" s="650">
        <v>150</v>
      </c>
      <c r="F410" s="45" t="s">
        <v>501</v>
      </c>
      <c r="G410" s="45" t="s">
        <v>179</v>
      </c>
    </row>
    <row r="411" spans="1:7" ht="13.5" customHeight="1" x14ac:dyDescent="0.35">
      <c r="A411" s="47">
        <v>43223</v>
      </c>
      <c r="B411" s="45" t="s">
        <v>2753</v>
      </c>
      <c r="C411" s="426" t="s">
        <v>1274</v>
      </c>
      <c r="D411" s="45" t="s">
        <v>159</v>
      </c>
      <c r="E411" s="650">
        <v>65</v>
      </c>
      <c r="F411" s="45" t="s">
        <v>2977</v>
      </c>
      <c r="G411" s="45" t="s">
        <v>177</v>
      </c>
    </row>
    <row r="412" spans="1:7" ht="13.5" customHeight="1" x14ac:dyDescent="0.35">
      <c r="A412" s="47">
        <v>43221</v>
      </c>
      <c r="B412" s="45" t="s">
        <v>3074</v>
      </c>
      <c r="C412" s="426" t="s">
        <v>1274</v>
      </c>
      <c r="D412" s="45" t="s">
        <v>162</v>
      </c>
      <c r="E412" s="650">
        <v>125</v>
      </c>
      <c r="F412" s="45" t="s">
        <v>230</v>
      </c>
      <c r="G412" s="45" t="s">
        <v>1311</v>
      </c>
    </row>
    <row r="413" spans="1:7" ht="13.5" customHeight="1" x14ac:dyDescent="0.35">
      <c r="A413" s="47">
        <v>43221</v>
      </c>
      <c r="B413" s="45" t="s">
        <v>2734</v>
      </c>
      <c r="C413" s="426" t="s">
        <v>1276</v>
      </c>
      <c r="D413" s="426" t="s">
        <v>161</v>
      </c>
      <c r="E413" s="567">
        <v>93.63</v>
      </c>
      <c r="F413" s="426" t="s">
        <v>1078</v>
      </c>
      <c r="G413" s="426" t="s">
        <v>175</v>
      </c>
    </row>
    <row r="414" spans="1:7" ht="13.5" customHeight="1" x14ac:dyDescent="0.35">
      <c r="A414" s="47">
        <v>43221</v>
      </c>
      <c r="B414" s="45" t="s">
        <v>2735</v>
      </c>
      <c r="C414" s="426" t="s">
        <v>1278</v>
      </c>
      <c r="D414" s="426" t="s">
        <v>161</v>
      </c>
      <c r="E414" s="567">
        <v>100</v>
      </c>
      <c r="F414" s="426" t="s">
        <v>292</v>
      </c>
      <c r="G414" s="426" t="s">
        <v>175</v>
      </c>
    </row>
    <row r="417" spans="1:7" ht="13.5" customHeight="1" x14ac:dyDescent="0.35">
      <c r="A417" s="47">
        <v>43220</v>
      </c>
      <c r="B417" s="45" t="s">
        <v>1824</v>
      </c>
      <c r="C417" s="426" t="s">
        <v>28</v>
      </c>
      <c r="D417" s="45" t="s">
        <v>162</v>
      </c>
      <c r="E417" s="650">
        <v>200</v>
      </c>
      <c r="F417" s="45" t="s">
        <v>291</v>
      </c>
      <c r="G417" s="45" t="s">
        <v>1311</v>
      </c>
    </row>
    <row r="418" spans="1:7" ht="13.5" customHeight="1" x14ac:dyDescent="0.35">
      <c r="A418" s="47">
        <v>43219</v>
      </c>
      <c r="B418" s="45" t="s">
        <v>3075</v>
      </c>
      <c r="C418" s="426" t="s">
        <v>28</v>
      </c>
      <c r="D418" s="45" t="s">
        <v>160</v>
      </c>
      <c r="E418" s="650">
        <v>30</v>
      </c>
      <c r="F418" s="45" t="s">
        <v>1924</v>
      </c>
      <c r="G418" s="45" t="s">
        <v>174</v>
      </c>
    </row>
    <row r="419" spans="1:7" ht="13.5" customHeight="1" x14ac:dyDescent="0.35">
      <c r="A419" s="47">
        <v>43217</v>
      </c>
      <c r="B419" s="45" t="s">
        <v>3049</v>
      </c>
      <c r="C419" s="426" t="s">
        <v>1274</v>
      </c>
      <c r="D419" s="45" t="s">
        <v>159</v>
      </c>
      <c r="E419" s="650">
        <v>75</v>
      </c>
      <c r="F419" s="45" t="s">
        <v>695</v>
      </c>
      <c r="G419" s="45" t="s">
        <v>179</v>
      </c>
    </row>
    <row r="420" spans="1:7" ht="13.5" customHeight="1" x14ac:dyDescent="0.35">
      <c r="A420" s="47">
        <v>43216</v>
      </c>
      <c r="B420" s="45" t="s">
        <v>3076</v>
      </c>
      <c r="C420" s="426" t="s">
        <v>28</v>
      </c>
      <c r="D420" s="45" t="s">
        <v>160</v>
      </c>
      <c r="E420" s="650">
        <v>30</v>
      </c>
      <c r="F420" s="45" t="s">
        <v>1924</v>
      </c>
      <c r="G420" s="45" t="s">
        <v>174</v>
      </c>
    </row>
    <row r="421" spans="1:7" ht="13.5" customHeight="1" x14ac:dyDescent="0.35">
      <c r="A421" s="47">
        <v>43216</v>
      </c>
      <c r="B421" s="45" t="s">
        <v>3077</v>
      </c>
      <c r="C421" s="426" t="s">
        <v>1274</v>
      </c>
      <c r="D421" s="45" t="s">
        <v>159</v>
      </c>
      <c r="E421" s="650">
        <v>65</v>
      </c>
      <c r="F421" s="45" t="s">
        <v>177</v>
      </c>
      <c r="G421" s="45" t="s">
        <v>177</v>
      </c>
    </row>
    <row r="422" spans="1:7" ht="13.5" customHeight="1" x14ac:dyDescent="0.35">
      <c r="A422" s="47">
        <v>43215</v>
      </c>
      <c r="B422" s="45" t="s">
        <v>3078</v>
      </c>
      <c r="C422" s="426" t="s">
        <v>2525</v>
      </c>
      <c r="D422" s="45" t="s">
        <v>160</v>
      </c>
      <c r="E422" s="650">
        <v>4.3849999999999998</v>
      </c>
      <c r="F422" s="45" t="s">
        <v>1419</v>
      </c>
      <c r="G422" s="45" t="s">
        <v>174</v>
      </c>
    </row>
    <row r="423" spans="1:7" ht="13.5" customHeight="1" x14ac:dyDescent="0.35">
      <c r="A423" s="47">
        <v>43214</v>
      </c>
      <c r="B423" s="45" t="s">
        <v>3079</v>
      </c>
      <c r="C423" s="426" t="s">
        <v>1274</v>
      </c>
      <c r="D423" s="45" t="s">
        <v>159</v>
      </c>
      <c r="E423" s="650">
        <v>35</v>
      </c>
      <c r="F423" s="45" t="s">
        <v>3080</v>
      </c>
      <c r="G423" s="45" t="s">
        <v>174</v>
      </c>
    </row>
    <row r="424" spans="1:7" ht="13.5" customHeight="1" x14ac:dyDescent="0.35">
      <c r="A424" s="47">
        <v>43214</v>
      </c>
      <c r="B424" s="45" t="s">
        <v>3081</v>
      </c>
      <c r="C424" s="426" t="s">
        <v>1274</v>
      </c>
      <c r="D424" s="45" t="s">
        <v>2297</v>
      </c>
      <c r="E424" s="650">
        <v>125</v>
      </c>
      <c r="F424" s="45" t="s">
        <v>230</v>
      </c>
      <c r="G424" s="45" t="s">
        <v>179</v>
      </c>
    </row>
    <row r="425" spans="1:7" ht="13.5" customHeight="1" x14ac:dyDescent="0.35">
      <c r="A425" s="47">
        <v>43214</v>
      </c>
      <c r="B425" s="45" t="s">
        <v>1921</v>
      </c>
      <c r="C425" s="426" t="s">
        <v>28</v>
      </c>
      <c r="D425" s="45" t="s">
        <v>162</v>
      </c>
      <c r="E425" s="650">
        <v>30</v>
      </c>
      <c r="F425" s="45" t="s">
        <v>1924</v>
      </c>
      <c r="G425" s="45" t="s">
        <v>1311</v>
      </c>
    </row>
    <row r="426" spans="1:7" ht="13.5" customHeight="1" x14ac:dyDescent="0.35">
      <c r="A426" s="47">
        <v>43212</v>
      </c>
      <c r="B426" s="45" t="s">
        <v>1667</v>
      </c>
      <c r="C426" s="426" t="s">
        <v>28</v>
      </c>
      <c r="D426" s="45" t="s">
        <v>160</v>
      </c>
      <c r="E426" s="650">
        <v>395</v>
      </c>
      <c r="F426" s="45" t="s">
        <v>1058</v>
      </c>
      <c r="G426" s="45" t="s">
        <v>174</v>
      </c>
    </row>
    <row r="427" spans="1:7" ht="13.5" customHeight="1" x14ac:dyDescent="0.35">
      <c r="A427" s="47">
        <v>43210</v>
      </c>
      <c r="B427" s="45" t="s">
        <v>3082</v>
      </c>
      <c r="C427" s="426" t="s">
        <v>1274</v>
      </c>
      <c r="D427" s="45" t="s">
        <v>159</v>
      </c>
      <c r="E427" s="650">
        <v>125</v>
      </c>
      <c r="F427" s="45" t="s">
        <v>230</v>
      </c>
      <c r="G427" s="45" t="s">
        <v>179</v>
      </c>
    </row>
    <row r="428" spans="1:7" ht="13.5" customHeight="1" x14ac:dyDescent="0.35">
      <c r="A428" s="47">
        <v>43209</v>
      </c>
      <c r="B428" s="45" t="s">
        <v>3083</v>
      </c>
      <c r="C428" s="426" t="s">
        <v>1274</v>
      </c>
      <c r="D428" s="45" t="s">
        <v>159</v>
      </c>
      <c r="E428" s="650">
        <v>125</v>
      </c>
      <c r="F428" s="45" t="s">
        <v>230</v>
      </c>
      <c r="G428" s="45" t="s">
        <v>179</v>
      </c>
    </row>
    <row r="429" spans="1:7" ht="13.5" customHeight="1" x14ac:dyDescent="0.35">
      <c r="A429" s="47">
        <v>43206</v>
      </c>
      <c r="B429" s="45" t="s">
        <v>3084</v>
      </c>
      <c r="C429" s="426" t="s">
        <v>28</v>
      </c>
      <c r="D429" s="45" t="s">
        <v>160</v>
      </c>
      <c r="E429" s="650">
        <v>30</v>
      </c>
      <c r="F429" s="45" t="s">
        <v>1924</v>
      </c>
      <c r="G429" s="45" t="s">
        <v>174</v>
      </c>
    </row>
    <row r="430" spans="1:7" ht="13.5" customHeight="1" x14ac:dyDescent="0.35">
      <c r="A430" s="47">
        <v>43204</v>
      </c>
      <c r="B430" s="45" t="s">
        <v>3085</v>
      </c>
      <c r="C430" s="426" t="s">
        <v>1274</v>
      </c>
      <c r="D430" s="45" t="s">
        <v>159</v>
      </c>
      <c r="E430" s="650">
        <v>175</v>
      </c>
      <c r="F430" s="45" t="s">
        <v>230</v>
      </c>
      <c r="G430" s="45" t="s">
        <v>174</v>
      </c>
    </row>
    <row r="431" spans="1:7" ht="13.5" customHeight="1" x14ac:dyDescent="0.35">
      <c r="A431" s="47">
        <v>43202</v>
      </c>
      <c r="B431" s="45" t="s">
        <v>2757</v>
      </c>
      <c r="C431" s="426" t="s">
        <v>1274</v>
      </c>
      <c r="D431" s="45" t="s">
        <v>160</v>
      </c>
      <c r="E431" s="650">
        <v>125</v>
      </c>
      <c r="F431" s="45" t="s">
        <v>3086</v>
      </c>
      <c r="G431" s="45" t="s">
        <v>175</v>
      </c>
    </row>
    <row r="432" spans="1:7" ht="13.5" customHeight="1" x14ac:dyDescent="0.35">
      <c r="A432" s="47">
        <v>43201</v>
      </c>
      <c r="B432" s="45" t="s">
        <v>3087</v>
      </c>
      <c r="C432" s="426" t="s">
        <v>28</v>
      </c>
      <c r="D432" s="45" t="s">
        <v>162</v>
      </c>
      <c r="E432" s="650">
        <v>13</v>
      </c>
      <c r="F432" s="45" t="s">
        <v>1924</v>
      </c>
      <c r="G432" s="45" t="s">
        <v>163</v>
      </c>
    </row>
    <row r="433" spans="1:7" ht="13.5" customHeight="1" x14ac:dyDescent="0.35">
      <c r="A433" s="47">
        <v>43201</v>
      </c>
      <c r="B433" s="45" t="s">
        <v>3023</v>
      </c>
      <c r="C433" s="426" t="s">
        <v>28</v>
      </c>
      <c r="D433" s="45" t="s">
        <v>160</v>
      </c>
      <c r="E433" s="650">
        <v>30</v>
      </c>
      <c r="F433" s="45" t="s">
        <v>1924</v>
      </c>
      <c r="G433" s="45" t="s">
        <v>174</v>
      </c>
    </row>
    <row r="434" spans="1:7" ht="13.5" customHeight="1" x14ac:dyDescent="0.35">
      <c r="A434" s="47">
        <v>43201</v>
      </c>
      <c r="B434" s="45" t="s">
        <v>3088</v>
      </c>
      <c r="C434" s="426" t="s">
        <v>1279</v>
      </c>
      <c r="D434" s="45" t="s">
        <v>160</v>
      </c>
      <c r="E434" s="650">
        <v>65</v>
      </c>
      <c r="F434" s="45" t="s">
        <v>3089</v>
      </c>
      <c r="G434" s="45" t="s">
        <v>174</v>
      </c>
    </row>
    <row r="435" spans="1:7" ht="13.5" customHeight="1" x14ac:dyDescent="0.35">
      <c r="A435" s="47">
        <v>43200</v>
      </c>
      <c r="B435" s="45" t="s">
        <v>2654</v>
      </c>
      <c r="C435" s="426" t="s">
        <v>1274</v>
      </c>
      <c r="D435" s="45" t="s">
        <v>159</v>
      </c>
      <c r="E435" s="650">
        <v>75</v>
      </c>
      <c r="F435" s="45" t="s">
        <v>3090</v>
      </c>
      <c r="G435" s="45" t="s">
        <v>174</v>
      </c>
    </row>
    <row r="436" spans="1:7" ht="13.5" customHeight="1" x14ac:dyDescent="0.35">
      <c r="A436" s="47">
        <v>43199</v>
      </c>
      <c r="B436" s="45" t="s">
        <v>3091</v>
      </c>
      <c r="C436" s="426" t="s">
        <v>28</v>
      </c>
      <c r="D436" s="45" t="s">
        <v>159</v>
      </c>
      <c r="E436" s="650">
        <v>30</v>
      </c>
      <c r="F436" s="45" t="s">
        <v>1924</v>
      </c>
      <c r="G436" s="45" t="s">
        <v>174</v>
      </c>
    </row>
    <row r="437" spans="1:7" ht="13.5" customHeight="1" x14ac:dyDescent="0.35">
      <c r="A437" s="47">
        <v>43199</v>
      </c>
      <c r="B437" s="45" t="s">
        <v>3092</v>
      </c>
      <c r="C437" s="426" t="s">
        <v>1274</v>
      </c>
      <c r="D437" s="45" t="s">
        <v>159</v>
      </c>
      <c r="E437" s="650">
        <v>-42.5</v>
      </c>
      <c r="F437" s="45" t="s">
        <v>3093</v>
      </c>
      <c r="G437" s="45" t="s">
        <v>177</v>
      </c>
    </row>
    <row r="438" spans="1:7" ht="13.5" customHeight="1" x14ac:dyDescent="0.35">
      <c r="A438" s="47">
        <v>43199</v>
      </c>
      <c r="B438" s="45" t="s">
        <v>3092</v>
      </c>
      <c r="C438" s="426" t="s">
        <v>1274</v>
      </c>
      <c r="D438" s="45" t="s">
        <v>159</v>
      </c>
      <c r="E438" s="650">
        <v>42.5</v>
      </c>
      <c r="F438" s="45" t="s">
        <v>3006</v>
      </c>
      <c r="G438" s="45" t="s">
        <v>177</v>
      </c>
    </row>
    <row r="439" spans="1:7" ht="13.5" customHeight="1" x14ac:dyDescent="0.35">
      <c r="A439" s="47">
        <v>43199</v>
      </c>
      <c r="B439" s="45" t="s">
        <v>3094</v>
      </c>
      <c r="C439" s="426" t="s">
        <v>28</v>
      </c>
      <c r="D439" s="45" t="s">
        <v>160</v>
      </c>
      <c r="E439" s="650">
        <v>30</v>
      </c>
      <c r="F439" s="45" t="s">
        <v>1924</v>
      </c>
      <c r="G439" s="45" t="s">
        <v>174</v>
      </c>
    </row>
    <row r="440" spans="1:7" ht="13.5" customHeight="1" x14ac:dyDescent="0.35">
      <c r="A440" s="47">
        <v>43196</v>
      </c>
      <c r="B440" s="45" t="s">
        <v>2235</v>
      </c>
      <c r="C440" s="426" t="s">
        <v>1277</v>
      </c>
      <c r="D440" s="45" t="s">
        <v>166</v>
      </c>
      <c r="E440" s="650">
        <v>-580</v>
      </c>
      <c r="F440" s="45" t="s">
        <v>3020</v>
      </c>
      <c r="G440" s="45" t="s">
        <v>175</v>
      </c>
    </row>
    <row r="441" spans="1:7" ht="13.5" customHeight="1" x14ac:dyDescent="0.35">
      <c r="A441" s="47">
        <v>43196</v>
      </c>
      <c r="B441" s="45" t="s">
        <v>2235</v>
      </c>
      <c r="C441" s="426" t="s">
        <v>1274</v>
      </c>
      <c r="D441" s="45" t="s">
        <v>166</v>
      </c>
      <c r="E441" s="650">
        <v>580</v>
      </c>
      <c r="F441" s="45" t="s">
        <v>496</v>
      </c>
      <c r="G441" s="45" t="s">
        <v>175</v>
      </c>
    </row>
    <row r="442" spans="1:7" ht="13.5" customHeight="1" x14ac:dyDescent="0.35">
      <c r="A442" s="47">
        <v>43196</v>
      </c>
      <c r="B442" s="45" t="s">
        <v>3095</v>
      </c>
      <c r="C442" s="426" t="s">
        <v>1274</v>
      </c>
      <c r="D442" s="426" t="s">
        <v>2297</v>
      </c>
      <c r="E442" s="650">
        <v>65</v>
      </c>
      <c r="F442" s="45" t="s">
        <v>3096</v>
      </c>
      <c r="G442" s="45" t="s">
        <v>177</v>
      </c>
    </row>
    <row r="443" spans="1:7" ht="13.5" customHeight="1" x14ac:dyDescent="0.35">
      <c r="A443" s="47">
        <v>43196</v>
      </c>
      <c r="B443" s="45" t="s">
        <v>2235</v>
      </c>
      <c r="C443" s="426" t="s">
        <v>28</v>
      </c>
      <c r="D443" s="45" t="s">
        <v>166</v>
      </c>
      <c r="E443" s="650">
        <v>40</v>
      </c>
      <c r="F443" s="45" t="s">
        <v>2808</v>
      </c>
      <c r="G443" s="45" t="s">
        <v>175</v>
      </c>
    </row>
    <row r="444" spans="1:7" ht="13.5" customHeight="1" x14ac:dyDescent="0.35">
      <c r="A444" s="47">
        <v>43196</v>
      </c>
      <c r="B444" s="45" t="s">
        <v>2235</v>
      </c>
      <c r="C444" s="426" t="s">
        <v>28</v>
      </c>
      <c r="D444" s="45" t="s">
        <v>166</v>
      </c>
      <c r="E444" s="650">
        <v>316</v>
      </c>
      <c r="F444" s="45" t="s">
        <v>1058</v>
      </c>
      <c r="G444" s="45" t="s">
        <v>175</v>
      </c>
    </row>
    <row r="445" spans="1:7" ht="13.5" customHeight="1" x14ac:dyDescent="0.35">
      <c r="A445" s="47">
        <v>43196</v>
      </c>
      <c r="B445" s="45" t="s">
        <v>2235</v>
      </c>
      <c r="C445" s="426" t="s">
        <v>1274</v>
      </c>
      <c r="D445" s="45" t="s">
        <v>166</v>
      </c>
      <c r="E445" s="650">
        <v>380</v>
      </c>
      <c r="F445" s="45" t="s">
        <v>467</v>
      </c>
      <c r="G445" s="45" t="s">
        <v>175</v>
      </c>
    </row>
    <row r="446" spans="1:7" ht="13.5" customHeight="1" x14ac:dyDescent="0.35">
      <c r="A446" s="47">
        <v>43196</v>
      </c>
      <c r="B446" s="45" t="s">
        <v>2235</v>
      </c>
      <c r="C446" s="426" t="s">
        <v>1274</v>
      </c>
      <c r="D446" s="45" t="s">
        <v>166</v>
      </c>
      <c r="E446" s="650">
        <v>580</v>
      </c>
      <c r="F446" s="45" t="s">
        <v>492</v>
      </c>
      <c r="G446" s="45" t="s">
        <v>175</v>
      </c>
    </row>
    <row r="447" spans="1:7" ht="13.5" customHeight="1" x14ac:dyDescent="0.35">
      <c r="A447" s="47">
        <v>43196</v>
      </c>
      <c r="B447" s="45" t="s">
        <v>2235</v>
      </c>
      <c r="C447" s="426" t="s">
        <v>1277</v>
      </c>
      <c r="D447" s="45" t="s">
        <v>166</v>
      </c>
      <c r="E447" s="650">
        <v>-1316</v>
      </c>
      <c r="F447" s="45" t="s">
        <v>3020</v>
      </c>
      <c r="G447" s="45" t="s">
        <v>175</v>
      </c>
    </row>
    <row r="448" spans="1:7" ht="13.5" customHeight="1" x14ac:dyDescent="0.35">
      <c r="A448" s="47">
        <v>43196</v>
      </c>
      <c r="B448" s="45" t="s">
        <v>2235</v>
      </c>
      <c r="C448" s="426" t="s">
        <v>1276</v>
      </c>
      <c r="D448" s="45" t="s">
        <v>162</v>
      </c>
      <c r="E448" s="650">
        <v>1000</v>
      </c>
      <c r="F448" s="45" t="s">
        <v>3097</v>
      </c>
      <c r="G448" s="45" t="s">
        <v>175</v>
      </c>
    </row>
    <row r="449" spans="1:8" ht="13.5" customHeight="1" x14ac:dyDescent="0.35">
      <c r="A449" s="47">
        <v>43195</v>
      </c>
      <c r="B449" s="45" t="s">
        <v>3098</v>
      </c>
      <c r="C449" s="426" t="s">
        <v>1274</v>
      </c>
      <c r="D449" s="45" t="s">
        <v>160</v>
      </c>
      <c r="E449" s="650">
        <v>125</v>
      </c>
      <c r="F449" s="45" t="s">
        <v>230</v>
      </c>
      <c r="G449" s="45" t="s">
        <v>179</v>
      </c>
      <c r="H449" s="454"/>
    </row>
    <row r="450" spans="1:8" ht="13.5" customHeight="1" x14ac:dyDescent="0.35">
      <c r="A450" s="47">
        <v>43194</v>
      </c>
      <c r="B450" s="45" t="s">
        <v>3099</v>
      </c>
      <c r="C450" s="426" t="s">
        <v>28</v>
      </c>
      <c r="D450" s="45" t="s">
        <v>159</v>
      </c>
      <c r="E450" s="650">
        <v>275</v>
      </c>
      <c r="F450" s="45" t="s">
        <v>3100</v>
      </c>
      <c r="G450" s="45" t="s">
        <v>175</v>
      </c>
      <c r="H450" s="454"/>
    </row>
    <row r="451" spans="1:8" ht="13.5" customHeight="1" x14ac:dyDescent="0.35">
      <c r="A451" s="47">
        <v>43193</v>
      </c>
      <c r="B451" s="45" t="s">
        <v>1681</v>
      </c>
      <c r="C451" s="426" t="s">
        <v>1274</v>
      </c>
      <c r="D451" s="45" t="s">
        <v>159</v>
      </c>
      <c r="E451" s="650">
        <v>100</v>
      </c>
      <c r="F451" s="45" t="s">
        <v>467</v>
      </c>
      <c r="G451" s="45" t="s">
        <v>175</v>
      </c>
      <c r="H451" s="454"/>
    </row>
    <row r="452" spans="1:8" ht="13.5" customHeight="1" x14ac:dyDescent="0.35">
      <c r="A452" s="47">
        <v>43192</v>
      </c>
      <c r="B452" s="45" t="s">
        <v>784</v>
      </c>
      <c r="C452" s="426" t="s">
        <v>1274</v>
      </c>
      <c r="D452" s="45" t="s">
        <v>159</v>
      </c>
      <c r="E452" s="650">
        <v>820</v>
      </c>
      <c r="F452" s="45" t="s">
        <v>1531</v>
      </c>
      <c r="G452" s="45" t="s">
        <v>175</v>
      </c>
      <c r="H452" s="454"/>
    </row>
    <row r="453" spans="1:8" ht="13.5" customHeight="1" x14ac:dyDescent="0.35">
      <c r="A453" s="47">
        <v>43191</v>
      </c>
      <c r="B453" s="45" t="s">
        <v>2771</v>
      </c>
      <c r="C453" s="426" t="s">
        <v>1276</v>
      </c>
      <c r="D453" s="426" t="s">
        <v>161</v>
      </c>
      <c r="E453" s="567">
        <v>93.63</v>
      </c>
      <c r="F453" s="426" t="s">
        <v>1078</v>
      </c>
      <c r="G453" s="426" t="s">
        <v>175</v>
      </c>
      <c r="H453" s="454"/>
    </row>
    <row r="454" spans="1:8" ht="13.5" customHeight="1" x14ac:dyDescent="0.35">
      <c r="A454" s="47">
        <v>43191</v>
      </c>
      <c r="B454" s="45" t="s">
        <v>2772</v>
      </c>
      <c r="C454" s="426" t="s">
        <v>1278</v>
      </c>
      <c r="D454" s="426" t="s">
        <v>161</v>
      </c>
      <c r="E454" s="567">
        <v>80</v>
      </c>
      <c r="F454" s="426" t="s">
        <v>292</v>
      </c>
      <c r="G454" s="426" t="s">
        <v>175</v>
      </c>
      <c r="H454" s="454"/>
    </row>
    <row r="455" spans="1:8" ht="13.5" customHeight="1" x14ac:dyDescent="0.35">
      <c r="A455" s="47"/>
      <c r="B455" s="45"/>
      <c r="D455" s="45"/>
      <c r="E455" s="650"/>
      <c r="F455" s="45"/>
      <c r="G455" s="45"/>
      <c r="H455" s="454"/>
    </row>
    <row r="456" spans="1:8" ht="13.5" customHeight="1" x14ac:dyDescent="0.35">
      <c r="A456" s="47">
        <v>43188</v>
      </c>
      <c r="B456" s="45" t="s">
        <v>3101</v>
      </c>
      <c r="C456" s="426" t="s">
        <v>28</v>
      </c>
      <c r="D456" s="45" t="s">
        <v>162</v>
      </c>
      <c r="E456" s="650">
        <v>295</v>
      </c>
      <c r="F456" s="45" t="s">
        <v>1058</v>
      </c>
      <c r="G456" s="45" t="s">
        <v>175</v>
      </c>
      <c r="H456" s="454"/>
    </row>
    <row r="457" spans="1:8" ht="13.5" customHeight="1" x14ac:dyDescent="0.35">
      <c r="A457" s="47">
        <v>43188</v>
      </c>
      <c r="B457" s="45" t="s">
        <v>3102</v>
      </c>
      <c r="C457" s="426" t="s">
        <v>28</v>
      </c>
      <c r="D457" s="45" t="s">
        <v>159</v>
      </c>
      <c r="E457" s="650">
        <v>275</v>
      </c>
      <c r="F457" s="45" t="s">
        <v>1025</v>
      </c>
      <c r="G457" s="45" t="s">
        <v>174</v>
      </c>
      <c r="H457" s="454"/>
    </row>
    <row r="458" spans="1:8" ht="13.5" customHeight="1" x14ac:dyDescent="0.35">
      <c r="A458" s="47">
        <v>43188</v>
      </c>
      <c r="B458" s="45" t="s">
        <v>3103</v>
      </c>
      <c r="C458" s="426" t="s">
        <v>1274</v>
      </c>
      <c r="D458" s="45" t="s">
        <v>162</v>
      </c>
      <c r="E458" s="650">
        <v>260</v>
      </c>
      <c r="F458" s="45" t="s">
        <v>2977</v>
      </c>
      <c r="G458" s="45" t="s">
        <v>174</v>
      </c>
      <c r="H458" s="454"/>
    </row>
    <row r="459" spans="1:8" ht="13.5" customHeight="1" x14ac:dyDescent="0.35">
      <c r="A459" s="47">
        <v>43188</v>
      </c>
      <c r="B459" s="45" t="s">
        <v>3104</v>
      </c>
      <c r="C459" s="426" t="s">
        <v>28</v>
      </c>
      <c r="D459" s="45" t="s">
        <v>160</v>
      </c>
      <c r="E459" s="650">
        <v>175</v>
      </c>
      <c r="F459" s="45" t="s">
        <v>291</v>
      </c>
      <c r="G459" s="45" t="s">
        <v>175</v>
      </c>
      <c r="H459" s="454"/>
    </row>
    <row r="460" spans="1:8" ht="13.5" customHeight="1" x14ac:dyDescent="0.35">
      <c r="A460" s="47">
        <v>43186</v>
      </c>
      <c r="B460" s="45" t="s">
        <v>3105</v>
      </c>
      <c r="C460" s="426" t="s">
        <v>2525</v>
      </c>
      <c r="D460" s="45" t="s">
        <v>159</v>
      </c>
      <c r="E460" s="567">
        <v>300</v>
      </c>
      <c r="F460" s="45" t="s">
        <v>734</v>
      </c>
      <c r="G460" s="45" t="s">
        <v>174</v>
      </c>
      <c r="H460" s="454"/>
    </row>
    <row r="461" spans="1:8" ht="13.5" customHeight="1" x14ac:dyDescent="0.35">
      <c r="A461" s="47">
        <v>43182</v>
      </c>
      <c r="B461" s="45" t="s">
        <v>2716</v>
      </c>
      <c r="C461" s="426" t="s">
        <v>28</v>
      </c>
      <c r="D461" s="45" t="s">
        <v>159</v>
      </c>
      <c r="E461" s="650">
        <v>30</v>
      </c>
      <c r="F461" s="45" t="s">
        <v>1924</v>
      </c>
      <c r="G461" s="45" t="s">
        <v>174</v>
      </c>
      <c r="H461" s="454"/>
    </row>
    <row r="462" spans="1:8" ht="13.5" customHeight="1" x14ac:dyDescent="0.35">
      <c r="A462" s="47">
        <v>43186</v>
      </c>
      <c r="B462" s="45" t="s">
        <v>3106</v>
      </c>
      <c r="C462" s="426" t="s">
        <v>1274</v>
      </c>
      <c r="D462" s="45" t="s">
        <v>2297</v>
      </c>
      <c r="E462" s="650">
        <v>125</v>
      </c>
      <c r="F462" s="45" t="s">
        <v>3107</v>
      </c>
      <c r="G462" s="45" t="s">
        <v>174</v>
      </c>
      <c r="H462" s="454"/>
    </row>
    <row r="463" spans="1:8" ht="13.5" customHeight="1" x14ac:dyDescent="0.35">
      <c r="A463" s="47">
        <v>43185</v>
      </c>
      <c r="B463" s="45" t="s">
        <v>3108</v>
      </c>
      <c r="C463" s="426" t="s">
        <v>1278</v>
      </c>
      <c r="D463" s="45" t="s">
        <v>160</v>
      </c>
      <c r="E463" s="650">
        <v>20</v>
      </c>
      <c r="F463" s="45" t="s">
        <v>293</v>
      </c>
      <c r="G463" s="45" t="s">
        <v>174</v>
      </c>
      <c r="H463" s="454"/>
    </row>
    <row r="464" spans="1:8" ht="13.5" customHeight="1" x14ac:dyDescent="0.35">
      <c r="A464" s="47">
        <v>43185</v>
      </c>
      <c r="B464" s="45" t="s">
        <v>3109</v>
      </c>
      <c r="C464" s="426" t="s">
        <v>1274</v>
      </c>
      <c r="D464" s="45" t="s">
        <v>160</v>
      </c>
      <c r="E464" s="650">
        <v>125</v>
      </c>
      <c r="F464" s="45" t="s">
        <v>3107</v>
      </c>
      <c r="G464" s="45" t="s">
        <v>174</v>
      </c>
      <c r="H464" s="454"/>
    </row>
    <row r="465" spans="1:8" ht="13.5" customHeight="1" x14ac:dyDescent="0.35">
      <c r="A465" s="47">
        <v>43185</v>
      </c>
      <c r="B465" s="45" t="s">
        <v>2613</v>
      </c>
      <c r="C465" s="426" t="s">
        <v>1274</v>
      </c>
      <c r="D465" s="45" t="s">
        <v>166</v>
      </c>
      <c r="E465" s="650">
        <v>67.5</v>
      </c>
      <c r="F465" s="45" t="s">
        <v>3110</v>
      </c>
      <c r="G465" s="45" t="s">
        <v>175</v>
      </c>
      <c r="H465" s="454"/>
    </row>
    <row r="466" spans="1:8" ht="13.5" customHeight="1" x14ac:dyDescent="0.35">
      <c r="A466" s="47">
        <v>43185</v>
      </c>
      <c r="B466" s="45" t="s">
        <v>2613</v>
      </c>
      <c r="C466" s="426" t="s">
        <v>1274</v>
      </c>
      <c r="D466" s="45" t="s">
        <v>166</v>
      </c>
      <c r="E466" s="650">
        <v>67.5</v>
      </c>
      <c r="F466" s="45" t="s">
        <v>3111</v>
      </c>
      <c r="G466" s="45" t="s">
        <v>175</v>
      </c>
      <c r="H466" s="454"/>
    </row>
    <row r="467" spans="1:8" ht="13.5" customHeight="1" x14ac:dyDescent="0.35">
      <c r="A467" s="47">
        <v>43185</v>
      </c>
      <c r="B467" s="45" t="s">
        <v>2613</v>
      </c>
      <c r="C467" s="426" t="s">
        <v>1277</v>
      </c>
      <c r="D467" s="45" t="s">
        <v>166</v>
      </c>
      <c r="E467" s="650">
        <f>-67.5-67.5</f>
        <v>-135</v>
      </c>
      <c r="F467" s="45" t="s">
        <v>3020</v>
      </c>
      <c r="G467" s="45" t="s">
        <v>175</v>
      </c>
      <c r="H467" s="454"/>
    </row>
    <row r="468" spans="1:8" ht="13.5" customHeight="1" x14ac:dyDescent="0.35">
      <c r="A468" s="47">
        <v>43182</v>
      </c>
      <c r="B468" s="45" t="s">
        <v>3112</v>
      </c>
      <c r="C468" s="426" t="s">
        <v>1274</v>
      </c>
      <c r="D468" s="45" t="s">
        <v>160</v>
      </c>
      <c r="E468" s="650">
        <v>125</v>
      </c>
      <c r="F468" s="45" t="s">
        <v>3107</v>
      </c>
      <c r="G468" s="45" t="s">
        <v>177</v>
      </c>
      <c r="H468" s="454"/>
    </row>
    <row r="469" spans="1:8" ht="13.5" customHeight="1" x14ac:dyDescent="0.35">
      <c r="A469" s="47">
        <v>43182</v>
      </c>
      <c r="B469" s="45" t="s">
        <v>3113</v>
      </c>
      <c r="C469" s="426" t="s">
        <v>28</v>
      </c>
      <c r="D469" s="45" t="s">
        <v>162</v>
      </c>
      <c r="E469" s="650">
        <v>200</v>
      </c>
      <c r="F469" s="45" t="s">
        <v>1267</v>
      </c>
      <c r="G469" s="45" t="s">
        <v>1311</v>
      </c>
      <c r="H469" s="454"/>
    </row>
    <row r="470" spans="1:8" ht="13.5" customHeight="1" x14ac:dyDescent="0.35">
      <c r="A470" s="47">
        <v>43182</v>
      </c>
      <c r="B470" s="45" t="s">
        <v>1918</v>
      </c>
      <c r="C470" s="426" t="s">
        <v>28</v>
      </c>
      <c r="D470" s="45" t="s">
        <v>162</v>
      </c>
      <c r="E470" s="650">
        <v>200</v>
      </c>
      <c r="F470" s="45" t="s">
        <v>1025</v>
      </c>
      <c r="G470" s="45" t="s">
        <v>1311</v>
      </c>
      <c r="H470" s="454"/>
    </row>
    <row r="471" spans="1:8" ht="13.5" customHeight="1" x14ac:dyDescent="0.35">
      <c r="A471" s="47">
        <v>43182</v>
      </c>
      <c r="B471" s="45" t="s">
        <v>3114</v>
      </c>
      <c r="C471" s="426" t="s">
        <v>28</v>
      </c>
      <c r="D471" s="45" t="s">
        <v>159</v>
      </c>
      <c r="E471" s="650">
        <v>30</v>
      </c>
      <c r="F471" s="45" t="s">
        <v>1924</v>
      </c>
      <c r="G471" s="45" t="s">
        <v>174</v>
      </c>
      <c r="H471" s="454"/>
    </row>
    <row r="472" spans="1:8" ht="13.5" customHeight="1" x14ac:dyDescent="0.35">
      <c r="A472" s="47">
        <v>43181</v>
      </c>
      <c r="B472" s="45" t="s">
        <v>3115</v>
      </c>
      <c r="C472" s="426" t="s">
        <v>28</v>
      </c>
      <c r="D472" s="45" t="s">
        <v>159</v>
      </c>
      <c r="E472" s="650">
        <v>30</v>
      </c>
      <c r="F472" s="45" t="s">
        <v>1924</v>
      </c>
      <c r="G472" s="45" t="s">
        <v>174</v>
      </c>
      <c r="H472" s="454"/>
    </row>
    <row r="473" spans="1:8" ht="13.5" customHeight="1" x14ac:dyDescent="0.35">
      <c r="A473" s="47">
        <v>43181</v>
      </c>
      <c r="B473" s="45" t="s">
        <v>3115</v>
      </c>
      <c r="C473" s="426" t="s">
        <v>28</v>
      </c>
      <c r="D473" s="45" t="s">
        <v>159</v>
      </c>
      <c r="E473" s="650">
        <f>3.95+0.9</f>
        <v>4.8500000000000005</v>
      </c>
      <c r="F473" s="45" t="s">
        <v>1419</v>
      </c>
      <c r="G473" s="45" t="s">
        <v>174</v>
      </c>
      <c r="H473" s="454"/>
    </row>
    <row r="474" spans="1:8" ht="13.5" customHeight="1" x14ac:dyDescent="0.35">
      <c r="A474" s="47">
        <v>43181</v>
      </c>
      <c r="B474" s="45" t="s">
        <v>2577</v>
      </c>
      <c r="C474" s="426" t="s">
        <v>1274</v>
      </c>
      <c r="D474" s="45" t="s">
        <v>159</v>
      </c>
      <c r="E474" s="650">
        <v>75</v>
      </c>
      <c r="F474" s="45" t="s">
        <v>472</v>
      </c>
      <c r="G474" s="45" t="s">
        <v>174</v>
      </c>
      <c r="H474" s="454"/>
    </row>
    <row r="475" spans="1:8" ht="13.5" customHeight="1" x14ac:dyDescent="0.35">
      <c r="A475" s="47">
        <v>43177</v>
      </c>
      <c r="B475" s="45" t="s">
        <v>3116</v>
      </c>
      <c r="C475" s="426" t="s">
        <v>2525</v>
      </c>
      <c r="D475" s="45" t="s">
        <v>162</v>
      </c>
      <c r="E475" s="650">
        <v>296.2</v>
      </c>
      <c r="F475" s="45" t="s">
        <v>87</v>
      </c>
      <c r="G475" s="45" t="s">
        <v>181</v>
      </c>
      <c r="H475" s="454"/>
    </row>
    <row r="476" spans="1:8" ht="13.5" customHeight="1" x14ac:dyDescent="0.35">
      <c r="A476" s="47">
        <v>43174</v>
      </c>
      <c r="B476" s="45" t="s">
        <v>1882</v>
      </c>
      <c r="C476" s="426" t="s">
        <v>28</v>
      </c>
      <c r="D476" s="45" t="s">
        <v>162</v>
      </c>
      <c r="E476" s="650">
        <v>200</v>
      </c>
      <c r="F476" s="45" t="s">
        <v>3117</v>
      </c>
      <c r="G476" s="45" t="s">
        <v>1311</v>
      </c>
      <c r="H476" s="454"/>
    </row>
    <row r="477" spans="1:8" ht="13.5" customHeight="1" x14ac:dyDescent="0.35">
      <c r="A477" s="47">
        <v>43173</v>
      </c>
      <c r="B477" s="45" t="s">
        <v>3118</v>
      </c>
      <c r="C477" s="426" t="s">
        <v>28</v>
      </c>
      <c r="D477" s="45" t="s">
        <v>163</v>
      </c>
      <c r="E477" s="650">
        <v>13</v>
      </c>
      <c r="F477" s="45" t="s">
        <v>1924</v>
      </c>
      <c r="G477" s="45" t="s">
        <v>163</v>
      </c>
      <c r="H477" s="454"/>
    </row>
    <row r="478" spans="1:8" ht="13.5" customHeight="1" x14ac:dyDescent="0.35">
      <c r="A478" s="47">
        <v>43173</v>
      </c>
      <c r="B478" s="45" t="s">
        <v>2424</v>
      </c>
      <c r="C478" s="426" t="s">
        <v>2525</v>
      </c>
      <c r="D478" s="45" t="s">
        <v>159</v>
      </c>
      <c r="E478" s="650">
        <v>30</v>
      </c>
      <c r="F478" s="45" t="s">
        <v>3119</v>
      </c>
      <c r="G478" s="45" t="s">
        <v>175</v>
      </c>
      <c r="H478" s="454"/>
    </row>
    <row r="479" spans="1:8" ht="13.5" customHeight="1" x14ac:dyDescent="0.35">
      <c r="A479" s="47">
        <v>43172</v>
      </c>
      <c r="B479" s="45" t="s">
        <v>1776</v>
      </c>
      <c r="C479" s="426" t="s">
        <v>2525</v>
      </c>
      <c r="D479" s="45" t="s">
        <v>160</v>
      </c>
      <c r="E479" s="650">
        <v>30</v>
      </c>
      <c r="F479" s="45" t="s">
        <v>3119</v>
      </c>
      <c r="G479" s="45" t="s">
        <v>175</v>
      </c>
      <c r="H479" s="454"/>
    </row>
    <row r="480" spans="1:8" ht="13.5" customHeight="1" x14ac:dyDescent="0.35">
      <c r="A480" s="47">
        <v>43172</v>
      </c>
      <c r="B480" s="45" t="s">
        <v>1862</v>
      </c>
      <c r="C480" s="426" t="s">
        <v>28</v>
      </c>
      <c r="D480" s="45" t="s">
        <v>162</v>
      </c>
      <c r="E480" s="567">
        <v>200</v>
      </c>
      <c r="F480" s="45" t="s">
        <v>3117</v>
      </c>
      <c r="G480" s="45" t="s">
        <v>1311</v>
      </c>
      <c r="H480" s="454"/>
    </row>
    <row r="481" spans="1:8" ht="13.5" customHeight="1" x14ac:dyDescent="0.35">
      <c r="A481" s="47">
        <v>43172</v>
      </c>
      <c r="B481" s="45" t="s">
        <v>1910</v>
      </c>
      <c r="C481" s="426" t="s">
        <v>28</v>
      </c>
      <c r="D481" s="45" t="s">
        <v>162</v>
      </c>
      <c r="E481" s="567">
        <v>200</v>
      </c>
      <c r="F481" s="45" t="s">
        <v>1071</v>
      </c>
      <c r="G481" s="45" t="s">
        <v>1311</v>
      </c>
      <c r="H481" s="454"/>
    </row>
    <row r="482" spans="1:8" ht="13.5" customHeight="1" x14ac:dyDescent="0.35">
      <c r="A482" s="47">
        <v>43172</v>
      </c>
      <c r="B482" s="45" t="s">
        <v>3120</v>
      </c>
      <c r="C482" s="426" t="s">
        <v>28</v>
      </c>
      <c r="D482" s="45" t="s">
        <v>162</v>
      </c>
      <c r="E482" s="567">
        <v>200</v>
      </c>
      <c r="F482" s="45" t="s">
        <v>3117</v>
      </c>
      <c r="G482" s="45" t="s">
        <v>1311</v>
      </c>
      <c r="H482" s="454"/>
    </row>
    <row r="483" spans="1:8" ht="13.5" customHeight="1" x14ac:dyDescent="0.35">
      <c r="A483" s="47">
        <v>43171</v>
      </c>
      <c r="B483" s="45" t="s">
        <v>3121</v>
      </c>
      <c r="C483" s="426" t="s">
        <v>2525</v>
      </c>
      <c r="D483" s="45" t="s">
        <v>159</v>
      </c>
      <c r="E483" s="567">
        <v>50</v>
      </c>
      <c r="F483" s="45" t="s">
        <v>734</v>
      </c>
      <c r="G483" s="45" t="s">
        <v>174</v>
      </c>
      <c r="H483" s="454"/>
    </row>
    <row r="484" spans="1:8" ht="13.5" customHeight="1" x14ac:dyDescent="0.35">
      <c r="A484" s="47">
        <v>43171</v>
      </c>
      <c r="B484" s="45" t="s">
        <v>3122</v>
      </c>
      <c r="C484" s="426" t="s">
        <v>1274</v>
      </c>
      <c r="D484" s="45" t="s">
        <v>159</v>
      </c>
      <c r="E484" s="650">
        <v>125</v>
      </c>
      <c r="F484" s="45" t="s">
        <v>230</v>
      </c>
      <c r="G484" s="45" t="s">
        <v>181</v>
      </c>
      <c r="H484" s="454"/>
    </row>
    <row r="485" spans="1:8" ht="13.5" customHeight="1" x14ac:dyDescent="0.35">
      <c r="A485" s="47">
        <v>43171</v>
      </c>
      <c r="B485" s="45" t="s">
        <v>1675</v>
      </c>
      <c r="C485" s="426" t="s">
        <v>1274</v>
      </c>
      <c r="D485" s="45" t="s">
        <v>159</v>
      </c>
      <c r="E485" s="650">
        <v>125</v>
      </c>
      <c r="F485" s="45" t="s">
        <v>230</v>
      </c>
      <c r="G485" s="45" t="s">
        <v>179</v>
      </c>
      <c r="H485" s="613"/>
    </row>
    <row r="486" spans="1:8" ht="13.5" customHeight="1" x14ac:dyDescent="0.35">
      <c r="A486" s="47">
        <v>43168</v>
      </c>
      <c r="B486" s="45" t="s">
        <v>3123</v>
      </c>
      <c r="C486" s="426" t="s">
        <v>28</v>
      </c>
      <c r="D486" s="45" t="s">
        <v>159</v>
      </c>
      <c r="E486" s="650">
        <v>30</v>
      </c>
      <c r="F486" s="45" t="s">
        <v>1924</v>
      </c>
      <c r="G486" s="45" t="s">
        <v>174</v>
      </c>
      <c r="H486" s="454"/>
    </row>
    <row r="487" spans="1:8" ht="13.5" customHeight="1" x14ac:dyDescent="0.35">
      <c r="A487" s="47">
        <v>43168</v>
      </c>
      <c r="B487" s="45" t="s">
        <v>3124</v>
      </c>
      <c r="C487" s="426" t="s">
        <v>1274</v>
      </c>
      <c r="D487" s="45" t="s">
        <v>159</v>
      </c>
      <c r="E487" s="650">
        <v>125</v>
      </c>
      <c r="F487" s="45" t="s">
        <v>230</v>
      </c>
      <c r="G487" s="45" t="s">
        <v>179</v>
      </c>
      <c r="H487" s="613"/>
    </row>
    <row r="488" spans="1:8" ht="13.5" customHeight="1" x14ac:dyDescent="0.35">
      <c r="A488" s="47">
        <v>43167</v>
      </c>
      <c r="B488" s="45" t="s">
        <v>732</v>
      </c>
      <c r="C488" s="426" t="s">
        <v>1279</v>
      </c>
      <c r="D488" s="45" t="s">
        <v>159</v>
      </c>
      <c r="E488" s="650">
        <v>120</v>
      </c>
      <c r="F488" s="48" t="s">
        <v>941</v>
      </c>
      <c r="G488" s="45" t="s">
        <v>175</v>
      </c>
      <c r="H488" s="454"/>
    </row>
    <row r="489" spans="1:8" ht="13.5" customHeight="1" x14ac:dyDescent="0.35">
      <c r="A489" s="47">
        <v>43167</v>
      </c>
      <c r="B489" s="45" t="s">
        <v>732</v>
      </c>
      <c r="C489" s="426" t="s">
        <v>1274</v>
      </c>
      <c r="D489" s="45" t="s">
        <v>159</v>
      </c>
      <c r="E489" s="650">
        <v>125</v>
      </c>
      <c r="F489" s="45" t="s">
        <v>230</v>
      </c>
      <c r="G489" s="45" t="s">
        <v>175</v>
      </c>
      <c r="H489" s="454"/>
    </row>
    <row r="490" spans="1:8" ht="13.5" customHeight="1" x14ac:dyDescent="0.35">
      <c r="A490" s="47">
        <v>43167</v>
      </c>
      <c r="B490" s="45" t="s">
        <v>3001</v>
      </c>
      <c r="C490" s="426" t="s">
        <v>28</v>
      </c>
      <c r="D490" s="45" t="s">
        <v>166</v>
      </c>
      <c r="E490" s="650">
        <v>42.5</v>
      </c>
      <c r="F490" s="45" t="s">
        <v>2800</v>
      </c>
      <c r="G490" s="45" t="s">
        <v>175</v>
      </c>
      <c r="H490" s="454"/>
    </row>
    <row r="491" spans="1:8" ht="13.5" customHeight="1" x14ac:dyDescent="0.35">
      <c r="A491" s="47">
        <v>43167</v>
      </c>
      <c r="B491" s="45" t="s">
        <v>3001</v>
      </c>
      <c r="C491" s="426" t="s">
        <v>1274</v>
      </c>
      <c r="D491" s="45" t="s">
        <v>166</v>
      </c>
      <c r="E491" s="650">
        <v>63.75</v>
      </c>
      <c r="F491" s="45" t="s">
        <v>3111</v>
      </c>
      <c r="G491" s="45" t="s">
        <v>175</v>
      </c>
      <c r="H491" s="454"/>
    </row>
    <row r="492" spans="1:8" ht="13.5" customHeight="1" x14ac:dyDescent="0.35">
      <c r="A492" s="47">
        <v>43167</v>
      </c>
      <c r="B492" s="45" t="s">
        <v>3001</v>
      </c>
      <c r="C492" s="426" t="s">
        <v>1274</v>
      </c>
      <c r="D492" s="45" t="s">
        <v>166</v>
      </c>
      <c r="E492" s="650">
        <v>63.75</v>
      </c>
      <c r="F492" s="45" t="s">
        <v>3125</v>
      </c>
      <c r="G492" s="45" t="s">
        <v>175</v>
      </c>
      <c r="H492" s="454"/>
    </row>
    <row r="493" spans="1:8" ht="13.5" customHeight="1" x14ac:dyDescent="0.35">
      <c r="A493" s="47">
        <v>43167</v>
      </c>
      <c r="B493" s="45" t="s">
        <v>3001</v>
      </c>
      <c r="C493" s="426" t="s">
        <v>1277</v>
      </c>
      <c r="D493" s="45" t="s">
        <v>166</v>
      </c>
      <c r="E493" s="650">
        <v>-170</v>
      </c>
      <c r="F493" s="45" t="s">
        <v>3020</v>
      </c>
      <c r="G493" s="45" t="s">
        <v>175</v>
      </c>
      <c r="H493" s="454"/>
    </row>
    <row r="494" spans="1:8" ht="13.5" customHeight="1" x14ac:dyDescent="0.35">
      <c r="A494" s="47">
        <v>43167</v>
      </c>
      <c r="B494" s="45" t="s">
        <v>3002</v>
      </c>
      <c r="C494" s="426" t="s">
        <v>1274</v>
      </c>
      <c r="D494" s="45" t="s">
        <v>162</v>
      </c>
      <c r="E494" s="650">
        <v>100</v>
      </c>
      <c r="F494" s="45" t="s">
        <v>492</v>
      </c>
      <c r="G494" s="45" t="s">
        <v>175</v>
      </c>
      <c r="H494" s="454"/>
    </row>
    <row r="495" spans="1:8" ht="13.5" customHeight="1" x14ac:dyDescent="0.35">
      <c r="A495" s="47">
        <v>43167</v>
      </c>
      <c r="B495" s="45" t="s">
        <v>3002</v>
      </c>
      <c r="C495" s="426" t="s">
        <v>2525</v>
      </c>
      <c r="D495" s="45" t="s">
        <v>162</v>
      </c>
      <c r="E495" s="650">
        <v>30</v>
      </c>
      <c r="F495" s="45" t="s">
        <v>3119</v>
      </c>
      <c r="G495" s="45" t="s">
        <v>175</v>
      </c>
      <c r="H495" s="454"/>
    </row>
    <row r="496" spans="1:8" ht="13.5" customHeight="1" x14ac:dyDescent="0.35">
      <c r="A496" s="47">
        <v>43167</v>
      </c>
      <c r="B496" s="45" t="s">
        <v>2920</v>
      </c>
      <c r="C496" s="426" t="s">
        <v>2525</v>
      </c>
      <c r="D496" s="45" t="s">
        <v>159</v>
      </c>
      <c r="E496" s="650">
        <v>30</v>
      </c>
      <c r="F496" s="45" t="s">
        <v>3119</v>
      </c>
      <c r="G496" s="45" t="s">
        <v>175</v>
      </c>
      <c r="H496" s="454"/>
    </row>
    <row r="497" spans="1:8" ht="13.5" customHeight="1" x14ac:dyDescent="0.35">
      <c r="A497" s="47">
        <v>43167</v>
      </c>
      <c r="B497" s="45" t="s">
        <v>3126</v>
      </c>
      <c r="C497" s="426" t="s">
        <v>28</v>
      </c>
      <c r="D497" s="45" t="s">
        <v>159</v>
      </c>
      <c r="E497" s="650">
        <v>100</v>
      </c>
      <c r="F497" s="45" t="s">
        <v>2743</v>
      </c>
      <c r="G497" s="45" t="s">
        <v>175</v>
      </c>
      <c r="H497" s="454"/>
    </row>
    <row r="498" spans="1:8" ht="13.5" customHeight="1" x14ac:dyDescent="0.35">
      <c r="A498" s="47">
        <v>43166</v>
      </c>
      <c r="B498" s="45" t="s">
        <v>3127</v>
      </c>
      <c r="C498" s="426" t="s">
        <v>1278</v>
      </c>
      <c r="D498" s="45" t="s">
        <v>160</v>
      </c>
      <c r="E498" s="650">
        <v>20</v>
      </c>
      <c r="F498" s="45" t="s">
        <v>293</v>
      </c>
      <c r="G498" s="45" t="s">
        <v>174</v>
      </c>
      <c r="H498" s="454"/>
    </row>
    <row r="499" spans="1:8" ht="13.5" customHeight="1" x14ac:dyDescent="0.35">
      <c r="A499" s="47">
        <v>43166</v>
      </c>
      <c r="B499" s="45" t="s">
        <v>3128</v>
      </c>
      <c r="C499" s="426" t="s">
        <v>2525</v>
      </c>
      <c r="D499" s="45" t="s">
        <v>160</v>
      </c>
      <c r="E499" s="650">
        <v>30</v>
      </c>
      <c r="F499" s="45" t="s">
        <v>3119</v>
      </c>
      <c r="G499" s="45" t="s">
        <v>175</v>
      </c>
      <c r="H499" s="454"/>
    </row>
    <row r="500" spans="1:8" ht="13.5" customHeight="1" x14ac:dyDescent="0.35">
      <c r="A500" s="47">
        <v>43166</v>
      </c>
      <c r="B500" s="45" t="s">
        <v>3129</v>
      </c>
      <c r="C500" s="426" t="s">
        <v>2525</v>
      </c>
      <c r="D500" s="45" t="s">
        <v>159</v>
      </c>
      <c r="E500" s="567">
        <v>150</v>
      </c>
      <c r="F500" s="45" t="s">
        <v>734</v>
      </c>
      <c r="G500" s="45" t="s">
        <v>174</v>
      </c>
      <c r="H500" s="454"/>
    </row>
    <row r="501" spans="1:8" ht="13.5" customHeight="1" x14ac:dyDescent="0.35">
      <c r="A501" s="47">
        <v>43166</v>
      </c>
      <c r="B501" s="45" t="s">
        <v>3130</v>
      </c>
      <c r="C501" s="426" t="s">
        <v>2525</v>
      </c>
      <c r="D501" s="45" t="s">
        <v>159</v>
      </c>
      <c r="E501" s="650">
        <v>30</v>
      </c>
      <c r="F501" s="45" t="s">
        <v>3119</v>
      </c>
      <c r="G501" s="45" t="s">
        <v>175</v>
      </c>
      <c r="H501" s="454"/>
    </row>
    <row r="502" spans="1:8" ht="13.5" customHeight="1" x14ac:dyDescent="0.35">
      <c r="A502" s="47">
        <v>43166</v>
      </c>
      <c r="B502" s="45" t="s">
        <v>3131</v>
      </c>
      <c r="C502" s="426" t="s">
        <v>28</v>
      </c>
      <c r="D502" s="45" t="s">
        <v>163</v>
      </c>
      <c r="E502" s="650">
        <v>13</v>
      </c>
      <c r="F502" s="45" t="s">
        <v>1924</v>
      </c>
      <c r="G502" s="45" t="s">
        <v>163</v>
      </c>
      <c r="H502" s="454"/>
    </row>
    <row r="503" spans="1:8" ht="13.5" customHeight="1" x14ac:dyDescent="0.35">
      <c r="A503" s="47">
        <v>43165</v>
      </c>
      <c r="B503" s="45" t="s">
        <v>2205</v>
      </c>
      <c r="C503" s="426" t="s">
        <v>1274</v>
      </c>
      <c r="D503" s="45" t="s">
        <v>166</v>
      </c>
      <c r="E503" s="650">
        <v>580</v>
      </c>
      <c r="F503" s="45" t="s">
        <v>492</v>
      </c>
      <c r="G503" s="45" t="s">
        <v>175</v>
      </c>
      <c r="H503" s="454"/>
    </row>
    <row r="504" spans="1:8" ht="13.5" customHeight="1" x14ac:dyDescent="0.35">
      <c r="A504" s="47">
        <v>43165</v>
      </c>
      <c r="B504" s="45" t="s">
        <v>2205</v>
      </c>
      <c r="C504" s="426" t="s">
        <v>1277</v>
      </c>
      <c r="D504" s="45" t="s">
        <v>166</v>
      </c>
      <c r="E504" s="650">
        <v>-580</v>
      </c>
      <c r="F504" s="45" t="s">
        <v>3020</v>
      </c>
      <c r="G504" s="45" t="s">
        <v>175</v>
      </c>
      <c r="H504" s="454"/>
    </row>
    <row r="505" spans="1:8" ht="13.5" customHeight="1" x14ac:dyDescent="0.35">
      <c r="A505" s="47">
        <v>43165</v>
      </c>
      <c r="B505" s="45" t="s">
        <v>3132</v>
      </c>
      <c r="C505" s="426" t="s">
        <v>1274</v>
      </c>
      <c r="D505" s="45" t="s">
        <v>159</v>
      </c>
      <c r="E505" s="650">
        <v>175</v>
      </c>
      <c r="F505" s="45" t="s">
        <v>1000</v>
      </c>
      <c r="G505" s="45" t="s">
        <v>174</v>
      </c>
      <c r="H505" s="454"/>
    </row>
    <row r="506" spans="1:8" ht="13.5" customHeight="1" x14ac:dyDescent="0.35">
      <c r="A506" s="47">
        <v>43164</v>
      </c>
      <c r="B506" s="45" t="s">
        <v>1429</v>
      </c>
      <c r="C506" s="426" t="s">
        <v>28</v>
      </c>
      <c r="D506" s="45" t="s">
        <v>159</v>
      </c>
      <c r="E506" s="650">
        <v>50</v>
      </c>
      <c r="F506" s="45" t="s">
        <v>2808</v>
      </c>
      <c r="G506" s="45" t="s">
        <v>175</v>
      </c>
      <c r="H506" s="454"/>
    </row>
    <row r="507" spans="1:8" ht="13.5" customHeight="1" x14ac:dyDescent="0.35">
      <c r="A507" s="47">
        <v>43163</v>
      </c>
      <c r="B507" s="45" t="s">
        <v>2137</v>
      </c>
      <c r="C507" s="426" t="s">
        <v>2525</v>
      </c>
      <c r="D507" s="45" t="s">
        <v>160</v>
      </c>
      <c r="E507" s="650">
        <v>30</v>
      </c>
      <c r="F507" s="45" t="s">
        <v>3119</v>
      </c>
      <c r="G507" s="45" t="s">
        <v>175</v>
      </c>
      <c r="H507" s="454"/>
    </row>
    <row r="508" spans="1:8" ht="13.5" customHeight="1" x14ac:dyDescent="0.35">
      <c r="A508" s="47">
        <v>43163</v>
      </c>
      <c r="B508" s="45" t="s">
        <v>1187</v>
      </c>
      <c r="C508" s="426" t="s">
        <v>1274</v>
      </c>
      <c r="D508" s="45" t="s">
        <v>162</v>
      </c>
      <c r="E508" s="650">
        <v>1320</v>
      </c>
      <c r="F508" s="45" t="s">
        <v>475</v>
      </c>
      <c r="G508" s="45" t="s">
        <v>175</v>
      </c>
      <c r="H508" s="454"/>
    </row>
    <row r="509" spans="1:8" ht="13.5" customHeight="1" x14ac:dyDescent="0.35">
      <c r="A509" s="47">
        <v>43163</v>
      </c>
      <c r="B509" s="45" t="s">
        <v>3133</v>
      </c>
      <c r="C509" s="426" t="s">
        <v>1274</v>
      </c>
      <c r="D509" s="45" t="s">
        <v>160</v>
      </c>
      <c r="E509" s="650">
        <v>65</v>
      </c>
      <c r="F509" s="45" t="s">
        <v>3134</v>
      </c>
      <c r="G509" s="45" t="s">
        <v>174</v>
      </c>
      <c r="H509" s="454"/>
    </row>
    <row r="510" spans="1:8" ht="13.5" customHeight="1" x14ac:dyDescent="0.35">
      <c r="A510" s="47">
        <v>43163</v>
      </c>
      <c r="B510" s="45" t="s">
        <v>2443</v>
      </c>
      <c r="C510" s="426" t="s">
        <v>2525</v>
      </c>
      <c r="D510" s="45" t="s">
        <v>160</v>
      </c>
      <c r="E510" s="650">
        <v>30</v>
      </c>
      <c r="F510" s="45" t="s">
        <v>3119</v>
      </c>
      <c r="G510" s="45" t="s">
        <v>175</v>
      </c>
      <c r="H510" s="454"/>
    </row>
    <row r="511" spans="1:8" ht="13.5" customHeight="1" x14ac:dyDescent="0.35">
      <c r="A511" s="47">
        <v>43163</v>
      </c>
      <c r="B511" s="45" t="s">
        <v>3135</v>
      </c>
      <c r="C511" s="426" t="s">
        <v>2525</v>
      </c>
      <c r="D511" s="45" t="s">
        <v>160</v>
      </c>
      <c r="E511" s="650">
        <v>30</v>
      </c>
      <c r="F511" s="45" t="s">
        <v>3119</v>
      </c>
      <c r="G511" s="45" t="s">
        <v>175</v>
      </c>
      <c r="H511" s="454"/>
    </row>
    <row r="512" spans="1:8" ht="13.5" customHeight="1" x14ac:dyDescent="0.35">
      <c r="A512" s="47">
        <v>43162</v>
      </c>
      <c r="B512" s="45" t="s">
        <v>3136</v>
      </c>
      <c r="C512" s="426" t="s">
        <v>28</v>
      </c>
      <c r="D512" s="45" t="s">
        <v>161</v>
      </c>
      <c r="E512" s="650">
        <v>0</v>
      </c>
      <c r="F512" s="45" t="s">
        <v>1924</v>
      </c>
      <c r="G512" s="45" t="s">
        <v>181</v>
      </c>
      <c r="H512" s="613" t="s">
        <v>209</v>
      </c>
    </row>
    <row r="513" spans="1:8" ht="13.5" customHeight="1" x14ac:dyDescent="0.35">
      <c r="A513" s="47">
        <v>43161</v>
      </c>
      <c r="B513" s="45" t="s">
        <v>2385</v>
      </c>
      <c r="C513" s="426" t="s">
        <v>2525</v>
      </c>
      <c r="D513" s="45" t="s">
        <v>160</v>
      </c>
      <c r="E513" s="650">
        <v>30</v>
      </c>
      <c r="F513" s="45" t="s">
        <v>3119</v>
      </c>
      <c r="G513" s="45" t="s">
        <v>175</v>
      </c>
      <c r="H513" s="454"/>
    </row>
    <row r="514" spans="1:8" ht="13.5" customHeight="1" x14ac:dyDescent="0.35">
      <c r="A514" s="47">
        <v>43162</v>
      </c>
      <c r="B514" s="45" t="s">
        <v>3137</v>
      </c>
      <c r="C514" s="426" t="s">
        <v>1274</v>
      </c>
      <c r="D514" s="45" t="s">
        <v>159</v>
      </c>
      <c r="E514" s="650">
        <v>150</v>
      </c>
      <c r="F514" s="45" t="s">
        <v>2162</v>
      </c>
      <c r="G514" s="45" t="s">
        <v>179</v>
      </c>
      <c r="H514" s="613"/>
    </row>
    <row r="515" spans="1:8" ht="13.5" customHeight="1" x14ac:dyDescent="0.35">
      <c r="A515" s="47">
        <v>43162</v>
      </c>
      <c r="B515" s="45" t="s">
        <v>3138</v>
      </c>
      <c r="C515" s="426" t="s">
        <v>28</v>
      </c>
      <c r="D515" s="45" t="s">
        <v>162</v>
      </c>
      <c r="E515" s="650">
        <v>195</v>
      </c>
      <c r="F515" s="45" t="s">
        <v>1058</v>
      </c>
      <c r="G515" s="45" t="s">
        <v>175</v>
      </c>
      <c r="H515" s="454"/>
    </row>
    <row r="516" spans="1:8" ht="13.5" customHeight="1" x14ac:dyDescent="0.35">
      <c r="A516" s="47">
        <v>43160</v>
      </c>
      <c r="B516" s="45" t="s">
        <v>3139</v>
      </c>
      <c r="C516" s="426" t="s">
        <v>1274</v>
      </c>
      <c r="D516" s="45" t="s">
        <v>159</v>
      </c>
      <c r="E516" s="650">
        <v>130</v>
      </c>
      <c r="F516" s="45" t="s">
        <v>3134</v>
      </c>
      <c r="G516" s="45" t="s">
        <v>177</v>
      </c>
      <c r="H516" s="454"/>
    </row>
    <row r="517" spans="1:8" ht="13.5" customHeight="1" x14ac:dyDescent="0.35">
      <c r="A517" s="47">
        <v>43160</v>
      </c>
      <c r="B517" s="45" t="s">
        <v>2796</v>
      </c>
      <c r="C517" s="426" t="s">
        <v>1276</v>
      </c>
      <c r="D517" s="426" t="s">
        <v>161</v>
      </c>
      <c r="E517" s="567">
        <v>268</v>
      </c>
      <c r="F517" s="426" t="s">
        <v>1078</v>
      </c>
      <c r="G517" s="426" t="s">
        <v>175</v>
      </c>
      <c r="H517" s="454"/>
    </row>
    <row r="518" spans="1:8" ht="13.5" customHeight="1" x14ac:dyDescent="0.35">
      <c r="A518" s="47">
        <v>43160</v>
      </c>
      <c r="B518" s="45" t="s">
        <v>2797</v>
      </c>
      <c r="C518" s="426" t="s">
        <v>1278</v>
      </c>
      <c r="D518" s="426" t="s">
        <v>161</v>
      </c>
      <c r="E518" s="567">
        <v>40</v>
      </c>
      <c r="F518" s="426" t="s">
        <v>292</v>
      </c>
      <c r="G518" s="426" t="s">
        <v>175</v>
      </c>
      <c r="H518" s="454"/>
    </row>
    <row r="519" spans="1:8" ht="13.5" customHeight="1" x14ac:dyDescent="0.35">
      <c r="A519" s="47"/>
      <c r="B519" s="45"/>
      <c r="D519" s="45"/>
      <c r="E519" s="650"/>
      <c r="F519" s="45"/>
      <c r="G519" s="45"/>
      <c r="H519" s="454"/>
    </row>
    <row r="520" spans="1:8" ht="13.5" customHeight="1" x14ac:dyDescent="0.35">
      <c r="A520" s="47">
        <v>43159</v>
      </c>
      <c r="B520" s="45" t="s">
        <v>2905</v>
      </c>
      <c r="C520" s="426" t="s">
        <v>1274</v>
      </c>
      <c r="D520" s="45" t="s">
        <v>159</v>
      </c>
      <c r="E520" s="650">
        <v>100</v>
      </c>
      <c r="F520" s="45" t="s">
        <v>500</v>
      </c>
      <c r="G520" s="45" t="s">
        <v>175</v>
      </c>
      <c r="H520" s="454"/>
    </row>
    <row r="521" spans="1:8" ht="13.5" customHeight="1" x14ac:dyDescent="0.35">
      <c r="A521" s="47">
        <v>43159</v>
      </c>
      <c r="B521" s="45" t="s">
        <v>732</v>
      </c>
      <c r="C521" s="426" t="s">
        <v>28</v>
      </c>
      <c r="D521" s="45" t="s">
        <v>159</v>
      </c>
      <c r="E521" s="650">
        <v>395</v>
      </c>
      <c r="F521" s="45" t="s">
        <v>1058</v>
      </c>
      <c r="G521" s="45" t="s">
        <v>175</v>
      </c>
      <c r="H521" s="454"/>
    </row>
    <row r="522" spans="1:8" ht="13.5" customHeight="1" x14ac:dyDescent="0.35">
      <c r="A522" s="47">
        <v>43159</v>
      </c>
      <c r="B522" s="45" t="s">
        <v>2905</v>
      </c>
      <c r="C522" s="426" t="s">
        <v>1274</v>
      </c>
      <c r="D522" s="45" t="s">
        <v>159</v>
      </c>
      <c r="E522" s="650">
        <v>65</v>
      </c>
      <c r="F522" s="45" t="s">
        <v>3134</v>
      </c>
      <c r="G522" s="45" t="s">
        <v>175</v>
      </c>
      <c r="H522" s="454"/>
    </row>
    <row r="523" spans="1:8" ht="13.5" customHeight="1" x14ac:dyDescent="0.35">
      <c r="A523" s="47">
        <v>43158</v>
      </c>
      <c r="B523" s="45" t="s">
        <v>3140</v>
      </c>
      <c r="C523" s="426" t="s">
        <v>28</v>
      </c>
      <c r="D523" s="45" t="s">
        <v>162</v>
      </c>
      <c r="E523" s="650">
        <v>200</v>
      </c>
      <c r="F523" s="45" t="s">
        <v>1775</v>
      </c>
      <c r="G523" s="45" t="s">
        <v>1311</v>
      </c>
      <c r="H523" s="454"/>
    </row>
    <row r="524" spans="1:8" ht="13.5" customHeight="1" x14ac:dyDescent="0.35">
      <c r="A524" s="47">
        <v>43157</v>
      </c>
      <c r="B524" s="45" t="s">
        <v>2871</v>
      </c>
      <c r="C524" s="426" t="s">
        <v>1274</v>
      </c>
      <c r="D524" s="45" t="s">
        <v>159</v>
      </c>
      <c r="E524" s="650">
        <v>125</v>
      </c>
      <c r="F524" s="45" t="s">
        <v>230</v>
      </c>
      <c r="G524" s="45" t="s">
        <v>175</v>
      </c>
      <c r="H524" s="454"/>
    </row>
    <row r="525" spans="1:8" ht="13.5" customHeight="1" x14ac:dyDescent="0.35">
      <c r="A525" s="47">
        <v>43157</v>
      </c>
      <c r="B525" s="45" t="s">
        <v>3101</v>
      </c>
      <c r="C525" s="426" t="s">
        <v>28</v>
      </c>
      <c r="D525" s="45" t="s">
        <v>162</v>
      </c>
      <c r="E525" s="650">
        <v>100</v>
      </c>
      <c r="F525" s="45" t="s">
        <v>1058</v>
      </c>
      <c r="G525" s="45" t="s">
        <v>175</v>
      </c>
      <c r="H525" s="454"/>
    </row>
    <row r="526" spans="1:8" ht="13.5" customHeight="1" x14ac:dyDescent="0.35">
      <c r="A526" s="47">
        <v>43155</v>
      </c>
      <c r="B526" s="45" t="s">
        <v>3141</v>
      </c>
      <c r="C526" s="426" t="s">
        <v>1274</v>
      </c>
      <c r="D526" s="45" t="s">
        <v>159</v>
      </c>
      <c r="E526" s="650">
        <v>125</v>
      </c>
      <c r="F526" s="45" t="s">
        <v>230</v>
      </c>
      <c r="G526" s="45" t="s">
        <v>179</v>
      </c>
      <c r="H526" s="613"/>
    </row>
    <row r="527" spans="1:8" ht="13.5" customHeight="1" x14ac:dyDescent="0.35">
      <c r="A527" s="47">
        <v>43155</v>
      </c>
      <c r="B527" s="45" t="s">
        <v>3142</v>
      </c>
      <c r="C527" s="426" t="s">
        <v>28</v>
      </c>
      <c r="D527" s="45" t="s">
        <v>159</v>
      </c>
      <c r="E527" s="650">
        <f>245-10</f>
        <v>235</v>
      </c>
      <c r="F527" s="45" t="s">
        <v>2708</v>
      </c>
      <c r="G527" s="45" t="s">
        <v>175</v>
      </c>
      <c r="H527" s="454"/>
    </row>
    <row r="528" spans="1:8" ht="13.5" customHeight="1" x14ac:dyDescent="0.35">
      <c r="A528" s="47">
        <v>43155</v>
      </c>
      <c r="B528" s="45" t="s">
        <v>3143</v>
      </c>
      <c r="C528" s="426" t="s">
        <v>28</v>
      </c>
      <c r="D528" s="45" t="s">
        <v>163</v>
      </c>
      <c r="E528" s="650">
        <v>13</v>
      </c>
      <c r="F528" s="45" t="s">
        <v>1924</v>
      </c>
      <c r="G528" s="45" t="s">
        <v>163</v>
      </c>
      <c r="H528" s="454"/>
    </row>
    <row r="529" spans="1:7" ht="13.5" customHeight="1" x14ac:dyDescent="0.35">
      <c r="A529" s="47">
        <v>43155</v>
      </c>
      <c r="B529" s="45" t="s">
        <v>3144</v>
      </c>
      <c r="C529" s="426" t="s">
        <v>1274</v>
      </c>
      <c r="D529" s="45" t="s">
        <v>159</v>
      </c>
      <c r="E529" s="650">
        <v>495</v>
      </c>
      <c r="F529" s="45" t="s">
        <v>219</v>
      </c>
      <c r="G529" s="45" t="s">
        <v>179</v>
      </c>
    </row>
    <row r="530" spans="1:7" ht="13.5" customHeight="1" x14ac:dyDescent="0.35">
      <c r="A530" s="47">
        <v>43154</v>
      </c>
      <c r="B530" s="45" t="s">
        <v>3143</v>
      </c>
      <c r="C530" s="426" t="s">
        <v>28</v>
      </c>
      <c r="D530" s="45" t="s">
        <v>162</v>
      </c>
      <c r="E530" s="650">
        <v>235</v>
      </c>
      <c r="F530" s="45" t="s">
        <v>2708</v>
      </c>
      <c r="G530" s="45" t="s">
        <v>175</v>
      </c>
    </row>
    <row r="531" spans="1:7" ht="13.5" customHeight="1" x14ac:dyDescent="0.35">
      <c r="A531" s="47">
        <v>43153</v>
      </c>
      <c r="B531" s="45" t="s">
        <v>3145</v>
      </c>
      <c r="C531" s="426" t="s">
        <v>28</v>
      </c>
      <c r="D531" s="45" t="s">
        <v>160</v>
      </c>
      <c r="E531" s="650">
        <v>245</v>
      </c>
      <c r="F531" s="45" t="s">
        <v>2708</v>
      </c>
      <c r="G531" s="45" t="s">
        <v>174</v>
      </c>
    </row>
    <row r="532" spans="1:7" ht="13.5" customHeight="1" x14ac:dyDescent="0.35">
      <c r="A532" s="47">
        <v>43153</v>
      </c>
      <c r="B532" s="45" t="s">
        <v>2920</v>
      </c>
      <c r="C532" s="426" t="s">
        <v>1274</v>
      </c>
      <c r="D532" s="45" t="s">
        <v>159</v>
      </c>
      <c r="E532" s="650">
        <v>100</v>
      </c>
      <c r="F532" s="45" t="s">
        <v>492</v>
      </c>
      <c r="G532" s="45" t="s">
        <v>175</v>
      </c>
    </row>
    <row r="533" spans="1:7" ht="13.5" customHeight="1" x14ac:dyDescent="0.35">
      <c r="A533" s="47">
        <v>43152</v>
      </c>
      <c r="B533" s="45" t="s">
        <v>3146</v>
      </c>
      <c r="C533" s="426" t="s">
        <v>28</v>
      </c>
      <c r="D533" s="45" t="s">
        <v>160</v>
      </c>
      <c r="E533" s="650">
        <v>245</v>
      </c>
      <c r="F533" s="45" t="s">
        <v>2708</v>
      </c>
      <c r="G533" s="45" t="s">
        <v>175</v>
      </c>
    </row>
    <row r="534" spans="1:7" ht="13.5" customHeight="1" x14ac:dyDescent="0.35">
      <c r="A534" s="47">
        <v>43152</v>
      </c>
      <c r="B534" s="45" t="s">
        <v>3147</v>
      </c>
      <c r="C534" s="426" t="s">
        <v>1274</v>
      </c>
      <c r="D534" s="45" t="s">
        <v>160</v>
      </c>
      <c r="E534" s="650">
        <v>725</v>
      </c>
      <c r="F534" s="45" t="s">
        <v>1000</v>
      </c>
      <c r="G534" s="45" t="s">
        <v>174</v>
      </c>
    </row>
    <row r="535" spans="1:7" ht="13.5" customHeight="1" x14ac:dyDescent="0.35">
      <c r="A535" s="47">
        <v>43152</v>
      </c>
      <c r="B535" s="45" t="s">
        <v>3148</v>
      </c>
      <c r="C535" s="426" t="s">
        <v>28</v>
      </c>
      <c r="D535" s="45" t="s">
        <v>162</v>
      </c>
      <c r="E535" s="650">
        <v>75</v>
      </c>
      <c r="F535" s="45" t="s">
        <v>1775</v>
      </c>
      <c r="G535" s="45" t="s">
        <v>1311</v>
      </c>
    </row>
    <row r="536" spans="1:7" ht="13.5" customHeight="1" x14ac:dyDescent="0.35">
      <c r="A536" s="47">
        <v>43151</v>
      </c>
      <c r="B536" s="45" t="s">
        <v>1414</v>
      </c>
      <c r="C536" s="426" t="s">
        <v>28</v>
      </c>
      <c r="D536" s="45" t="s">
        <v>160</v>
      </c>
      <c r="E536" s="650">
        <v>-275</v>
      </c>
      <c r="F536" s="45" t="s">
        <v>3149</v>
      </c>
      <c r="G536" s="45" t="s">
        <v>181</v>
      </c>
    </row>
    <row r="537" spans="1:7" ht="13.5" customHeight="1" x14ac:dyDescent="0.35">
      <c r="A537" s="47">
        <v>43150</v>
      </c>
      <c r="B537" s="643" t="s">
        <v>3150</v>
      </c>
      <c r="C537" s="643" t="s">
        <v>28</v>
      </c>
      <c r="D537" s="643" t="s">
        <v>162</v>
      </c>
      <c r="E537" s="651">
        <v>200</v>
      </c>
      <c r="F537" s="643" t="s">
        <v>1946</v>
      </c>
      <c r="G537" s="643" t="s">
        <v>1311</v>
      </c>
    </row>
    <row r="538" spans="1:7" ht="13.5" customHeight="1" x14ac:dyDescent="0.35">
      <c r="A538" s="47">
        <v>43150</v>
      </c>
      <c r="B538" s="45" t="s">
        <v>3151</v>
      </c>
      <c r="C538" s="426" t="s">
        <v>28</v>
      </c>
      <c r="D538" s="45" t="s">
        <v>162</v>
      </c>
      <c r="E538" s="650">
        <v>50</v>
      </c>
      <c r="F538" s="45" t="s">
        <v>1267</v>
      </c>
      <c r="G538" s="45" t="s">
        <v>1311</v>
      </c>
    </row>
    <row r="539" spans="1:7" ht="13.5" customHeight="1" x14ac:dyDescent="0.35">
      <c r="A539" s="47">
        <v>43150</v>
      </c>
      <c r="B539" s="45" t="s">
        <v>2468</v>
      </c>
      <c r="C539" s="426" t="s">
        <v>1274</v>
      </c>
      <c r="D539" s="45" t="s">
        <v>159</v>
      </c>
      <c r="E539" s="650">
        <v>175</v>
      </c>
      <c r="F539" s="45" t="s">
        <v>230</v>
      </c>
      <c r="G539" s="45" t="s">
        <v>179</v>
      </c>
    </row>
    <row r="540" spans="1:7" ht="13.5" customHeight="1" x14ac:dyDescent="0.35">
      <c r="A540" s="47">
        <v>43150</v>
      </c>
      <c r="B540" s="45" t="s">
        <v>1414</v>
      </c>
      <c r="C540" s="426" t="s">
        <v>28</v>
      </c>
      <c r="D540" s="45" t="s">
        <v>160</v>
      </c>
      <c r="E540" s="650">
        <v>275</v>
      </c>
      <c r="F540" s="45" t="s">
        <v>2708</v>
      </c>
      <c r="G540" s="45" t="s">
        <v>181</v>
      </c>
    </row>
    <row r="541" spans="1:7" ht="13.5" customHeight="1" x14ac:dyDescent="0.35">
      <c r="A541" s="47">
        <v>43150</v>
      </c>
      <c r="B541" s="45" t="s">
        <v>2654</v>
      </c>
      <c r="C541" s="426" t="s">
        <v>1274</v>
      </c>
      <c r="D541" s="45" t="s">
        <v>159</v>
      </c>
      <c r="E541" s="650">
        <v>59</v>
      </c>
      <c r="F541" s="45" t="s">
        <v>3152</v>
      </c>
      <c r="G541" s="45" t="s">
        <v>177</v>
      </c>
    </row>
    <row r="542" spans="1:7" ht="13.5" customHeight="1" x14ac:dyDescent="0.35">
      <c r="A542" s="47">
        <v>43147</v>
      </c>
      <c r="B542" s="45" t="s">
        <v>2996</v>
      </c>
      <c r="C542" s="426" t="s">
        <v>1279</v>
      </c>
      <c r="D542" s="45" t="s">
        <v>159</v>
      </c>
      <c r="E542" s="650">
        <v>120</v>
      </c>
      <c r="F542" s="45" t="s">
        <v>3153</v>
      </c>
      <c r="G542" s="45" t="s">
        <v>175</v>
      </c>
    </row>
    <row r="543" spans="1:7" ht="13.5" customHeight="1" x14ac:dyDescent="0.35">
      <c r="A543" s="47">
        <v>43147</v>
      </c>
      <c r="B543" s="45" t="s">
        <v>3154</v>
      </c>
      <c r="C543" s="426" t="s">
        <v>1274</v>
      </c>
      <c r="D543" s="45" t="s">
        <v>159</v>
      </c>
      <c r="E543" s="650">
        <v>125</v>
      </c>
      <c r="F543" s="45" t="s">
        <v>230</v>
      </c>
      <c r="G543" s="45" t="s">
        <v>179</v>
      </c>
    </row>
    <row r="544" spans="1:7" ht="13.5" customHeight="1" x14ac:dyDescent="0.35">
      <c r="A544" s="47">
        <v>43147</v>
      </c>
      <c r="B544" s="45" t="s">
        <v>3155</v>
      </c>
      <c r="C544" s="426" t="s">
        <v>28</v>
      </c>
      <c r="D544" s="45" t="s">
        <v>159</v>
      </c>
      <c r="E544" s="650">
        <v>275</v>
      </c>
      <c r="F544" s="45" t="s">
        <v>1775</v>
      </c>
      <c r="G544" s="45" t="s">
        <v>174</v>
      </c>
    </row>
    <row r="545" spans="1:7" ht="13.5" customHeight="1" x14ac:dyDescent="0.35">
      <c r="A545" s="47">
        <v>43146</v>
      </c>
      <c r="B545" s="45" t="s">
        <v>1854</v>
      </c>
      <c r="C545" s="426" t="s">
        <v>28</v>
      </c>
      <c r="D545" s="45" t="s">
        <v>162</v>
      </c>
      <c r="E545" s="650">
        <v>300</v>
      </c>
      <c r="F545" s="45" t="s">
        <v>1267</v>
      </c>
      <c r="G545" s="45" t="s">
        <v>175</v>
      </c>
    </row>
    <row r="546" spans="1:7" ht="13.5" customHeight="1" x14ac:dyDescent="0.35">
      <c r="A546" s="47">
        <v>43146</v>
      </c>
      <c r="B546" s="45" t="s">
        <v>3156</v>
      </c>
      <c r="C546" s="426" t="s">
        <v>28</v>
      </c>
      <c r="D546" s="45" t="s">
        <v>159</v>
      </c>
      <c r="E546" s="650">
        <v>395</v>
      </c>
      <c r="F546" s="45" t="s">
        <v>1058</v>
      </c>
      <c r="G546" s="45" t="s">
        <v>175</v>
      </c>
    </row>
    <row r="547" spans="1:7" ht="13.5" customHeight="1" x14ac:dyDescent="0.35">
      <c r="A547" s="47">
        <v>43146</v>
      </c>
      <c r="B547" s="45" t="s">
        <v>2722</v>
      </c>
      <c r="C547" s="426" t="s">
        <v>2525</v>
      </c>
      <c r="D547" s="45" t="s">
        <v>160</v>
      </c>
      <c r="E547" s="650">
        <v>9.4</v>
      </c>
      <c r="F547" s="45" t="s">
        <v>1254</v>
      </c>
      <c r="G547" s="45" t="s">
        <v>175</v>
      </c>
    </row>
    <row r="548" spans="1:7" ht="13.5" customHeight="1" x14ac:dyDescent="0.35">
      <c r="A548" s="47">
        <v>43146</v>
      </c>
      <c r="B548" s="45" t="s">
        <v>2659</v>
      </c>
      <c r="C548" s="426" t="s">
        <v>1277</v>
      </c>
      <c r="D548" s="45" t="s">
        <v>166</v>
      </c>
      <c r="E548" s="650">
        <v>-451</v>
      </c>
      <c r="F548" s="45" t="s">
        <v>3020</v>
      </c>
      <c r="G548" s="45" t="s">
        <v>175</v>
      </c>
    </row>
    <row r="549" spans="1:7" ht="13.5" customHeight="1" x14ac:dyDescent="0.35">
      <c r="A549" s="47">
        <v>43146</v>
      </c>
      <c r="B549" s="45" t="s">
        <v>2659</v>
      </c>
      <c r="C549" s="426" t="s">
        <v>28</v>
      </c>
      <c r="D549" s="45" t="s">
        <v>166</v>
      </c>
      <c r="E549" s="650">
        <v>148.5</v>
      </c>
      <c r="F549" s="45" t="s">
        <v>1267</v>
      </c>
      <c r="G549" s="45" t="s">
        <v>175</v>
      </c>
    </row>
    <row r="550" spans="1:7" ht="13.5" customHeight="1" x14ac:dyDescent="0.35">
      <c r="A550" s="47">
        <v>43146</v>
      </c>
      <c r="B550" s="45" t="s">
        <v>2659</v>
      </c>
      <c r="C550" s="426" t="s">
        <v>1274</v>
      </c>
      <c r="D550" s="45" t="s">
        <v>166</v>
      </c>
      <c r="E550" s="650">
        <v>55</v>
      </c>
      <c r="F550" s="45" t="s">
        <v>3157</v>
      </c>
      <c r="G550" s="45" t="s">
        <v>175</v>
      </c>
    </row>
    <row r="551" spans="1:7" ht="13.5" customHeight="1" x14ac:dyDescent="0.35">
      <c r="A551" s="47">
        <v>43146</v>
      </c>
      <c r="B551" s="45" t="s">
        <v>2659</v>
      </c>
      <c r="C551" s="426" t="s">
        <v>28</v>
      </c>
      <c r="D551" s="45" t="s">
        <v>166</v>
      </c>
      <c r="E551" s="650">
        <v>247.5</v>
      </c>
      <c r="F551" s="45" t="s">
        <v>1267</v>
      </c>
      <c r="G551" s="45" t="s">
        <v>175</v>
      </c>
    </row>
    <row r="552" spans="1:7" ht="13.5" customHeight="1" x14ac:dyDescent="0.35">
      <c r="A552" s="47">
        <v>43146</v>
      </c>
      <c r="B552" s="45" t="s">
        <v>2659</v>
      </c>
      <c r="C552" s="426" t="s">
        <v>1276</v>
      </c>
      <c r="D552" s="45" t="s">
        <v>162</v>
      </c>
      <c r="E552" s="650">
        <v>46.13</v>
      </c>
      <c r="F552" s="45" t="s">
        <v>3097</v>
      </c>
      <c r="G552" s="45" t="s">
        <v>175</v>
      </c>
    </row>
    <row r="553" spans="1:7" ht="13.5" customHeight="1" x14ac:dyDescent="0.35">
      <c r="A553" s="47">
        <v>43146</v>
      </c>
      <c r="B553" s="45" t="s">
        <v>2722</v>
      </c>
      <c r="C553" s="426" t="s">
        <v>1274</v>
      </c>
      <c r="D553" s="45" t="s">
        <v>160</v>
      </c>
      <c r="E553" s="650">
        <v>125</v>
      </c>
      <c r="F553" s="45" t="s">
        <v>230</v>
      </c>
      <c r="G553" s="45" t="s">
        <v>175</v>
      </c>
    </row>
    <row r="554" spans="1:7" ht="13.5" customHeight="1" x14ac:dyDescent="0.35">
      <c r="A554" s="47">
        <v>43146</v>
      </c>
      <c r="B554" s="45" t="s">
        <v>3158</v>
      </c>
      <c r="C554" s="426" t="s">
        <v>28</v>
      </c>
      <c r="D554" s="45" t="s">
        <v>160</v>
      </c>
      <c r="E554" s="650">
        <v>50</v>
      </c>
      <c r="F554" s="45" t="s">
        <v>3069</v>
      </c>
      <c r="G554" s="45" t="s">
        <v>175</v>
      </c>
    </row>
    <row r="555" spans="1:7" ht="13.5" customHeight="1" x14ac:dyDescent="0.35">
      <c r="A555" s="47">
        <v>43146</v>
      </c>
      <c r="B555" s="45" t="s">
        <v>1910</v>
      </c>
      <c r="C555" s="426" t="s">
        <v>28</v>
      </c>
      <c r="D555" s="45" t="s">
        <v>162</v>
      </c>
      <c r="E555" s="650">
        <v>75</v>
      </c>
      <c r="F555" s="45" t="s">
        <v>1775</v>
      </c>
      <c r="G555" s="45" t="s">
        <v>1311</v>
      </c>
    </row>
    <row r="556" spans="1:7" ht="13.5" customHeight="1" x14ac:dyDescent="0.35">
      <c r="A556" s="47">
        <v>43145</v>
      </c>
      <c r="B556" s="45" t="s">
        <v>1887</v>
      </c>
      <c r="C556" s="426" t="s">
        <v>1274</v>
      </c>
      <c r="D556" s="45" t="s">
        <v>162</v>
      </c>
      <c r="E556" s="650">
        <v>50</v>
      </c>
      <c r="F556" s="45" t="s">
        <v>1141</v>
      </c>
      <c r="G556" s="45" t="s">
        <v>1311</v>
      </c>
    </row>
    <row r="557" spans="1:7" ht="13.5" customHeight="1" x14ac:dyDescent="0.35">
      <c r="A557" s="47">
        <v>43144</v>
      </c>
      <c r="B557" s="45" t="s">
        <v>1126</v>
      </c>
      <c r="C557" s="426" t="s">
        <v>1274</v>
      </c>
      <c r="D557" s="45" t="s">
        <v>159</v>
      </c>
      <c r="E557" s="650">
        <v>175</v>
      </c>
      <c r="F557" s="45" t="s">
        <v>230</v>
      </c>
      <c r="G557" s="45" t="s">
        <v>175</v>
      </c>
    </row>
    <row r="558" spans="1:7" ht="13.5" customHeight="1" x14ac:dyDescent="0.35">
      <c r="A558" s="47">
        <v>43144</v>
      </c>
      <c r="B558" s="45" t="s">
        <v>1862</v>
      </c>
      <c r="C558" s="426" t="s">
        <v>28</v>
      </c>
      <c r="D558" s="45" t="s">
        <v>162</v>
      </c>
      <c r="E558" s="650">
        <v>50</v>
      </c>
      <c r="F558" s="45" t="s">
        <v>1267</v>
      </c>
      <c r="G558" s="45" t="s">
        <v>175</v>
      </c>
    </row>
    <row r="559" spans="1:7" ht="13.5" customHeight="1" x14ac:dyDescent="0.35">
      <c r="A559" s="47">
        <v>43144</v>
      </c>
      <c r="B559" s="45" t="s">
        <v>2814</v>
      </c>
      <c r="C559" s="426" t="s">
        <v>1278</v>
      </c>
      <c r="D559" s="45" t="s">
        <v>160</v>
      </c>
      <c r="E559" s="650">
        <v>200</v>
      </c>
      <c r="F559" s="45" t="s">
        <v>292</v>
      </c>
      <c r="G559" s="45" t="s">
        <v>174</v>
      </c>
    </row>
    <row r="560" spans="1:7" ht="13.5" customHeight="1" x14ac:dyDescent="0.35">
      <c r="A560" s="47">
        <v>43143</v>
      </c>
      <c r="B560" s="45" t="s">
        <v>1904</v>
      </c>
      <c r="C560" s="426" t="s">
        <v>28</v>
      </c>
      <c r="D560" s="45" t="s">
        <v>162</v>
      </c>
      <c r="E560" s="650">
        <v>50</v>
      </c>
      <c r="F560" s="45" t="s">
        <v>1267</v>
      </c>
      <c r="G560" s="45" t="s">
        <v>175</v>
      </c>
    </row>
    <row r="561" spans="1:7" ht="13.5" customHeight="1" x14ac:dyDescent="0.35">
      <c r="A561" s="47">
        <v>43143</v>
      </c>
      <c r="B561" s="45" t="s">
        <v>3159</v>
      </c>
      <c r="C561" s="426" t="s">
        <v>2525</v>
      </c>
      <c r="D561" s="45" t="s">
        <v>159</v>
      </c>
      <c r="E561" s="650">
        <v>30</v>
      </c>
      <c r="F561" s="45" t="s">
        <v>209</v>
      </c>
      <c r="G561" s="45" t="s">
        <v>174</v>
      </c>
    </row>
    <row r="562" spans="1:7" ht="13.5" customHeight="1" x14ac:dyDescent="0.35">
      <c r="A562" s="47">
        <v>43143</v>
      </c>
      <c r="B562" s="45" t="s">
        <v>3160</v>
      </c>
      <c r="C562" s="426" t="s">
        <v>1274</v>
      </c>
      <c r="D562" s="45" t="s">
        <v>159</v>
      </c>
      <c r="E562" s="650">
        <v>65</v>
      </c>
      <c r="F562" s="45" t="s">
        <v>3134</v>
      </c>
      <c r="G562" s="45" t="s">
        <v>174</v>
      </c>
    </row>
    <row r="563" spans="1:7" ht="13.5" customHeight="1" x14ac:dyDescent="0.35">
      <c r="A563" s="47">
        <v>43142</v>
      </c>
      <c r="B563" s="45" t="s">
        <v>3161</v>
      </c>
      <c r="C563" s="426" t="s">
        <v>1274</v>
      </c>
      <c r="D563" s="45" t="s">
        <v>159</v>
      </c>
      <c r="E563" s="650">
        <v>175</v>
      </c>
      <c r="F563" s="45" t="s">
        <v>230</v>
      </c>
      <c r="G563" s="45" t="s">
        <v>179</v>
      </c>
    </row>
    <row r="564" spans="1:7" ht="13.5" customHeight="1" x14ac:dyDescent="0.35">
      <c r="A564" s="47">
        <v>43142</v>
      </c>
      <c r="B564" s="45" t="s">
        <v>3162</v>
      </c>
      <c r="C564" s="426" t="s">
        <v>28</v>
      </c>
      <c r="D564" s="45" t="s">
        <v>159</v>
      </c>
      <c r="E564" s="650">
        <v>100</v>
      </c>
      <c r="F564" s="45" t="s">
        <v>3163</v>
      </c>
      <c r="G564" s="45" t="s">
        <v>175</v>
      </c>
    </row>
    <row r="565" spans="1:7" ht="13.5" customHeight="1" x14ac:dyDescent="0.35">
      <c r="A565" s="47">
        <v>43141</v>
      </c>
      <c r="B565" s="45" t="s">
        <v>3164</v>
      </c>
      <c r="C565" s="426" t="s">
        <v>28</v>
      </c>
      <c r="D565" s="45" t="s">
        <v>163</v>
      </c>
      <c r="E565" s="650">
        <v>13</v>
      </c>
      <c r="F565" s="45" t="s">
        <v>1924</v>
      </c>
      <c r="G565" s="45" t="s">
        <v>163</v>
      </c>
    </row>
    <row r="566" spans="1:7" ht="13.5" customHeight="1" x14ac:dyDescent="0.35">
      <c r="A566" s="47">
        <v>43141</v>
      </c>
      <c r="B566" s="45" t="s">
        <v>3065</v>
      </c>
      <c r="C566" s="426" t="s">
        <v>1274</v>
      </c>
      <c r="D566" s="45" t="s">
        <v>159</v>
      </c>
      <c r="E566" s="650">
        <v>65</v>
      </c>
      <c r="F566" s="45" t="s">
        <v>3134</v>
      </c>
      <c r="G566" s="45" t="s">
        <v>175</v>
      </c>
    </row>
    <row r="567" spans="1:7" ht="13.5" customHeight="1" x14ac:dyDescent="0.35">
      <c r="A567" s="47">
        <v>43140</v>
      </c>
      <c r="B567" s="45" t="s">
        <v>3165</v>
      </c>
      <c r="C567" s="426" t="s">
        <v>28</v>
      </c>
      <c r="D567" s="45" t="s">
        <v>160</v>
      </c>
      <c r="E567" s="650">
        <v>250</v>
      </c>
      <c r="F567" s="45" t="s">
        <v>1267</v>
      </c>
      <c r="G567" s="45" t="s">
        <v>175</v>
      </c>
    </row>
    <row r="568" spans="1:7" ht="13.5" customHeight="1" x14ac:dyDescent="0.35">
      <c r="A568" s="47">
        <v>43140</v>
      </c>
      <c r="B568" s="45" t="s">
        <v>3065</v>
      </c>
      <c r="C568" s="426" t="s">
        <v>1278</v>
      </c>
      <c r="D568" s="45" t="s">
        <v>160</v>
      </c>
      <c r="E568" s="650">
        <v>20</v>
      </c>
      <c r="F568" s="45" t="s">
        <v>293</v>
      </c>
      <c r="G568" s="45" t="s">
        <v>175</v>
      </c>
    </row>
    <row r="569" spans="1:7" ht="13.5" customHeight="1" x14ac:dyDescent="0.35">
      <c r="A569" s="47">
        <v>43140</v>
      </c>
      <c r="B569" s="45" t="s">
        <v>3166</v>
      </c>
      <c r="C569" s="426" t="s">
        <v>28</v>
      </c>
      <c r="D569" s="45" t="s">
        <v>162</v>
      </c>
      <c r="E569" s="650">
        <v>200</v>
      </c>
      <c r="F569" s="45" t="s">
        <v>1775</v>
      </c>
      <c r="G569" s="45" t="s">
        <v>1311</v>
      </c>
    </row>
    <row r="570" spans="1:7" ht="13.5" customHeight="1" x14ac:dyDescent="0.35">
      <c r="A570" s="47">
        <v>43140</v>
      </c>
      <c r="B570" s="45" t="s">
        <v>3167</v>
      </c>
      <c r="C570" s="426" t="s">
        <v>28</v>
      </c>
      <c r="D570" s="45" t="s">
        <v>159</v>
      </c>
      <c r="E570" s="650">
        <v>50</v>
      </c>
      <c r="F570" s="45" t="s">
        <v>1267</v>
      </c>
      <c r="G570" s="45" t="s">
        <v>175</v>
      </c>
    </row>
    <row r="571" spans="1:7" ht="13.5" customHeight="1" x14ac:dyDescent="0.35">
      <c r="A571" s="47">
        <v>43139</v>
      </c>
      <c r="B571" s="45" t="s">
        <v>3168</v>
      </c>
      <c r="C571" s="426" t="s">
        <v>28</v>
      </c>
      <c r="D571" s="45" t="s">
        <v>159</v>
      </c>
      <c r="E571" s="650">
        <v>275</v>
      </c>
      <c r="F571" s="45" t="s">
        <v>1775</v>
      </c>
      <c r="G571" s="45" t="s">
        <v>174</v>
      </c>
    </row>
    <row r="572" spans="1:7" ht="13.5" customHeight="1" x14ac:dyDescent="0.35">
      <c r="A572" s="47">
        <v>43137</v>
      </c>
      <c r="B572" s="45" t="s">
        <v>3169</v>
      </c>
      <c r="C572" s="426" t="s">
        <v>28</v>
      </c>
      <c r="D572" s="45" t="s">
        <v>159</v>
      </c>
      <c r="E572" s="650">
        <v>15</v>
      </c>
      <c r="F572" s="45" t="s">
        <v>3170</v>
      </c>
      <c r="G572" s="45" t="s">
        <v>174</v>
      </c>
    </row>
    <row r="573" spans="1:7" ht="13.5" customHeight="1" x14ac:dyDescent="0.35">
      <c r="A573" s="47">
        <v>43137</v>
      </c>
      <c r="B573" s="45" t="s">
        <v>3171</v>
      </c>
      <c r="C573" s="426" t="s">
        <v>1274</v>
      </c>
      <c r="D573" s="45" t="s">
        <v>159</v>
      </c>
      <c r="E573" s="650">
        <v>125</v>
      </c>
      <c r="F573" s="45" t="s">
        <v>2004</v>
      </c>
      <c r="G573" s="45" t="s">
        <v>175</v>
      </c>
    </row>
    <row r="574" spans="1:7" ht="13.5" customHeight="1" x14ac:dyDescent="0.35">
      <c r="A574" s="47">
        <v>43137</v>
      </c>
      <c r="B574" s="45" t="s">
        <v>3172</v>
      </c>
      <c r="C574" s="426" t="s">
        <v>1274</v>
      </c>
      <c r="D574" s="45" t="s">
        <v>160</v>
      </c>
      <c r="E574" s="650">
        <v>125</v>
      </c>
      <c r="F574" s="45" t="s">
        <v>2004</v>
      </c>
      <c r="G574" s="45" t="s">
        <v>179</v>
      </c>
    </row>
    <row r="575" spans="1:7" ht="13.5" customHeight="1" x14ac:dyDescent="0.35">
      <c r="A575" s="47">
        <v>43137</v>
      </c>
      <c r="B575" s="45" t="s">
        <v>1815</v>
      </c>
      <c r="C575" s="426" t="s">
        <v>28</v>
      </c>
      <c r="D575" s="45" t="s">
        <v>162</v>
      </c>
      <c r="E575" s="652">
        <v>200</v>
      </c>
      <c r="F575" s="45" t="s">
        <v>291</v>
      </c>
      <c r="G575" s="45" t="s">
        <v>1311</v>
      </c>
    </row>
    <row r="576" spans="1:7" ht="13.5" customHeight="1" x14ac:dyDescent="0.35">
      <c r="A576" s="47">
        <v>43137</v>
      </c>
      <c r="B576" s="45" t="s">
        <v>3138</v>
      </c>
      <c r="C576" s="426" t="s">
        <v>28</v>
      </c>
      <c r="D576" s="45" t="s">
        <v>162</v>
      </c>
      <c r="E576" s="650">
        <v>200</v>
      </c>
      <c r="F576" s="45" t="s">
        <v>1058</v>
      </c>
      <c r="G576" s="45" t="s">
        <v>175</v>
      </c>
    </row>
    <row r="577" spans="1:7" ht="13.5" customHeight="1" x14ac:dyDescent="0.35">
      <c r="A577" s="47">
        <v>43137</v>
      </c>
      <c r="B577" s="45" t="s">
        <v>2996</v>
      </c>
      <c r="C577" s="426" t="s">
        <v>28</v>
      </c>
      <c r="D577" s="45" t="s">
        <v>159</v>
      </c>
      <c r="E577" s="650">
        <v>395</v>
      </c>
      <c r="F577" s="45" t="s">
        <v>1058</v>
      </c>
      <c r="G577" s="45" t="s">
        <v>175</v>
      </c>
    </row>
    <row r="578" spans="1:7" ht="13.5" customHeight="1" x14ac:dyDescent="0.35">
      <c r="A578" s="47">
        <v>43136</v>
      </c>
      <c r="B578" s="45" t="s">
        <v>3173</v>
      </c>
      <c r="C578" s="426" t="s">
        <v>28</v>
      </c>
      <c r="D578" s="45" t="s">
        <v>163</v>
      </c>
      <c r="E578" s="650">
        <v>13</v>
      </c>
      <c r="F578" s="45" t="s">
        <v>1924</v>
      </c>
      <c r="G578" s="45" t="s">
        <v>163</v>
      </c>
    </row>
    <row r="579" spans="1:7" ht="13.5" customHeight="1" x14ac:dyDescent="0.35">
      <c r="A579" s="47">
        <v>43136</v>
      </c>
      <c r="B579" s="45" t="s">
        <v>3174</v>
      </c>
      <c r="C579" s="426" t="s">
        <v>28</v>
      </c>
      <c r="D579" s="45" t="s">
        <v>163</v>
      </c>
      <c r="E579" s="650">
        <v>13</v>
      </c>
      <c r="F579" s="45" t="s">
        <v>1924</v>
      </c>
      <c r="G579" s="45" t="s">
        <v>163</v>
      </c>
    </row>
    <row r="580" spans="1:7" ht="13.5" customHeight="1" x14ac:dyDescent="0.35">
      <c r="A580" s="47">
        <v>43136</v>
      </c>
      <c r="B580" s="45" t="s">
        <v>3140</v>
      </c>
      <c r="C580" s="426" t="s">
        <v>28</v>
      </c>
      <c r="D580" s="45" t="s">
        <v>162</v>
      </c>
      <c r="E580" s="650">
        <v>75</v>
      </c>
      <c r="F580" s="45" t="s">
        <v>1775</v>
      </c>
      <c r="G580" s="45" t="s">
        <v>1311</v>
      </c>
    </row>
    <row r="581" spans="1:7" ht="13.5" customHeight="1" x14ac:dyDescent="0.35">
      <c r="A581" s="47">
        <v>43136</v>
      </c>
      <c r="B581" s="45" t="s">
        <v>3146</v>
      </c>
      <c r="C581" s="426" t="s">
        <v>28</v>
      </c>
      <c r="D581" s="45" t="s">
        <v>163</v>
      </c>
      <c r="E581" s="650">
        <v>13</v>
      </c>
      <c r="F581" s="45" t="s">
        <v>1924</v>
      </c>
      <c r="G581" s="45" t="s">
        <v>163</v>
      </c>
    </row>
    <row r="582" spans="1:7" ht="13.5" customHeight="1" x14ac:dyDescent="0.35">
      <c r="A582" s="47">
        <v>43135</v>
      </c>
      <c r="B582" s="45" t="s">
        <v>3175</v>
      </c>
      <c r="C582" s="426" t="s">
        <v>1274</v>
      </c>
      <c r="D582" s="45" t="s">
        <v>159</v>
      </c>
      <c r="E582" s="650">
        <v>125</v>
      </c>
      <c r="F582" s="45" t="s">
        <v>2004</v>
      </c>
      <c r="G582" s="45" t="s">
        <v>175</v>
      </c>
    </row>
    <row r="583" spans="1:7" ht="13.5" customHeight="1" x14ac:dyDescent="0.35">
      <c r="A583" s="47">
        <v>43135</v>
      </c>
      <c r="B583" s="45" t="s">
        <v>2562</v>
      </c>
      <c r="C583" s="426" t="s">
        <v>28</v>
      </c>
      <c r="D583" s="45" t="s">
        <v>160</v>
      </c>
      <c r="E583" s="650">
        <v>495</v>
      </c>
      <c r="F583" s="45" t="s">
        <v>2626</v>
      </c>
      <c r="G583" s="45" t="s">
        <v>175</v>
      </c>
    </row>
    <row r="584" spans="1:7" ht="13.5" customHeight="1" x14ac:dyDescent="0.35">
      <c r="A584" s="47">
        <v>43134</v>
      </c>
      <c r="B584" s="45" t="s">
        <v>3176</v>
      </c>
      <c r="C584" s="426" t="s">
        <v>1278</v>
      </c>
      <c r="D584" s="45" t="s">
        <v>160</v>
      </c>
      <c r="E584" s="650">
        <v>20</v>
      </c>
      <c r="F584" s="45" t="s">
        <v>292</v>
      </c>
      <c r="G584" s="45" t="s">
        <v>175</v>
      </c>
    </row>
    <row r="585" spans="1:7" ht="13.5" customHeight="1" x14ac:dyDescent="0.35">
      <c r="A585" s="47">
        <v>43133</v>
      </c>
      <c r="B585" s="45" t="s">
        <v>1560</v>
      </c>
      <c r="C585" s="426" t="s">
        <v>2525</v>
      </c>
      <c r="D585" s="45" t="s">
        <v>162</v>
      </c>
      <c r="E585" s="650">
        <v>138.34</v>
      </c>
      <c r="F585" s="45" t="s">
        <v>414</v>
      </c>
      <c r="G585" s="45" t="s">
        <v>181</v>
      </c>
    </row>
    <row r="586" spans="1:7" ht="13.5" customHeight="1" x14ac:dyDescent="0.35">
      <c r="A586" s="47">
        <v>43132</v>
      </c>
      <c r="B586" s="45" t="s">
        <v>3177</v>
      </c>
      <c r="C586" s="426" t="s">
        <v>1274</v>
      </c>
      <c r="D586" s="45" t="s">
        <v>159</v>
      </c>
      <c r="E586" s="650">
        <v>9</v>
      </c>
      <c r="F586" s="45" t="s">
        <v>3152</v>
      </c>
      <c r="G586" s="45" t="s">
        <v>177</v>
      </c>
    </row>
    <row r="587" spans="1:7" ht="13.5" customHeight="1" x14ac:dyDescent="0.35">
      <c r="A587" s="47">
        <v>43132</v>
      </c>
      <c r="B587" s="45" t="s">
        <v>2562</v>
      </c>
      <c r="C587" s="426" t="s">
        <v>1279</v>
      </c>
      <c r="D587" s="45" t="s">
        <v>160</v>
      </c>
      <c r="E587" s="650">
        <v>65</v>
      </c>
      <c r="F587" s="45" t="s">
        <v>3178</v>
      </c>
      <c r="G587" s="45" t="s">
        <v>177</v>
      </c>
    </row>
    <row r="588" spans="1:7" ht="13.5" customHeight="1" x14ac:dyDescent="0.35">
      <c r="A588" s="47">
        <v>43132</v>
      </c>
      <c r="B588" s="45" t="s">
        <v>2781</v>
      </c>
      <c r="C588" s="426" t="s">
        <v>1274</v>
      </c>
      <c r="D588" s="45" t="s">
        <v>159</v>
      </c>
      <c r="E588" s="650">
        <v>59</v>
      </c>
      <c r="F588" s="45" t="s">
        <v>3152</v>
      </c>
      <c r="G588" s="45" t="s">
        <v>175</v>
      </c>
    </row>
    <row r="589" spans="1:7" ht="13.5" customHeight="1" x14ac:dyDescent="0.35">
      <c r="A589" s="47">
        <v>43132</v>
      </c>
      <c r="B589" s="45" t="s">
        <v>2941</v>
      </c>
      <c r="C589" s="426" t="s">
        <v>28</v>
      </c>
      <c r="D589" s="45" t="s">
        <v>159</v>
      </c>
      <c r="E589" s="650">
        <v>395</v>
      </c>
      <c r="F589" s="45" t="s">
        <v>1058</v>
      </c>
      <c r="G589" s="45" t="s">
        <v>175</v>
      </c>
    </row>
    <row r="590" spans="1:7" ht="13.5" customHeight="1" x14ac:dyDescent="0.35">
      <c r="A590" s="47">
        <v>43132</v>
      </c>
      <c r="B590" s="45" t="s">
        <v>967</v>
      </c>
      <c r="C590" s="426" t="s">
        <v>28</v>
      </c>
      <c r="D590" s="45" t="s">
        <v>159</v>
      </c>
      <c r="E590" s="650">
        <v>395</v>
      </c>
      <c r="F590" s="45" t="s">
        <v>1058</v>
      </c>
      <c r="G590" s="45" t="s">
        <v>175</v>
      </c>
    </row>
    <row r="591" spans="1:7" ht="13.5" customHeight="1" x14ac:dyDescent="0.35">
      <c r="A591" s="47">
        <v>43132</v>
      </c>
      <c r="B591" s="45" t="s">
        <v>2481</v>
      </c>
      <c r="C591" s="426" t="s">
        <v>1276</v>
      </c>
      <c r="D591" s="426" t="s">
        <v>161</v>
      </c>
      <c r="E591" s="567">
        <v>441.24</v>
      </c>
      <c r="F591" s="426" t="s">
        <v>1078</v>
      </c>
      <c r="G591" s="426" t="s">
        <v>175</v>
      </c>
    </row>
    <row r="592" spans="1:7" ht="13.5" customHeight="1" x14ac:dyDescent="0.35">
      <c r="A592" s="47">
        <v>43132</v>
      </c>
      <c r="B592" s="45" t="s">
        <v>3179</v>
      </c>
      <c r="C592" s="426" t="s">
        <v>1278</v>
      </c>
      <c r="D592" s="426" t="s">
        <v>161</v>
      </c>
      <c r="E592" s="567">
        <v>40</v>
      </c>
      <c r="F592" s="426" t="s">
        <v>292</v>
      </c>
      <c r="G592" s="426" t="s">
        <v>175</v>
      </c>
    </row>
    <row r="594" spans="1:7" ht="13.5" customHeight="1" x14ac:dyDescent="0.35">
      <c r="A594" s="47">
        <v>43131</v>
      </c>
      <c r="B594" s="45" t="s">
        <v>2394</v>
      </c>
      <c r="C594" s="426" t="s">
        <v>28</v>
      </c>
      <c r="D594" s="45" t="s">
        <v>162</v>
      </c>
      <c r="E594" s="650">
        <v>395</v>
      </c>
      <c r="F594" s="45" t="s">
        <v>1058</v>
      </c>
      <c r="G594" s="45" t="s">
        <v>175</v>
      </c>
    </row>
    <row r="595" spans="1:7" ht="13.5" customHeight="1" x14ac:dyDescent="0.35">
      <c r="A595" s="47">
        <v>43131</v>
      </c>
      <c r="B595" s="45" t="s">
        <v>1009</v>
      </c>
      <c r="C595" s="426" t="s">
        <v>1276</v>
      </c>
      <c r="D595" s="45" t="s">
        <v>162</v>
      </c>
      <c r="E595" s="650">
        <v>39.5</v>
      </c>
      <c r="F595" s="45" t="s">
        <v>1078</v>
      </c>
      <c r="G595" s="45" t="s">
        <v>175</v>
      </c>
    </row>
    <row r="596" spans="1:7" ht="13.5" customHeight="1" x14ac:dyDescent="0.35">
      <c r="A596" s="47">
        <v>43131</v>
      </c>
      <c r="B596" s="45" t="s">
        <v>3180</v>
      </c>
      <c r="C596" s="426" t="s">
        <v>28</v>
      </c>
      <c r="D596" s="45" t="s">
        <v>159</v>
      </c>
      <c r="E596" s="650">
        <v>395</v>
      </c>
      <c r="F596" s="45" t="s">
        <v>1058</v>
      </c>
      <c r="G596" s="45" t="s">
        <v>175</v>
      </c>
    </row>
    <row r="597" spans="1:7" ht="13.5" customHeight="1" x14ac:dyDescent="0.35">
      <c r="A597" s="47">
        <v>43131</v>
      </c>
      <c r="B597" s="45" t="s">
        <v>1009</v>
      </c>
      <c r="C597" s="426" t="s">
        <v>28</v>
      </c>
      <c r="D597" s="45" t="s">
        <v>166</v>
      </c>
      <c r="E597" s="650">
        <v>335.75</v>
      </c>
      <c r="F597" s="45" t="s">
        <v>1058</v>
      </c>
      <c r="G597" s="45" t="s">
        <v>175</v>
      </c>
    </row>
    <row r="598" spans="1:7" ht="13.5" customHeight="1" x14ac:dyDescent="0.35">
      <c r="A598" s="47">
        <v>43131</v>
      </c>
      <c r="B598" s="45" t="s">
        <v>1009</v>
      </c>
      <c r="C598" s="426" t="s">
        <v>1277</v>
      </c>
      <c r="D598" s="45" t="s">
        <v>166</v>
      </c>
      <c r="E598" s="567">
        <v>-335.75</v>
      </c>
      <c r="F598" s="45" t="s">
        <v>1058</v>
      </c>
      <c r="G598" s="45" t="s">
        <v>175</v>
      </c>
    </row>
    <row r="599" spans="1:7" ht="13.5" customHeight="1" x14ac:dyDescent="0.35">
      <c r="A599" s="47">
        <v>43131</v>
      </c>
      <c r="B599" s="45" t="s">
        <v>3181</v>
      </c>
      <c r="C599" s="426" t="s">
        <v>1274</v>
      </c>
      <c r="D599" s="45" t="s">
        <v>159</v>
      </c>
      <c r="E599" s="650">
        <v>175</v>
      </c>
      <c r="F599" s="45" t="s">
        <v>230</v>
      </c>
      <c r="G599" s="45" t="s">
        <v>179</v>
      </c>
    </row>
    <row r="600" spans="1:7" ht="13.5" customHeight="1" x14ac:dyDescent="0.35">
      <c r="A600" s="47">
        <v>43131</v>
      </c>
      <c r="B600" s="45" t="s">
        <v>3182</v>
      </c>
      <c r="C600" s="426" t="s">
        <v>28</v>
      </c>
      <c r="D600" s="45" t="s">
        <v>159</v>
      </c>
      <c r="E600" s="650">
        <v>245</v>
      </c>
      <c r="F600" s="45" t="s">
        <v>3183</v>
      </c>
      <c r="G600" s="45" t="s">
        <v>174</v>
      </c>
    </row>
    <row r="601" spans="1:7" ht="13.5" customHeight="1" x14ac:dyDescent="0.35">
      <c r="A601" s="47">
        <v>43130</v>
      </c>
      <c r="B601" s="45" t="s">
        <v>346</v>
      </c>
      <c r="C601" s="426" t="s">
        <v>2525</v>
      </c>
      <c r="D601" s="45" t="s">
        <v>159</v>
      </c>
      <c r="E601" s="650">
        <v>30</v>
      </c>
      <c r="F601" s="45" t="s">
        <v>3119</v>
      </c>
      <c r="G601" s="45" t="s">
        <v>175</v>
      </c>
    </row>
    <row r="602" spans="1:7" ht="13.5" customHeight="1" x14ac:dyDescent="0.35">
      <c r="A602" s="47">
        <v>43130</v>
      </c>
      <c r="B602" s="45" t="s">
        <v>3184</v>
      </c>
      <c r="C602" s="426" t="s">
        <v>1274</v>
      </c>
      <c r="D602" s="45" t="s">
        <v>159</v>
      </c>
      <c r="E602" s="650">
        <v>175</v>
      </c>
      <c r="F602" s="45" t="s">
        <v>496</v>
      </c>
      <c r="G602" s="45" t="s">
        <v>174</v>
      </c>
    </row>
    <row r="603" spans="1:7" ht="13.5" customHeight="1" x14ac:dyDescent="0.35">
      <c r="A603" s="47">
        <v>43130</v>
      </c>
      <c r="B603" s="45" t="s">
        <v>1882</v>
      </c>
      <c r="C603" s="426" t="s">
        <v>28</v>
      </c>
      <c r="D603" s="45" t="s">
        <v>162</v>
      </c>
      <c r="E603" s="652">
        <v>200</v>
      </c>
      <c r="F603" s="45" t="s">
        <v>1775</v>
      </c>
      <c r="G603" s="45" t="s">
        <v>1311</v>
      </c>
    </row>
    <row r="604" spans="1:7" ht="13.5" customHeight="1" x14ac:dyDescent="0.35">
      <c r="A604" s="47">
        <v>43129</v>
      </c>
      <c r="B604" s="45" t="s">
        <v>3185</v>
      </c>
      <c r="C604" s="426" t="s">
        <v>2525</v>
      </c>
      <c r="D604" s="45" t="s">
        <v>159</v>
      </c>
      <c r="E604" s="650">
        <v>35</v>
      </c>
      <c r="F604" s="45" t="s">
        <v>3186</v>
      </c>
      <c r="G604" s="45" t="s">
        <v>174</v>
      </c>
    </row>
    <row r="605" spans="1:7" ht="13.5" customHeight="1" x14ac:dyDescent="0.35">
      <c r="A605" s="47">
        <v>43129</v>
      </c>
      <c r="B605" s="45" t="s">
        <v>3185</v>
      </c>
      <c r="C605" s="426" t="s">
        <v>1279</v>
      </c>
      <c r="D605" s="45" t="s">
        <v>159</v>
      </c>
      <c r="E605" s="650">
        <v>195</v>
      </c>
      <c r="F605" s="45" t="s">
        <v>3187</v>
      </c>
      <c r="G605" s="45" t="s">
        <v>174</v>
      </c>
    </row>
    <row r="606" spans="1:7" ht="13.5" customHeight="1" x14ac:dyDescent="0.35">
      <c r="A606" s="47">
        <v>43128</v>
      </c>
      <c r="B606" s="45" t="s">
        <v>3188</v>
      </c>
      <c r="C606" s="426" t="s">
        <v>28</v>
      </c>
      <c r="D606" s="45" t="s">
        <v>159</v>
      </c>
      <c r="E606" s="650">
        <v>245</v>
      </c>
      <c r="F606" s="45" t="s">
        <v>3183</v>
      </c>
      <c r="G606" s="45" t="s">
        <v>175</v>
      </c>
    </row>
    <row r="607" spans="1:7" ht="13.5" customHeight="1" x14ac:dyDescent="0.35">
      <c r="A607" s="47">
        <v>43126</v>
      </c>
      <c r="B607" s="45" t="s">
        <v>3189</v>
      </c>
      <c r="C607" s="426" t="s">
        <v>28</v>
      </c>
      <c r="D607" s="45" t="s">
        <v>159</v>
      </c>
      <c r="E607" s="650">
        <v>30</v>
      </c>
      <c r="F607" s="45" t="s">
        <v>1924</v>
      </c>
      <c r="G607" s="45" t="s">
        <v>174</v>
      </c>
    </row>
    <row r="608" spans="1:7" ht="13.5" customHeight="1" x14ac:dyDescent="0.35">
      <c r="A608" s="47">
        <v>43127</v>
      </c>
      <c r="B608" s="45" t="s">
        <v>2385</v>
      </c>
      <c r="C608" s="426" t="s">
        <v>28</v>
      </c>
      <c r="D608" s="45" t="s">
        <v>160</v>
      </c>
      <c r="E608" s="650">
        <v>135</v>
      </c>
      <c r="F608" s="45" t="s">
        <v>3190</v>
      </c>
      <c r="G608" s="45" t="s">
        <v>175</v>
      </c>
    </row>
    <row r="609" spans="1:7" ht="13.5" customHeight="1" x14ac:dyDescent="0.35">
      <c r="A609" s="47">
        <v>43128</v>
      </c>
      <c r="B609" s="45" t="s">
        <v>3143</v>
      </c>
      <c r="C609" s="426" t="s">
        <v>28</v>
      </c>
      <c r="D609" s="45" t="s">
        <v>159</v>
      </c>
      <c r="E609" s="650">
        <v>30</v>
      </c>
      <c r="F609" s="45" t="s">
        <v>1924</v>
      </c>
      <c r="G609" s="45" t="s">
        <v>174</v>
      </c>
    </row>
    <row r="610" spans="1:7" ht="13.5" customHeight="1" x14ac:dyDescent="0.35">
      <c r="A610" s="47">
        <v>43125</v>
      </c>
      <c r="B610" s="45" t="s">
        <v>2460</v>
      </c>
      <c r="C610" s="426" t="s">
        <v>28</v>
      </c>
      <c r="D610" s="45" t="s">
        <v>160</v>
      </c>
      <c r="E610" s="650">
        <v>30</v>
      </c>
      <c r="F610" s="45" t="s">
        <v>1924</v>
      </c>
      <c r="G610" s="45" t="s">
        <v>174</v>
      </c>
    </row>
    <row r="611" spans="1:7" ht="13.5" customHeight="1" x14ac:dyDescent="0.35">
      <c r="A611" s="47">
        <v>43125</v>
      </c>
      <c r="B611" s="45" t="s">
        <v>3191</v>
      </c>
      <c r="C611" s="426" t="s">
        <v>1274</v>
      </c>
      <c r="D611" s="45" t="s">
        <v>159</v>
      </c>
      <c r="E611" s="650">
        <v>125</v>
      </c>
      <c r="F611" s="45" t="s">
        <v>230</v>
      </c>
      <c r="G611" s="45" t="s">
        <v>174</v>
      </c>
    </row>
    <row r="612" spans="1:7" ht="13.5" customHeight="1" x14ac:dyDescent="0.35">
      <c r="A612" s="47">
        <v>43124</v>
      </c>
      <c r="B612" s="45" t="s">
        <v>2461</v>
      </c>
      <c r="C612" s="426" t="s">
        <v>1279</v>
      </c>
      <c r="D612" s="45" t="s">
        <v>159</v>
      </c>
      <c r="E612" s="650">
        <v>65</v>
      </c>
      <c r="F612" s="45" t="s">
        <v>3187</v>
      </c>
      <c r="G612" s="45" t="s">
        <v>175</v>
      </c>
    </row>
    <row r="613" spans="1:7" ht="13.5" customHeight="1" x14ac:dyDescent="0.35">
      <c r="A613" s="47">
        <v>43122</v>
      </c>
      <c r="B613" s="45" t="s">
        <v>3142</v>
      </c>
      <c r="C613" s="426" t="s">
        <v>28</v>
      </c>
      <c r="D613" s="45" t="s">
        <v>163</v>
      </c>
      <c r="E613" s="650">
        <v>13</v>
      </c>
      <c r="F613" s="45" t="s">
        <v>1924</v>
      </c>
      <c r="G613" s="45" t="s">
        <v>163</v>
      </c>
    </row>
    <row r="614" spans="1:7" ht="13.5" customHeight="1" x14ac:dyDescent="0.35">
      <c r="A614" s="47">
        <v>43122</v>
      </c>
      <c r="B614" s="45" t="s">
        <v>3182</v>
      </c>
      <c r="C614" s="426" t="s">
        <v>28</v>
      </c>
      <c r="D614" s="45" t="s">
        <v>159</v>
      </c>
      <c r="E614" s="650">
        <v>30</v>
      </c>
      <c r="F614" s="45" t="s">
        <v>1924</v>
      </c>
      <c r="G614" s="45" t="s">
        <v>174</v>
      </c>
    </row>
    <row r="615" spans="1:7" ht="13.5" customHeight="1" x14ac:dyDescent="0.35">
      <c r="A615" s="47">
        <v>43118</v>
      </c>
      <c r="B615" s="45" t="s">
        <v>3192</v>
      </c>
      <c r="C615" s="426" t="s">
        <v>28</v>
      </c>
      <c r="D615" s="45" t="s">
        <v>162</v>
      </c>
      <c r="E615" s="650">
        <v>200</v>
      </c>
      <c r="F615" s="45" t="s">
        <v>1775</v>
      </c>
      <c r="G615" s="45" t="s">
        <v>1311</v>
      </c>
    </row>
    <row r="616" spans="1:7" ht="13.5" customHeight="1" x14ac:dyDescent="0.35">
      <c r="A616" s="47">
        <v>43118</v>
      </c>
      <c r="B616" s="45" t="s">
        <v>1862</v>
      </c>
      <c r="C616" s="426" t="s">
        <v>28</v>
      </c>
      <c r="D616" s="45" t="s">
        <v>162</v>
      </c>
      <c r="E616" s="650">
        <v>200</v>
      </c>
      <c r="F616" s="45" t="s">
        <v>1775</v>
      </c>
      <c r="G616" s="45" t="s">
        <v>1311</v>
      </c>
    </row>
    <row r="617" spans="1:7" ht="13.5" customHeight="1" x14ac:dyDescent="0.35">
      <c r="A617" s="47">
        <v>43118</v>
      </c>
      <c r="B617" s="45" t="s">
        <v>1868</v>
      </c>
      <c r="C617" s="426" t="s">
        <v>1279</v>
      </c>
      <c r="D617" s="45" t="s">
        <v>162</v>
      </c>
      <c r="E617" s="650">
        <v>200</v>
      </c>
      <c r="F617" s="45" t="s">
        <v>3187</v>
      </c>
      <c r="G617" s="45" t="s">
        <v>1311</v>
      </c>
    </row>
    <row r="618" spans="1:7" ht="13.5" customHeight="1" x14ac:dyDescent="0.35">
      <c r="A618" s="47">
        <v>43118</v>
      </c>
      <c r="B618" s="45" t="s">
        <v>1872</v>
      </c>
      <c r="C618" s="426" t="s">
        <v>1274</v>
      </c>
      <c r="D618" s="45" t="s">
        <v>162</v>
      </c>
      <c r="E618" s="650">
        <v>150</v>
      </c>
      <c r="F618" s="45" t="s">
        <v>3193</v>
      </c>
      <c r="G618" s="45" t="s">
        <v>1311</v>
      </c>
    </row>
    <row r="619" spans="1:7" ht="13.5" customHeight="1" x14ac:dyDescent="0.35">
      <c r="A619" s="47">
        <v>43118</v>
      </c>
      <c r="B619" s="45" t="s">
        <v>1876</v>
      </c>
      <c r="C619" s="426" t="s">
        <v>28</v>
      </c>
      <c r="D619" s="45" t="s">
        <v>162</v>
      </c>
      <c r="E619" s="650">
        <v>200</v>
      </c>
      <c r="F619" s="45" t="s">
        <v>1775</v>
      </c>
      <c r="G619" s="45" t="s">
        <v>1311</v>
      </c>
    </row>
    <row r="620" spans="1:7" ht="13.5" customHeight="1" x14ac:dyDescent="0.35">
      <c r="A620" s="47">
        <v>43118</v>
      </c>
      <c r="B620" s="45" t="s">
        <v>1879</v>
      </c>
      <c r="C620" s="426" t="s">
        <v>28</v>
      </c>
      <c r="D620" s="45" t="s">
        <v>162</v>
      </c>
      <c r="E620" s="650">
        <v>200</v>
      </c>
      <c r="F620" s="45" t="s">
        <v>1775</v>
      </c>
      <c r="G620" s="45" t="s">
        <v>1311</v>
      </c>
    </row>
    <row r="621" spans="1:7" ht="13.5" customHeight="1" x14ac:dyDescent="0.35">
      <c r="A621" s="47">
        <v>43117</v>
      </c>
      <c r="B621" s="45" t="s">
        <v>3194</v>
      </c>
      <c r="C621" s="426" t="s">
        <v>1274</v>
      </c>
      <c r="D621" s="45" t="s">
        <v>159</v>
      </c>
      <c r="E621" s="650">
        <v>59</v>
      </c>
      <c r="F621" s="45" t="s">
        <v>177</v>
      </c>
      <c r="G621" s="45" t="s">
        <v>177</v>
      </c>
    </row>
    <row r="622" spans="1:7" ht="13.5" customHeight="1" x14ac:dyDescent="0.35">
      <c r="A622" s="47">
        <v>43117</v>
      </c>
      <c r="B622" s="45" t="s">
        <v>3195</v>
      </c>
      <c r="C622" s="426" t="s">
        <v>28</v>
      </c>
      <c r="D622" s="45" t="s">
        <v>160</v>
      </c>
      <c r="E622" s="650">
        <v>30</v>
      </c>
      <c r="F622" s="45" t="s">
        <v>1924</v>
      </c>
      <c r="G622" s="45" t="s">
        <v>174</v>
      </c>
    </row>
    <row r="623" spans="1:7" ht="13.5" customHeight="1" x14ac:dyDescent="0.35">
      <c r="A623" s="47">
        <v>43117</v>
      </c>
      <c r="B623" s="45" t="s">
        <v>3196</v>
      </c>
      <c r="C623" s="426" t="s">
        <v>2525</v>
      </c>
      <c r="D623" s="45" t="s">
        <v>159</v>
      </c>
      <c r="E623" s="650">
        <v>0.9</v>
      </c>
      <c r="F623" s="45" t="s">
        <v>3197</v>
      </c>
      <c r="G623" s="45" t="s">
        <v>181</v>
      </c>
    </row>
    <row r="624" spans="1:7" ht="13.5" customHeight="1" x14ac:dyDescent="0.35">
      <c r="A624" s="480">
        <v>43116</v>
      </c>
      <c r="B624" s="45" t="s">
        <v>3198</v>
      </c>
      <c r="C624" s="426" t="s">
        <v>28</v>
      </c>
      <c r="D624" s="45" t="s">
        <v>163</v>
      </c>
      <c r="E624" s="567">
        <v>13</v>
      </c>
      <c r="F624" s="45" t="s">
        <v>1924</v>
      </c>
      <c r="G624" s="45" t="s">
        <v>163</v>
      </c>
    </row>
    <row r="625" spans="1:7" ht="13.5" customHeight="1" x14ac:dyDescent="0.35">
      <c r="A625" s="480">
        <v>43116</v>
      </c>
      <c r="B625" s="45" t="s">
        <v>3199</v>
      </c>
      <c r="C625" s="426" t="s">
        <v>28</v>
      </c>
      <c r="D625" s="45" t="s">
        <v>163</v>
      </c>
      <c r="E625" s="567">
        <v>13</v>
      </c>
      <c r="F625" s="45" t="s">
        <v>1924</v>
      </c>
      <c r="G625" s="45" t="s">
        <v>163</v>
      </c>
    </row>
    <row r="626" spans="1:7" ht="13.5" customHeight="1" x14ac:dyDescent="0.35">
      <c r="A626" s="480">
        <v>43116</v>
      </c>
      <c r="B626" s="45" t="s">
        <v>3200</v>
      </c>
      <c r="C626" s="426" t="s">
        <v>28</v>
      </c>
      <c r="D626" s="45" t="s">
        <v>163</v>
      </c>
      <c r="E626" s="567">
        <v>13</v>
      </c>
      <c r="F626" s="45" t="s">
        <v>1924</v>
      </c>
      <c r="G626" s="45" t="s">
        <v>163</v>
      </c>
    </row>
    <row r="627" spans="1:7" ht="13.5" customHeight="1" x14ac:dyDescent="0.35">
      <c r="A627" s="480">
        <v>43116</v>
      </c>
      <c r="B627" s="45" t="s">
        <v>3201</v>
      </c>
      <c r="C627" s="426" t="s">
        <v>28</v>
      </c>
      <c r="D627" s="45" t="s">
        <v>163</v>
      </c>
      <c r="E627" s="567">
        <v>13</v>
      </c>
      <c r="F627" s="45" t="s">
        <v>1924</v>
      </c>
      <c r="G627" s="45" t="s">
        <v>163</v>
      </c>
    </row>
    <row r="628" spans="1:7" ht="13.5" customHeight="1" x14ac:dyDescent="0.35">
      <c r="A628" s="480">
        <v>43116</v>
      </c>
      <c r="B628" s="426" t="s">
        <v>1865</v>
      </c>
      <c r="C628" s="426" t="s">
        <v>28</v>
      </c>
      <c r="D628" s="45" t="s">
        <v>162</v>
      </c>
      <c r="E628" s="653">
        <v>135</v>
      </c>
      <c r="F628" s="45" t="s">
        <v>1141</v>
      </c>
      <c r="G628" s="45" t="s">
        <v>1311</v>
      </c>
    </row>
    <row r="629" spans="1:7" ht="13.5" customHeight="1" x14ac:dyDescent="0.35">
      <c r="A629" s="480">
        <v>43115</v>
      </c>
      <c r="B629" s="426" t="s">
        <v>3202</v>
      </c>
      <c r="C629" s="426" t="s">
        <v>1274</v>
      </c>
      <c r="D629" s="45" t="s">
        <v>159</v>
      </c>
      <c r="E629" s="567">
        <v>125</v>
      </c>
      <c r="F629" s="45" t="s">
        <v>230</v>
      </c>
      <c r="G629" s="45" t="s">
        <v>181</v>
      </c>
    </row>
    <row r="630" spans="1:7" ht="13.5" customHeight="1" x14ac:dyDescent="0.35">
      <c r="A630" s="480">
        <v>43115</v>
      </c>
      <c r="B630" s="426" t="s">
        <v>3202</v>
      </c>
      <c r="C630" s="426" t="s">
        <v>1274</v>
      </c>
      <c r="D630" s="45" t="s">
        <v>159</v>
      </c>
      <c r="E630" s="567">
        <v>125</v>
      </c>
      <c r="F630" s="45" t="s">
        <v>230</v>
      </c>
      <c r="G630" s="45" t="s">
        <v>181</v>
      </c>
    </row>
    <row r="631" spans="1:7" ht="13.5" customHeight="1" x14ac:dyDescent="0.35">
      <c r="A631" s="480">
        <v>43115</v>
      </c>
      <c r="B631" s="426" t="s">
        <v>3202</v>
      </c>
      <c r="C631" s="426" t="s">
        <v>1274</v>
      </c>
      <c r="D631" s="45" t="s">
        <v>159</v>
      </c>
      <c r="E631" s="567">
        <v>125</v>
      </c>
      <c r="F631" s="45" t="s">
        <v>230</v>
      </c>
      <c r="G631" s="45" t="s">
        <v>181</v>
      </c>
    </row>
    <row r="632" spans="1:7" ht="13.5" customHeight="1" x14ac:dyDescent="0.35">
      <c r="A632" s="480">
        <v>43115</v>
      </c>
      <c r="B632" s="426" t="s">
        <v>3202</v>
      </c>
      <c r="C632" s="426" t="s">
        <v>1274</v>
      </c>
      <c r="D632" s="45" t="s">
        <v>159</v>
      </c>
      <c r="E632" s="567">
        <v>125</v>
      </c>
      <c r="F632" s="45" t="s">
        <v>230</v>
      </c>
      <c r="G632" s="45" t="s">
        <v>175</v>
      </c>
    </row>
    <row r="633" spans="1:7" ht="13.5" customHeight="1" x14ac:dyDescent="0.35">
      <c r="A633" s="480">
        <v>43114</v>
      </c>
      <c r="B633" s="45" t="s">
        <v>2445</v>
      </c>
      <c r="C633" s="426" t="s">
        <v>1274</v>
      </c>
      <c r="D633" s="45" t="s">
        <v>159</v>
      </c>
      <c r="E633" s="567">
        <v>75</v>
      </c>
      <c r="F633" s="45" t="s">
        <v>3203</v>
      </c>
      <c r="G633" s="45" t="s">
        <v>175</v>
      </c>
    </row>
    <row r="634" spans="1:7" ht="13.5" customHeight="1" x14ac:dyDescent="0.35">
      <c r="A634" s="480">
        <v>43112</v>
      </c>
      <c r="B634" s="426" t="s">
        <v>2833</v>
      </c>
      <c r="C634" s="426" t="s">
        <v>1274</v>
      </c>
      <c r="D634" s="45" t="s">
        <v>159</v>
      </c>
      <c r="E634" s="567">
        <v>175</v>
      </c>
      <c r="F634" s="45" t="s">
        <v>230</v>
      </c>
      <c r="G634" s="45" t="s">
        <v>175</v>
      </c>
    </row>
    <row r="635" spans="1:7" ht="13.5" customHeight="1" x14ac:dyDescent="0.35">
      <c r="A635" s="480">
        <v>43112</v>
      </c>
      <c r="B635" s="426" t="s">
        <v>3204</v>
      </c>
      <c r="C635" s="426" t="s">
        <v>28</v>
      </c>
      <c r="D635" s="45" t="s">
        <v>159</v>
      </c>
      <c r="E635" s="567">
        <v>80</v>
      </c>
      <c r="F635" s="45" t="s">
        <v>3205</v>
      </c>
      <c r="G635" s="45" t="s">
        <v>181</v>
      </c>
    </row>
    <row r="636" spans="1:7" ht="13.5" customHeight="1" x14ac:dyDescent="0.35">
      <c r="A636" s="480">
        <v>43112</v>
      </c>
      <c r="B636" s="426" t="s">
        <v>3166</v>
      </c>
      <c r="C636" s="426" t="s">
        <v>28</v>
      </c>
      <c r="D636" s="45" t="s">
        <v>162</v>
      </c>
      <c r="E636" s="567">
        <v>75</v>
      </c>
      <c r="F636" s="45" t="s">
        <v>1775</v>
      </c>
      <c r="G636" s="45" t="s">
        <v>1311</v>
      </c>
    </row>
    <row r="637" spans="1:7" ht="13.5" customHeight="1" x14ac:dyDescent="0.35">
      <c r="A637" s="480">
        <v>43112</v>
      </c>
      <c r="B637" s="426" t="s">
        <v>1429</v>
      </c>
      <c r="C637" s="426" t="s">
        <v>28</v>
      </c>
      <c r="D637" s="45" t="s">
        <v>159</v>
      </c>
      <c r="E637" s="567">
        <v>50</v>
      </c>
      <c r="F637" s="45" t="s">
        <v>3206</v>
      </c>
      <c r="G637" s="45" t="s">
        <v>175</v>
      </c>
    </row>
    <row r="638" spans="1:7" ht="13.5" customHeight="1" x14ac:dyDescent="0.35">
      <c r="A638" s="480">
        <v>43112</v>
      </c>
      <c r="B638" s="426" t="s">
        <v>2833</v>
      </c>
      <c r="C638" s="426" t="s">
        <v>28</v>
      </c>
      <c r="D638" s="45" t="s">
        <v>159</v>
      </c>
      <c r="E638" s="567">
        <v>50</v>
      </c>
      <c r="F638" s="45" t="s">
        <v>3206</v>
      </c>
      <c r="G638" s="45" t="s">
        <v>175</v>
      </c>
    </row>
    <row r="639" spans="1:7" ht="13.5" customHeight="1" x14ac:dyDescent="0.35">
      <c r="A639" s="480">
        <v>43110</v>
      </c>
      <c r="B639" s="426" t="s">
        <v>2235</v>
      </c>
      <c r="C639" s="426" t="s">
        <v>28</v>
      </c>
      <c r="D639" s="45" t="s">
        <v>159</v>
      </c>
      <c r="E639" s="567">
        <v>135</v>
      </c>
      <c r="F639" s="45" t="s">
        <v>3207</v>
      </c>
      <c r="G639" s="45" t="s">
        <v>175</v>
      </c>
    </row>
    <row r="640" spans="1:7" ht="13.5" customHeight="1" x14ac:dyDescent="0.35">
      <c r="A640" s="480">
        <v>43109</v>
      </c>
      <c r="B640" s="426" t="s">
        <v>3208</v>
      </c>
      <c r="C640" s="426" t="s">
        <v>28</v>
      </c>
      <c r="D640" s="45" t="s">
        <v>159</v>
      </c>
      <c r="E640" s="567">
        <v>15</v>
      </c>
      <c r="F640" s="45" t="s">
        <v>2808</v>
      </c>
      <c r="G640" s="45" t="s">
        <v>175</v>
      </c>
    </row>
    <row r="641" spans="1:7" ht="13.5" customHeight="1" x14ac:dyDescent="0.35">
      <c r="A641" s="480">
        <v>43109</v>
      </c>
      <c r="B641" s="426" t="s">
        <v>2095</v>
      </c>
      <c r="C641" s="426" t="s">
        <v>28</v>
      </c>
      <c r="D641" s="45" t="s">
        <v>160</v>
      </c>
      <c r="E641" s="567">
        <v>50</v>
      </c>
      <c r="F641" s="45" t="s">
        <v>2808</v>
      </c>
      <c r="G641" s="45" t="s">
        <v>175</v>
      </c>
    </row>
    <row r="642" spans="1:7" ht="13.5" customHeight="1" x14ac:dyDescent="0.35">
      <c r="A642" s="480">
        <v>43108</v>
      </c>
      <c r="B642" s="45" t="s">
        <v>3209</v>
      </c>
      <c r="C642" s="426" t="s">
        <v>28</v>
      </c>
      <c r="D642" s="45" t="s">
        <v>163</v>
      </c>
      <c r="E642" s="567">
        <v>13</v>
      </c>
      <c r="F642" s="45" t="s">
        <v>1924</v>
      </c>
      <c r="G642" s="45" t="s">
        <v>163</v>
      </c>
    </row>
    <row r="643" spans="1:7" ht="13.5" customHeight="1" x14ac:dyDescent="0.35">
      <c r="A643" s="480">
        <v>43108</v>
      </c>
      <c r="B643" s="426" t="s">
        <v>346</v>
      </c>
      <c r="C643" s="426" t="s">
        <v>1274</v>
      </c>
      <c r="D643" s="45" t="s">
        <v>159</v>
      </c>
      <c r="E643" s="567">
        <v>726.8</v>
      </c>
      <c r="F643" s="45" t="s">
        <v>496</v>
      </c>
      <c r="G643" s="45" t="s">
        <v>175</v>
      </c>
    </row>
    <row r="644" spans="1:7" ht="13.5" customHeight="1" x14ac:dyDescent="0.35">
      <c r="A644" s="480">
        <v>43108</v>
      </c>
      <c r="B644" s="426" t="s">
        <v>3210</v>
      </c>
      <c r="C644" s="426" t="s">
        <v>1274</v>
      </c>
      <c r="D644" s="45" t="s">
        <v>160</v>
      </c>
      <c r="E644" s="567">
        <v>126.8</v>
      </c>
      <c r="F644" s="45" t="s">
        <v>230</v>
      </c>
      <c r="G644" s="45" t="s">
        <v>175</v>
      </c>
    </row>
    <row r="645" spans="1:7" ht="13.5" customHeight="1" x14ac:dyDescent="0.35">
      <c r="A645" s="480">
        <v>43107</v>
      </c>
      <c r="B645" s="426" t="s">
        <v>3211</v>
      </c>
      <c r="C645" s="426" t="s">
        <v>28</v>
      </c>
      <c r="D645" s="45" t="s">
        <v>159</v>
      </c>
      <c r="E645" s="567">
        <v>30</v>
      </c>
      <c r="F645" s="45" t="s">
        <v>1924</v>
      </c>
      <c r="G645" s="45" t="s">
        <v>174</v>
      </c>
    </row>
    <row r="646" spans="1:7" ht="13.5" customHeight="1" x14ac:dyDescent="0.35">
      <c r="A646" s="480">
        <v>43107</v>
      </c>
      <c r="B646" s="426" t="s">
        <v>3212</v>
      </c>
      <c r="C646" s="426" t="s">
        <v>28</v>
      </c>
      <c r="D646" s="45" t="s">
        <v>159</v>
      </c>
      <c r="E646" s="567">
        <v>550</v>
      </c>
      <c r="F646" s="45" t="s">
        <v>291</v>
      </c>
      <c r="G646" s="45" t="s">
        <v>175</v>
      </c>
    </row>
    <row r="647" spans="1:7" ht="13.5" customHeight="1" x14ac:dyDescent="0.35">
      <c r="A647" s="480">
        <v>43107</v>
      </c>
      <c r="B647" s="45" t="s">
        <v>3213</v>
      </c>
      <c r="C647" s="426" t="s">
        <v>28</v>
      </c>
      <c r="D647" s="45" t="s">
        <v>163</v>
      </c>
      <c r="E647" s="567">
        <v>13</v>
      </c>
      <c r="F647" s="45" t="s">
        <v>1924</v>
      </c>
      <c r="G647" s="45" t="s">
        <v>163</v>
      </c>
    </row>
    <row r="648" spans="1:7" ht="13.5" customHeight="1" x14ac:dyDescent="0.35">
      <c r="A648" s="480">
        <v>43107</v>
      </c>
      <c r="B648" s="426" t="s">
        <v>1187</v>
      </c>
      <c r="C648" s="426" t="s">
        <v>2525</v>
      </c>
      <c r="D648" s="45" t="s">
        <v>159</v>
      </c>
      <c r="E648" s="567">
        <v>30</v>
      </c>
      <c r="F648" s="45" t="s">
        <v>3119</v>
      </c>
      <c r="G648" s="45" t="s">
        <v>175</v>
      </c>
    </row>
    <row r="649" spans="1:7" ht="13.5" customHeight="1" x14ac:dyDescent="0.35">
      <c r="A649" s="480">
        <v>43106</v>
      </c>
      <c r="B649" s="426" t="s">
        <v>1187</v>
      </c>
      <c r="C649" s="426" t="s">
        <v>1274</v>
      </c>
      <c r="D649" s="45" t="s">
        <v>159</v>
      </c>
      <c r="E649" s="567">
        <v>75</v>
      </c>
      <c r="F649" s="45" t="s">
        <v>494</v>
      </c>
      <c r="G649" s="45" t="s">
        <v>175</v>
      </c>
    </row>
    <row r="650" spans="1:7" ht="13.5" customHeight="1" x14ac:dyDescent="0.35">
      <c r="A650" s="480">
        <v>43105</v>
      </c>
      <c r="B650" s="45" t="s">
        <v>3214</v>
      </c>
      <c r="C650" s="426" t="s">
        <v>28</v>
      </c>
      <c r="D650" s="45" t="s">
        <v>163</v>
      </c>
      <c r="E650" s="567">
        <v>13</v>
      </c>
      <c r="F650" s="45" t="s">
        <v>1924</v>
      </c>
      <c r="G650" s="45" t="s">
        <v>163</v>
      </c>
    </row>
    <row r="651" spans="1:7" ht="13.5" customHeight="1" x14ac:dyDescent="0.35">
      <c r="A651" s="480">
        <v>43105</v>
      </c>
      <c r="B651" s="426" t="s">
        <v>2613</v>
      </c>
      <c r="C651" s="426" t="s">
        <v>1274</v>
      </c>
      <c r="D651" s="45" t="s">
        <v>166</v>
      </c>
      <c r="E651" s="567">
        <v>67.5</v>
      </c>
      <c r="F651" s="45" t="s">
        <v>494</v>
      </c>
      <c r="G651" s="45" t="s">
        <v>175</v>
      </c>
    </row>
    <row r="652" spans="1:7" ht="13.5" customHeight="1" x14ac:dyDescent="0.35">
      <c r="A652" s="480">
        <v>43105</v>
      </c>
      <c r="B652" s="426" t="s">
        <v>2613</v>
      </c>
      <c r="C652" s="426" t="s">
        <v>1277</v>
      </c>
      <c r="D652" s="45" t="s">
        <v>166</v>
      </c>
      <c r="E652" s="567">
        <v>-67.5</v>
      </c>
      <c r="F652" s="45" t="s">
        <v>494</v>
      </c>
      <c r="G652" s="45" t="s">
        <v>175</v>
      </c>
    </row>
    <row r="653" spans="1:7" ht="13.5" customHeight="1" x14ac:dyDescent="0.35">
      <c r="A653" s="480">
        <v>43105</v>
      </c>
      <c r="B653" s="426" t="s">
        <v>3215</v>
      </c>
      <c r="C653" s="426" t="s">
        <v>2525</v>
      </c>
      <c r="D653" s="45" t="s">
        <v>159</v>
      </c>
      <c r="E653" s="567">
        <v>150</v>
      </c>
      <c r="F653" s="45" t="s">
        <v>734</v>
      </c>
      <c r="G653" s="45" t="s">
        <v>174</v>
      </c>
    </row>
    <row r="654" spans="1:7" ht="13.5" customHeight="1" x14ac:dyDescent="0.35">
      <c r="A654" s="480">
        <v>43105</v>
      </c>
      <c r="B654" s="45" t="s">
        <v>2394</v>
      </c>
      <c r="C654" s="426" t="s">
        <v>1274</v>
      </c>
      <c r="D654" s="45" t="s">
        <v>162</v>
      </c>
      <c r="E654" s="567">
        <v>75</v>
      </c>
      <c r="F654" s="45" t="s">
        <v>494</v>
      </c>
      <c r="G654" s="45" t="s">
        <v>175</v>
      </c>
    </row>
    <row r="655" spans="1:7" ht="13.5" customHeight="1" x14ac:dyDescent="0.35">
      <c r="A655" s="480">
        <v>43105</v>
      </c>
      <c r="B655" s="426" t="s">
        <v>346</v>
      </c>
      <c r="C655" s="426" t="s">
        <v>1274</v>
      </c>
      <c r="D655" s="45" t="s">
        <v>159</v>
      </c>
      <c r="E655" s="567">
        <v>76.8</v>
      </c>
      <c r="F655" s="45" t="s">
        <v>494</v>
      </c>
      <c r="G655" s="45" t="s">
        <v>175</v>
      </c>
    </row>
    <row r="656" spans="1:7" ht="13.5" customHeight="1" x14ac:dyDescent="0.35">
      <c r="A656" s="480">
        <v>43104</v>
      </c>
      <c r="B656" s="45" t="s">
        <v>87</v>
      </c>
      <c r="C656" s="426" t="s">
        <v>2525</v>
      </c>
      <c r="D656" s="45" t="s">
        <v>162</v>
      </c>
      <c r="E656" s="567">
        <v>125.56</v>
      </c>
      <c r="F656" s="45" t="s">
        <v>414</v>
      </c>
      <c r="G656" s="45" t="s">
        <v>181</v>
      </c>
    </row>
    <row r="657" spans="1:7" ht="13.5" customHeight="1" x14ac:dyDescent="0.35">
      <c r="A657" s="480">
        <v>43103</v>
      </c>
      <c r="B657" s="426" t="s">
        <v>3216</v>
      </c>
      <c r="C657" s="426" t="s">
        <v>28</v>
      </c>
      <c r="D657" s="45" t="s">
        <v>160</v>
      </c>
      <c r="E657" s="567">
        <v>275</v>
      </c>
      <c r="F657" s="45" t="s">
        <v>1775</v>
      </c>
      <c r="G657" s="45" t="s">
        <v>174</v>
      </c>
    </row>
    <row r="658" spans="1:7" ht="13.5" customHeight="1" x14ac:dyDescent="0.35">
      <c r="A658" s="480">
        <v>43103</v>
      </c>
      <c r="B658" s="45" t="s">
        <v>2205</v>
      </c>
      <c r="C658" s="426" t="s">
        <v>1277</v>
      </c>
      <c r="D658" s="45" t="s">
        <v>166</v>
      </c>
      <c r="E658" s="567">
        <v>-40</v>
      </c>
      <c r="F658" s="45" t="s">
        <v>2808</v>
      </c>
      <c r="G658" s="45" t="s">
        <v>175</v>
      </c>
    </row>
    <row r="659" spans="1:7" ht="13.5" customHeight="1" x14ac:dyDescent="0.35">
      <c r="A659" s="480">
        <v>43103</v>
      </c>
      <c r="B659" s="45" t="s">
        <v>2205</v>
      </c>
      <c r="C659" s="426" t="s">
        <v>28</v>
      </c>
      <c r="D659" s="45" t="s">
        <v>166</v>
      </c>
      <c r="E659" s="567">
        <v>40</v>
      </c>
      <c r="F659" s="45" t="s">
        <v>2808</v>
      </c>
      <c r="G659" s="45" t="s">
        <v>175</v>
      </c>
    </row>
    <row r="660" spans="1:7" ht="13.5" customHeight="1" x14ac:dyDescent="0.35">
      <c r="A660" s="480">
        <v>43102</v>
      </c>
      <c r="B660" s="45" t="s">
        <v>3217</v>
      </c>
      <c r="C660" s="426" t="s">
        <v>28</v>
      </c>
      <c r="D660" s="45" t="s">
        <v>160</v>
      </c>
      <c r="E660" s="567">
        <v>50</v>
      </c>
      <c r="F660" s="45" t="s">
        <v>3218</v>
      </c>
      <c r="G660" s="45" t="s">
        <v>175</v>
      </c>
    </row>
    <row r="661" spans="1:7" ht="13.5" customHeight="1" x14ac:dyDescent="0.35">
      <c r="A661" s="480">
        <v>43102</v>
      </c>
      <c r="B661" s="426" t="s">
        <v>3219</v>
      </c>
      <c r="C661" s="426" t="s">
        <v>2525</v>
      </c>
      <c r="D661" s="45" t="s">
        <v>162</v>
      </c>
      <c r="E661" s="567">
        <v>500</v>
      </c>
      <c r="F661" s="45" t="s">
        <v>3220</v>
      </c>
      <c r="G661" s="45" t="s">
        <v>174</v>
      </c>
    </row>
    <row r="662" spans="1:7" ht="13.5" customHeight="1" x14ac:dyDescent="0.35">
      <c r="A662" s="480">
        <v>43101</v>
      </c>
      <c r="B662" s="45" t="s">
        <v>2511</v>
      </c>
      <c r="C662" s="426" t="s">
        <v>1276</v>
      </c>
      <c r="D662" s="426" t="s">
        <v>161</v>
      </c>
      <c r="E662" s="567">
        <v>168.11</v>
      </c>
      <c r="F662" s="426" t="s">
        <v>1078</v>
      </c>
      <c r="G662" s="426" t="s">
        <v>175</v>
      </c>
    </row>
    <row r="663" spans="1:7" ht="13.5" customHeight="1" x14ac:dyDescent="0.35">
      <c r="A663" s="480">
        <v>43101</v>
      </c>
      <c r="B663" s="45" t="s">
        <v>2512</v>
      </c>
      <c r="C663" s="426" t="s">
        <v>1278</v>
      </c>
      <c r="D663" s="426" t="s">
        <v>161</v>
      </c>
      <c r="E663" s="567">
        <v>60</v>
      </c>
      <c r="F663" s="426" t="s">
        <v>292</v>
      </c>
      <c r="G663" s="426" t="s">
        <v>175</v>
      </c>
    </row>
  </sheetData>
  <mergeCells count="2">
    <mergeCell ref="U21:V21"/>
    <mergeCell ref="U22:V22"/>
  </mergeCells>
  <conditionalFormatting sqref="V112:V668 V689:V817 V819:V1091 X4 X21:X26 X69 X77:X87 X97 X102 X111">
    <cfRule type="cellIs" dxfId="1307" priority="441" operator="lessThan">
      <formula>0</formula>
    </cfRule>
  </conditionalFormatting>
  <conditionalFormatting sqref="X19">
    <cfRule type="cellIs" dxfId="1306" priority="440" operator="lessThan">
      <formula>0</formula>
    </cfRule>
  </conditionalFormatting>
  <conditionalFormatting sqref="X4:X11">
    <cfRule type="cellIs" dxfId="1305" priority="117" operator="lessThan">
      <formula>0</formula>
    </cfRule>
    <cfRule type="cellIs" dxfId="1304" priority="118" operator="lessThan">
      <formula>0</formula>
    </cfRule>
    <cfRule type="cellIs" dxfId="1303" priority="119" operator="lessThan">
      <formula>0</formula>
    </cfRule>
    <cfRule type="cellIs" dxfId="1302" priority="120" operator="lessThan">
      <formula>0</formula>
    </cfRule>
    <cfRule type="cellIs" dxfId="1301" priority="121" operator="lessThan">
      <formula>0</formula>
    </cfRule>
    <cfRule type="cellIs" dxfId="1300" priority="122" operator="lessThan">
      <formula>0</formula>
    </cfRule>
    <cfRule type="cellIs" dxfId="1299" priority="123" operator="lessThan">
      <formula>0</formula>
    </cfRule>
    <cfRule type="cellIs" dxfId="1298" priority="124" operator="lessThan">
      <formula>0</formula>
    </cfRule>
    <cfRule type="cellIs" dxfId="1297" priority="125" operator="lessThan">
      <formula>0</formula>
    </cfRule>
    <cfRule type="cellIs" dxfId="1296" priority="126" operator="lessThan">
      <formula>0</formula>
    </cfRule>
    <cfRule type="cellIs" dxfId="1295" priority="127" operator="lessThan">
      <formula>0</formula>
    </cfRule>
    <cfRule type="cellIs" dxfId="1294" priority="128" operator="lessThan">
      <formula>0</formula>
    </cfRule>
    <cfRule type="cellIs" dxfId="1293" priority="129" operator="lessThan">
      <formula>0</formula>
    </cfRule>
    <cfRule type="cellIs" dxfId="1292" priority="130" operator="lessThan">
      <formula>0</formula>
    </cfRule>
    <cfRule type="cellIs" dxfId="1291" priority="131" operator="lessThan">
      <formula>0</formula>
    </cfRule>
    <cfRule type="cellIs" dxfId="1290" priority="132" operator="lessThan">
      <formula>0</formula>
    </cfRule>
    <cfRule type="cellIs" dxfId="1289" priority="133" operator="lessThan">
      <formula>0</formula>
    </cfRule>
    <cfRule type="cellIs" dxfId="1288" priority="137" operator="lessThan">
      <formula>0</formula>
    </cfRule>
    <cfRule type="cellIs" dxfId="1287" priority="306" operator="lessThan">
      <formula>0</formula>
    </cfRule>
    <cfRule type="cellIs" dxfId="1286" priority="308" operator="lessThan">
      <formula>0</formula>
    </cfRule>
    <cfRule type="cellIs" dxfId="1285" priority="317" operator="lessThan">
      <formula>0</formula>
    </cfRule>
    <cfRule type="cellIs" dxfId="1284" priority="375" operator="lessThan">
      <formula>0</formula>
    </cfRule>
    <cfRule type="cellIs" dxfId="1283" priority="393" operator="lessThan">
      <formula>0</formula>
    </cfRule>
    <cfRule type="cellIs" dxfId="1282" priority="424" operator="lessThan">
      <formula>0</formula>
    </cfRule>
    <cfRule type="cellIs" dxfId="1281" priority="425" operator="lessThan">
      <formula>0</formula>
    </cfRule>
    <cfRule type="cellIs" dxfId="1280" priority="428" operator="lessThan">
      <formula>0</formula>
    </cfRule>
    <cfRule type="cellIs" dxfId="1279" priority="435" operator="lessThan">
      <formula>0</formula>
    </cfRule>
    <cfRule type="cellIs" dxfId="1278" priority="436" operator="greaterThan">
      <formula>0</formula>
    </cfRule>
    <cfRule type="cellIs" dxfId="1277" priority="438" operator="lessThan">
      <formula>0</formula>
    </cfRule>
  </conditionalFormatting>
  <conditionalFormatting sqref="X20">
    <cfRule type="cellIs" dxfId="1276" priority="439" operator="lessThan">
      <formula>0</formula>
    </cfRule>
  </conditionalFormatting>
  <conditionalFormatting sqref="X11">
    <cfRule type="cellIs" dxfId="1275" priority="10" operator="lessThan">
      <formula>0</formula>
    </cfRule>
    <cfRule type="cellIs" dxfId="1274" priority="60" operator="lessThan">
      <formula>0</formula>
    </cfRule>
    <cfRule type="cellIs" dxfId="1273" priority="61" operator="lessThan">
      <formula>0</formula>
    </cfRule>
    <cfRule type="cellIs" dxfId="1272" priority="307" operator="lessThan">
      <formula>0</formula>
    </cfRule>
    <cfRule type="cellIs" dxfId="1271" priority="311" operator="lessThan">
      <formula>0</formula>
    </cfRule>
    <cfRule type="cellIs" dxfId="1270" priority="312" operator="lessThan">
      <formula>0</formula>
    </cfRule>
    <cfRule type="cellIs" dxfId="1269" priority="313" operator="lessThan">
      <formula>0</formula>
    </cfRule>
    <cfRule type="cellIs" dxfId="1268" priority="314" operator="lessThan">
      <formula>0</formula>
    </cfRule>
    <cfRule type="cellIs" dxfId="1267" priority="315" operator="lessThan">
      <formula>0</formula>
    </cfRule>
    <cfRule type="cellIs" dxfId="1266" priority="316" operator="lessThan">
      <formula>0</formula>
    </cfRule>
    <cfRule type="cellIs" dxfId="1265" priority="388" operator="lessThan">
      <formula>0</formula>
    </cfRule>
    <cfRule type="cellIs" dxfId="1264" priority="389" operator="lessThan">
      <formula>0</formula>
    </cfRule>
    <cfRule type="cellIs" dxfId="1263" priority="390" operator="lessThan">
      <formula>0</formula>
    </cfRule>
    <cfRule type="cellIs" dxfId="1262" priority="391" operator="lessThan">
      <formula>0</formula>
    </cfRule>
    <cfRule type="cellIs" dxfId="1261" priority="392" operator="lessThan">
      <formula>0</formula>
    </cfRule>
    <cfRule type="cellIs" dxfId="1260" priority="420" operator="lessThan">
      <formula>0</formula>
    </cfRule>
    <cfRule type="cellIs" dxfId="1259" priority="421" operator="lessThan">
      <formula>0</formula>
    </cfRule>
    <cfRule type="cellIs" dxfId="1258" priority="422" operator="lessThan">
      <formula>0</formula>
    </cfRule>
    <cfRule type="cellIs" dxfId="1257" priority="423" operator="lessThan">
      <formula>0</formula>
    </cfRule>
    <cfRule type="cellIs" dxfId="1256" priority="437" operator="lessThan">
      <formula>0</formula>
    </cfRule>
  </conditionalFormatting>
  <conditionalFormatting sqref="J24">
    <cfRule type="cellIs" dxfId="1255" priority="433" operator="greaterThan">
      <formula>0</formula>
    </cfRule>
    <cfRule type="cellIs" dxfId="1254" priority="434" operator="lessThan">
      <formula>0</formula>
    </cfRule>
  </conditionalFormatting>
  <conditionalFormatting sqref="Y4">
    <cfRule type="cellIs" dxfId="1253" priority="431" operator="greaterThan">
      <formula>0</formula>
    </cfRule>
    <cfRule type="cellIs" dxfId="1252" priority="432" operator="lessThan">
      <formula>0</formula>
    </cfRule>
  </conditionalFormatting>
  <conditionalFormatting sqref="Z4">
    <cfRule type="cellIs" dxfId="1251" priority="429" operator="greaterThan">
      <formula>0</formula>
    </cfRule>
    <cfRule type="cellIs" dxfId="1250" priority="430" operator="lessThan">
      <formula>0</formula>
    </cfRule>
  </conditionalFormatting>
  <conditionalFormatting sqref="AB4:AB11">
    <cfRule type="cellIs" dxfId="1249" priority="426" operator="lessThan">
      <formula>0</formula>
    </cfRule>
    <cfRule type="cellIs" dxfId="1248" priority="427" operator="greaterThan">
      <formula>0</formula>
    </cfRule>
  </conditionalFormatting>
  <conditionalFormatting sqref="Y11">
    <cfRule type="cellIs" dxfId="1247" priority="373" operator="greaterThan">
      <formula>0</formula>
    </cfRule>
    <cfRule type="cellIs" dxfId="1246" priority="374" operator="lessThan">
      <formula>0</formula>
    </cfRule>
  </conditionalFormatting>
  <conditionalFormatting sqref="W12">
    <cfRule type="cellIs" dxfId="1245" priority="346" operator="greaterThan">
      <formula>0.8</formula>
    </cfRule>
    <cfRule type="cellIs" dxfId="1244" priority="347" operator="between">
      <formula>0.51</formula>
      <formula>0.8</formula>
    </cfRule>
    <cfRule type="cellIs" dxfId="1243" priority="348" operator="lessThan">
      <formula>0.5</formula>
    </cfRule>
  </conditionalFormatting>
  <conditionalFormatting sqref="X89">
    <cfRule type="cellIs" dxfId="1242" priority="345" operator="lessThan">
      <formula>0</formula>
    </cfRule>
  </conditionalFormatting>
  <conditionalFormatting sqref="X99:X101">
    <cfRule type="cellIs" dxfId="1241" priority="344" operator="lessThan">
      <formula>0</formula>
    </cfRule>
  </conditionalFormatting>
  <conditionalFormatting sqref="Y5 Y7:Y10">
    <cfRule type="cellIs" dxfId="1240" priority="342" operator="greaterThan">
      <formula>0</formula>
    </cfRule>
    <cfRule type="cellIs" dxfId="1239" priority="343" operator="lessThan">
      <formula>0</formula>
    </cfRule>
  </conditionalFormatting>
  <conditionalFormatting sqref="Y16">
    <cfRule type="cellIs" dxfId="1238" priority="309" operator="greaterThan">
      <formula>0</formula>
    </cfRule>
    <cfRule type="cellIs" dxfId="1237" priority="310" operator="lessThan">
      <formula>0</formula>
    </cfRule>
  </conditionalFormatting>
  <conditionalFormatting sqref="X16">
    <cfRule type="cellIs" dxfId="1236" priority="297" operator="lessThan">
      <formula>0</formula>
    </cfRule>
    <cfRule type="cellIs" dxfId="1235" priority="298" operator="lessThan">
      <formula>0</formula>
    </cfRule>
    <cfRule type="cellIs" dxfId="1234" priority="299" operator="lessThan">
      <formula>0</formula>
    </cfRule>
    <cfRule type="cellIs" dxfId="1233" priority="300" operator="lessThan">
      <formula>0</formula>
    </cfRule>
    <cfRule type="cellIs" dxfId="1232" priority="301" operator="lessThan">
      <formula>0</formula>
    </cfRule>
    <cfRule type="cellIs" dxfId="1231" priority="302" operator="greaterThan">
      <formula>0</formula>
    </cfRule>
    <cfRule type="cellIs" dxfId="1230" priority="303" operator="lessThan">
      <formula>0</formula>
    </cfRule>
  </conditionalFormatting>
  <conditionalFormatting sqref="Z59:Z66">
    <cfRule type="cellIs" dxfId="1229" priority="293" operator="lessThan">
      <formula>0</formula>
    </cfRule>
    <cfRule type="cellIs" dxfId="1228" priority="294" operator="greaterThan">
      <formula>0</formula>
    </cfRule>
  </conditionalFormatting>
  <conditionalFormatting sqref="X104:X105">
    <cfRule type="cellIs" dxfId="1227" priority="292" operator="lessThan">
      <formula>0</formula>
    </cfRule>
  </conditionalFormatting>
  <conditionalFormatting sqref="X106:X107">
    <cfRule type="cellIs" dxfId="1226" priority="291" operator="lessThan">
      <formula>0</formula>
    </cfRule>
  </conditionalFormatting>
  <conditionalFormatting sqref="X109:X110">
    <cfRule type="cellIs" dxfId="1225" priority="290" operator="lessThan">
      <formula>0</formula>
    </cfRule>
  </conditionalFormatting>
  <conditionalFormatting sqref="X12">
    <cfRule type="cellIs" dxfId="1224" priority="205" operator="lessThan">
      <formula>0</formula>
    </cfRule>
    <cfRule type="cellIs" dxfId="1223" priority="206" operator="lessThan">
      <formula>0</formula>
    </cfRule>
    <cfRule type="cellIs" dxfId="1222" priority="207" operator="lessThan">
      <formula>0</formula>
    </cfRule>
    <cfRule type="cellIs" dxfId="1221" priority="208" operator="lessThan">
      <formula>0</formula>
    </cfRule>
    <cfRule type="cellIs" dxfId="1220" priority="209" operator="lessThan">
      <formula>0</formula>
    </cfRule>
    <cfRule type="cellIs" dxfId="1219" priority="210" operator="greaterThan">
      <formula>0</formula>
    </cfRule>
    <cfRule type="cellIs" dxfId="1218" priority="211" operator="lessThan">
      <formula>0</formula>
    </cfRule>
  </conditionalFormatting>
  <conditionalFormatting sqref="Y12">
    <cfRule type="cellIs" dxfId="1217" priority="203" operator="greaterThan">
      <formula>0</formula>
    </cfRule>
    <cfRule type="cellIs" dxfId="1216" priority="204" operator="lessThan">
      <formula>0</formula>
    </cfRule>
  </conditionalFormatting>
  <conditionalFormatting sqref="X13:X15">
    <cfRule type="cellIs" dxfId="1215" priority="214" operator="lessThan">
      <formula>0</formula>
    </cfRule>
    <cfRule type="cellIs" dxfId="1214" priority="215" operator="lessThan">
      <formula>0</formula>
    </cfRule>
    <cfRule type="cellIs" dxfId="1213" priority="216" operator="lessThan">
      <formula>0</formula>
    </cfRule>
    <cfRule type="cellIs" dxfId="1212" priority="217" operator="lessThan">
      <formula>0</formula>
    </cfRule>
    <cfRule type="cellIs" dxfId="1211" priority="218" operator="lessThan">
      <formula>0</formula>
    </cfRule>
    <cfRule type="cellIs" dxfId="1210" priority="219" operator="greaterThan">
      <formula>0</formula>
    </cfRule>
    <cfRule type="cellIs" dxfId="1209" priority="220" operator="lessThan">
      <formula>0</formula>
    </cfRule>
  </conditionalFormatting>
  <conditionalFormatting sqref="Y13:Y15">
    <cfRule type="cellIs" dxfId="1208" priority="212" operator="greaterThan">
      <formula>0</formula>
    </cfRule>
    <cfRule type="cellIs" dxfId="1207" priority="213" operator="lessThan">
      <formula>0</formula>
    </cfRule>
  </conditionalFormatting>
  <conditionalFormatting sqref="K28:K30 K32:K34">
    <cfRule type="cellIs" dxfId="1206" priority="201" operator="lessThan">
      <formula>0</formula>
    </cfRule>
    <cfRule type="cellIs" dxfId="1205" priority="202" operator="greaterThan">
      <formula>0.1</formula>
    </cfRule>
  </conditionalFormatting>
  <conditionalFormatting sqref="K35">
    <cfRule type="cellIs" dxfId="1204" priority="199" operator="lessThan">
      <formula>0</formula>
    </cfRule>
    <cfRule type="cellIs" dxfId="1203" priority="200" operator="greaterThan">
      <formula>0.1</formula>
    </cfRule>
  </conditionalFormatting>
  <conditionalFormatting sqref="W28:W34">
    <cfRule type="cellIs" dxfId="1202" priority="193" operator="lessThan">
      <formula>0</formula>
    </cfRule>
    <cfRule type="cellIs" dxfId="1201" priority="194" operator="greaterThan">
      <formula>0.1</formula>
    </cfRule>
  </conditionalFormatting>
  <conditionalFormatting sqref="E624 E629 E633 E635:E636 E638:E646 E649:E684">
    <cfRule type="cellIs" dxfId="1200" priority="186" operator="lessThan">
      <formula>0</formula>
    </cfRule>
  </conditionalFormatting>
  <conditionalFormatting sqref="L28:V30 L32:V34">
    <cfRule type="cellIs" dxfId="1199" priority="184" operator="lessThan">
      <formula>0</formula>
    </cfRule>
    <cfRule type="cellIs" dxfId="1198" priority="185" operator="greaterThan">
      <formula>0.1</formula>
    </cfRule>
  </conditionalFormatting>
  <conditionalFormatting sqref="K31">
    <cfRule type="cellIs" dxfId="1197" priority="180" operator="lessThan">
      <formula>0</formula>
    </cfRule>
    <cfRule type="cellIs" dxfId="1196" priority="181" operator="greaterThan">
      <formula>0.1</formula>
    </cfRule>
    <cfRule type="cellIs" dxfId="1195" priority="182" operator="lessThan">
      <formula>0</formula>
    </cfRule>
    <cfRule type="cellIs" dxfId="1194" priority="183" operator="greaterThan">
      <formula>0.1</formula>
    </cfRule>
  </conditionalFormatting>
  <conditionalFormatting sqref="L31:V31">
    <cfRule type="cellIs" dxfId="1193" priority="176" operator="lessThan">
      <formula>0</formula>
    </cfRule>
    <cfRule type="cellIs" dxfId="1192" priority="177" operator="greaterThan">
      <formula>0.1</formula>
    </cfRule>
    <cfRule type="cellIs" dxfId="1191" priority="178" operator="lessThan">
      <formula>0</formula>
    </cfRule>
    <cfRule type="cellIs" dxfId="1190" priority="179" operator="greaterThan">
      <formula>0.1</formula>
    </cfRule>
  </conditionalFormatting>
  <conditionalFormatting sqref="L35:W35">
    <cfRule type="cellIs" dxfId="1189" priority="174" operator="lessThan">
      <formula>0</formula>
    </cfRule>
    <cfRule type="cellIs" dxfId="1188" priority="175" operator="greaterThan">
      <formula>0.1</formula>
    </cfRule>
  </conditionalFormatting>
  <conditionalFormatting sqref="E647">
    <cfRule type="cellIs" dxfId="1187" priority="172" operator="lessThan">
      <formula>0</formula>
    </cfRule>
  </conditionalFormatting>
  <conditionalFormatting sqref="Y6">
    <cfRule type="cellIs" dxfId="1186" priority="146" operator="greaterThan">
      <formula>0</formula>
    </cfRule>
    <cfRule type="cellIs" dxfId="1185" priority="147" operator="lessThan">
      <formula>0</formula>
    </cfRule>
  </conditionalFormatting>
  <conditionalFormatting sqref="E637">
    <cfRule type="cellIs" dxfId="1184" priority="143" operator="lessThan">
      <formula>0</formula>
    </cfRule>
  </conditionalFormatting>
  <conditionalFormatting sqref="E634">
    <cfRule type="cellIs" dxfId="1183" priority="142" operator="lessThan">
      <formula>0</formula>
    </cfRule>
  </conditionalFormatting>
  <conditionalFormatting sqref="E625:E628">
    <cfRule type="cellIs" dxfId="1182" priority="141" operator="lessThan">
      <formula>0</formula>
    </cfRule>
  </conditionalFormatting>
  <conditionalFormatting sqref="E630:E632">
    <cfRule type="cellIs" dxfId="1181" priority="140" operator="lessThan">
      <formula>0</formula>
    </cfRule>
  </conditionalFormatting>
  <conditionalFormatting sqref="E598">
    <cfRule type="cellIs" dxfId="1180" priority="139" operator="lessThan">
      <formula>0</formula>
    </cfRule>
  </conditionalFormatting>
  <conditionalFormatting sqref="E591:E592">
    <cfRule type="cellIs" dxfId="1179" priority="138" operator="lessThan">
      <formula>0</formula>
    </cfRule>
  </conditionalFormatting>
  <conditionalFormatting sqref="E536:E755">
    <cfRule type="cellIs" dxfId="1178" priority="136" operator="lessThan">
      <formula>0</formula>
    </cfRule>
  </conditionalFormatting>
  <conditionalFormatting sqref="E517:E518">
    <cfRule type="cellIs" dxfId="1177" priority="134" operator="lessThan">
      <formula>0</formula>
    </cfRule>
    <cfRule type="cellIs" dxfId="1176" priority="135" operator="lessThan">
      <formula>0</formula>
    </cfRule>
  </conditionalFormatting>
  <conditionalFormatting sqref="E504">
    <cfRule type="cellIs" dxfId="1175" priority="114" operator="lessThan">
      <formula>0</formula>
    </cfRule>
  </conditionalFormatting>
  <conditionalFormatting sqref="E503">
    <cfRule type="cellIs" dxfId="1174" priority="113" operator="lessThan">
      <formula>0</formula>
    </cfRule>
  </conditionalFormatting>
  <conditionalFormatting sqref="E500">
    <cfRule type="cellIs" dxfId="1173" priority="111" operator="lessThan">
      <formula>0</formula>
    </cfRule>
    <cfRule type="cellIs" dxfId="1172" priority="112" operator="lessThan">
      <formula>0</formula>
    </cfRule>
  </conditionalFormatting>
  <conditionalFormatting sqref="E493">
    <cfRule type="cellIs" dxfId="1171" priority="110" operator="lessThan">
      <formula>0</formula>
    </cfRule>
  </conditionalFormatting>
  <conditionalFormatting sqref="Y28:Y35">
    <cfRule type="cellIs" dxfId="1170" priority="108" operator="greaterThan">
      <formula>0</formula>
    </cfRule>
    <cfRule type="cellIs" dxfId="1169" priority="109" operator="lessThan">
      <formula>0</formula>
    </cfRule>
  </conditionalFormatting>
  <conditionalFormatting sqref="E483">
    <cfRule type="cellIs" dxfId="1168" priority="106" operator="lessThan">
      <formula>0</formula>
    </cfRule>
    <cfRule type="cellIs" dxfId="1167" priority="107" operator="lessThan">
      <formula>0</formula>
    </cfRule>
  </conditionalFormatting>
  <conditionalFormatting sqref="E480:E482">
    <cfRule type="cellIs" dxfId="1166" priority="104" operator="lessThan">
      <formula>0</formula>
    </cfRule>
    <cfRule type="cellIs" dxfId="1165" priority="105" operator="lessThan">
      <formula>0</formula>
    </cfRule>
  </conditionalFormatting>
  <conditionalFormatting sqref="E467">
    <cfRule type="cellIs" dxfId="1164" priority="101" operator="lessThan">
      <formula>0</formula>
    </cfRule>
  </conditionalFormatting>
  <conditionalFormatting sqref="E460">
    <cfRule type="cellIs" dxfId="1163" priority="99" operator="lessThan">
      <formula>0</formula>
    </cfRule>
    <cfRule type="cellIs" dxfId="1162" priority="100" operator="lessThan">
      <formula>0</formula>
    </cfRule>
  </conditionalFormatting>
  <conditionalFormatting sqref="Z18">
    <cfRule type="cellIs" dxfId="1161" priority="97" operator="greaterThan">
      <formula>0</formula>
    </cfRule>
    <cfRule type="cellIs" dxfId="1160" priority="98" operator="lessThan">
      <formula>0</formula>
    </cfRule>
  </conditionalFormatting>
  <conditionalFormatting sqref="E453:E454">
    <cfRule type="cellIs" dxfId="1159" priority="95" operator="lessThan">
      <formula>0</formula>
    </cfRule>
    <cfRule type="cellIs" dxfId="1158" priority="96" operator="lessThan">
      <formula>0</formula>
    </cfRule>
  </conditionalFormatting>
  <conditionalFormatting sqref="X5:X11">
    <cfRule type="cellIs" dxfId="1157" priority="3" operator="lessThan">
      <formula>0</formula>
    </cfRule>
    <cfRule type="cellIs" dxfId="1156" priority="5" operator="lessThan">
      <formula>0</formula>
    </cfRule>
    <cfRule type="cellIs" dxfId="1155" priority="12" operator="lessThan">
      <formula>0</formula>
    </cfRule>
    <cfRule type="cellIs" dxfId="1154" priority="17" operator="lessThan">
      <formula>0</formula>
    </cfRule>
    <cfRule type="cellIs" dxfId="1153" priority="25" operator="lessThan">
      <formula>0</formula>
    </cfRule>
    <cfRule type="cellIs" dxfId="1152" priority="82" operator="lessThan">
      <formula>0</formula>
    </cfRule>
    <cfRule type="cellIs" dxfId="1151" priority="94" operator="lessThan">
      <formula>0</formula>
    </cfRule>
  </conditionalFormatting>
  <conditionalFormatting sqref="E447">
    <cfRule type="cellIs" dxfId="1150" priority="91" operator="lessThan">
      <formula>0</formula>
    </cfRule>
  </conditionalFormatting>
  <conditionalFormatting sqref="E448">
    <cfRule type="cellIs" dxfId="1149" priority="90" operator="lessThan">
      <formula>0</formula>
    </cfRule>
  </conditionalFormatting>
  <conditionalFormatting sqref="E440">
    <cfRule type="cellIs" dxfId="1148" priority="89" operator="lessThan">
      <formula>0</formula>
    </cfRule>
  </conditionalFormatting>
  <conditionalFormatting sqref="E376:E378 E380:E386 E392:E396 E399 E402:E407 E415:E418 E421:E427 E429:E435 E438:E439 I373">
    <cfRule type="cellIs" dxfId="1147" priority="88" operator="lessThan">
      <formula>0</formula>
    </cfRule>
  </conditionalFormatting>
  <conditionalFormatting sqref="E437">
    <cfRule type="cellIs" dxfId="1146" priority="87" operator="lessThan">
      <formula>0</formula>
    </cfRule>
  </conditionalFormatting>
  <conditionalFormatting sqref="E436">
    <cfRule type="cellIs" dxfId="1145" priority="86" operator="lessThan">
      <formula>0</formula>
    </cfRule>
  </conditionalFormatting>
  <conditionalFormatting sqref="E428">
    <cfRule type="cellIs" dxfId="1144" priority="85" operator="lessThan">
      <formula>0</formula>
    </cfRule>
  </conditionalFormatting>
  <conditionalFormatting sqref="E420">
    <cfRule type="cellIs" dxfId="1143" priority="84" operator="lessThan">
      <formula>0</formula>
    </cfRule>
  </conditionalFormatting>
  <conditionalFormatting sqref="E419">
    <cfRule type="cellIs" dxfId="1142" priority="83" operator="lessThan">
      <formula>0</formula>
    </cfRule>
  </conditionalFormatting>
  <conditionalFormatting sqref="J413:J414">
    <cfRule type="cellIs" dxfId="1141" priority="75" operator="lessThan">
      <formula>0</formula>
    </cfRule>
    <cfRule type="cellIs" dxfId="1140" priority="76" operator="lessThan">
      <formula>0</formula>
    </cfRule>
  </conditionalFormatting>
  <conditionalFormatting sqref="J408:J412">
    <cfRule type="cellIs" dxfId="1139" priority="77" operator="lessThan">
      <formula>0</formula>
    </cfRule>
  </conditionalFormatting>
  <conditionalFormatting sqref="E408:E412">
    <cfRule type="cellIs" dxfId="1138" priority="74" operator="lessThan">
      <formula>0</formula>
    </cfRule>
  </conditionalFormatting>
  <conditionalFormatting sqref="E413:E414">
    <cfRule type="cellIs" dxfId="1137" priority="72" operator="lessThan">
      <formula>0</formula>
    </cfRule>
    <cfRule type="cellIs" dxfId="1136" priority="73" operator="lessThan">
      <formula>0</formula>
    </cfRule>
  </conditionalFormatting>
  <conditionalFormatting sqref="E400">
    <cfRule type="cellIs" dxfId="1135" priority="71" operator="lessThan">
      <formula>0</formula>
    </cfRule>
  </conditionalFormatting>
  <conditionalFormatting sqref="E398">
    <cfRule type="cellIs" dxfId="1134" priority="70" operator="lessThan">
      <formula>0</formula>
    </cfRule>
  </conditionalFormatting>
  <conditionalFormatting sqref="E397">
    <cfRule type="cellIs" dxfId="1133" priority="69" operator="lessThan">
      <formula>0</formula>
    </cfRule>
  </conditionalFormatting>
  <conditionalFormatting sqref="E391">
    <cfRule type="cellIs" dxfId="1132" priority="68" operator="lessThan">
      <formula>0</formula>
    </cfRule>
  </conditionalFormatting>
  <conditionalFormatting sqref="E390">
    <cfRule type="cellIs" dxfId="1131" priority="67" operator="lessThan">
      <formula>0</formula>
    </cfRule>
  </conditionalFormatting>
  <conditionalFormatting sqref="E389">
    <cfRule type="cellIs" dxfId="1130" priority="66" operator="lessThan">
      <formula>0</formula>
    </cfRule>
  </conditionalFormatting>
  <conditionalFormatting sqref="E387:E388">
    <cfRule type="cellIs" dxfId="1129" priority="65" operator="lessThan">
      <formula>0</formula>
    </cfRule>
  </conditionalFormatting>
  <conditionalFormatting sqref="E379">
    <cfRule type="cellIs" dxfId="1128" priority="64" operator="lessThan">
      <formula>0</formula>
    </cfRule>
  </conditionalFormatting>
  <conditionalFormatting sqref="X5:X10">
    <cfRule type="cellIs" dxfId="1127" priority="11" operator="lessThan">
      <formula>0</formula>
    </cfRule>
    <cfRule type="cellIs" dxfId="1126" priority="63" operator="lessThan">
      <formula>0</formula>
    </cfRule>
  </conditionalFormatting>
  <conditionalFormatting sqref="X10">
    <cfRule type="cellIs" dxfId="1125" priority="62" operator="lessThan">
      <formula>0</formula>
    </cfRule>
  </conditionalFormatting>
  <conditionalFormatting sqref="I374:I375">
    <cfRule type="cellIs" dxfId="1124" priority="58" operator="lessThan">
      <formula>0</formula>
    </cfRule>
    <cfRule type="cellIs" dxfId="1123" priority="59" operator="lessThan">
      <formula>0</formula>
    </cfRule>
  </conditionalFormatting>
  <conditionalFormatting sqref="E373">
    <cfRule type="cellIs" dxfId="1122" priority="57" operator="lessThan">
      <formula>0</formula>
    </cfRule>
  </conditionalFormatting>
  <conditionalFormatting sqref="E374:E375">
    <cfRule type="cellIs" dxfId="1121" priority="55" operator="lessThan">
      <formula>0</formula>
    </cfRule>
    <cfRule type="cellIs" dxfId="1120" priority="56" operator="lessThan">
      <formula>0</formula>
    </cfRule>
  </conditionalFormatting>
  <conditionalFormatting sqref="E364:E365">
    <cfRule type="cellIs" dxfId="1119" priority="54" operator="lessThan">
      <formula>0</formula>
    </cfRule>
  </conditionalFormatting>
  <conditionalFormatting sqref="K12:P12 R12:V12">
    <cfRule type="cellIs" dxfId="1118" priority="51" operator="greaterThan">
      <formula>0.75</formula>
    </cfRule>
    <cfRule type="cellIs" dxfId="1117" priority="52" operator="between">
      <formula>0.301</formula>
      <formula>0.7499</formula>
    </cfRule>
    <cfRule type="cellIs" dxfId="1116" priority="53" operator="lessThan">
      <formula>0.3</formula>
    </cfRule>
  </conditionalFormatting>
  <conditionalFormatting sqref="K18:W18">
    <cfRule type="cellIs" dxfId="1115" priority="31" operator="lessThan">
      <formula>0</formula>
    </cfRule>
    <cfRule type="cellIs" dxfId="1114" priority="32" operator="greaterThan">
      <formula>0.0001</formula>
    </cfRule>
  </conditionalFormatting>
  <conditionalFormatting sqref="Q12">
    <cfRule type="cellIs" dxfId="1113" priority="28" operator="greaterThan">
      <formula>0.75</formula>
    </cfRule>
    <cfRule type="cellIs" dxfId="1112" priority="29" operator="between">
      <formula>0.301</formula>
      <formula>0.7499</formula>
    </cfRule>
    <cfRule type="cellIs" dxfId="1111" priority="30" operator="lessThan">
      <formula>0.3</formula>
    </cfRule>
  </conditionalFormatting>
  <conditionalFormatting sqref="E345:E346">
    <cfRule type="cellIs" dxfId="1110" priority="26" operator="lessThan">
      <formula>0</formula>
    </cfRule>
    <cfRule type="cellIs" dxfId="1109" priority="27" operator="lessThan">
      <formula>0</formula>
    </cfRule>
  </conditionalFormatting>
  <conditionalFormatting sqref="Z5:Z11">
    <cfRule type="cellIs" dxfId="1108" priority="23" operator="greaterThan">
      <formula>0</formula>
    </cfRule>
    <cfRule type="cellIs" dxfId="1107" priority="24" operator="lessThan">
      <formula>0</formula>
    </cfRule>
  </conditionalFormatting>
  <conditionalFormatting sqref="Y18">
    <cfRule type="cellIs" dxfId="1106" priority="21" operator="lessThan">
      <formula>0</formula>
    </cfRule>
    <cfRule type="cellIs" dxfId="1105" priority="22" operator="greaterThan">
      <formula>0</formula>
    </cfRule>
  </conditionalFormatting>
  <conditionalFormatting sqref="E333">
    <cfRule type="cellIs" dxfId="1104" priority="20" operator="lessThan">
      <formula>0</formula>
    </cfRule>
  </conditionalFormatting>
  <conditionalFormatting sqref="E316:E317">
    <cfRule type="cellIs" dxfId="1103" priority="18" operator="lessThan">
      <formula>0</formula>
    </cfRule>
    <cfRule type="cellIs" dxfId="1102" priority="19" operator="lessThan">
      <formula>0</formula>
    </cfRule>
  </conditionalFormatting>
  <conditionalFormatting sqref="X70:X76">
    <cfRule type="cellIs" dxfId="1101" priority="15" operator="lessThan">
      <formula>0</formula>
    </cfRule>
  </conditionalFormatting>
  <conditionalFormatting sqref="E281:E282">
    <cfRule type="cellIs" dxfId="1100" priority="13" operator="lessThan">
      <formula>0</formula>
    </cfRule>
    <cfRule type="cellIs" dxfId="1099" priority="14" operator="lessThan">
      <formula>0</formula>
    </cfRule>
  </conditionalFormatting>
  <conditionalFormatting sqref="E241:E242">
    <cfRule type="cellIs" dxfId="1098" priority="8" operator="lessThan">
      <formula>0</formula>
    </cfRule>
    <cfRule type="cellIs" dxfId="1097" priority="9" operator="lessThan">
      <formula>0</formula>
    </cfRule>
  </conditionalFormatting>
  <conditionalFormatting sqref="E204:E205">
    <cfRule type="cellIs" dxfId="1096" priority="6" operator="lessThan">
      <formula>0</formula>
    </cfRule>
    <cfRule type="cellIs" dxfId="1095" priority="7" operator="lessThan">
      <formula>0</formula>
    </cfRule>
  </conditionalFormatting>
  <conditionalFormatting sqref="X90:X96">
    <cfRule type="cellIs" dxfId="1094" priority="4" operator="lessThan">
      <formula>0</formula>
    </cfRule>
  </conditionalFormatting>
  <conditionalFormatting sqref="E157:E158">
    <cfRule type="cellIs" dxfId="1093" priority="1" operator="lessThan">
      <formula>0</formula>
    </cfRule>
    <cfRule type="cellIs" dxfId="1092" priority="2" operator="lessThan">
      <formula>0</formula>
    </cfRule>
  </conditionalFormatting>
  <dataValidations count="2">
    <dataValidation type="list" allowBlank="1" showInputMessage="1" showErrorMessage="1" sqref="C2 C4:C9 C11:C13 C15:C16 C18:C24 C26 C28:C33 C35:C46 C48 C50 C57:C61 C664:C699 C701:C746 C748:C806 C809 C811:C866 C873:C904 C907:C932 C934:C942 C944:C971 C973:C976 C979:C983 C985 C987:C988 C990:C1012 C1014:C1048 C1051:C1062 C1064:C1093 C1095:C1147 C1150:C1184" xr:uid="{00000000-0002-0000-0E00-000000000000}">
      <formula1>$I$3:$I$20</formula1>
    </dataValidation>
    <dataValidation type="list" allowBlank="1" showInputMessage="1" showErrorMessage="1" sqref="C123:C158 C161:C205 C207:C242 C244:C282 C284:C317 C319:C346 C348:C375 C377:C414 C417:C454 C456:C518 C520:C592 C594:C663" xr:uid="{00000000-0002-0000-0E00-000001000000}">
      <formula1>$I$3:$I$19</formula1>
    </dataValidation>
  </dataValidations>
  <hyperlinks>
    <hyperlink ref="G28" r:id="rId1" xr:uid="{00000000-0004-0000-0E00-000000000000}"/>
    <hyperlink ref="G29" r:id="rId2" xr:uid="{00000000-0004-0000-0E00-000001000000}"/>
  </hyperlinks>
  <pageMargins left="0.25" right="0.25" top="0.75" bottom="0.75" header="0.3" footer="0.3"/>
  <pageSetup paperSize="9" scale="10"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3:O63"/>
  <sheetViews>
    <sheetView workbookViewId="0">
      <selection activeCell="V12" sqref="V12"/>
    </sheetView>
  </sheetViews>
  <sheetFormatPr defaultColWidth="9.1328125" defaultRowHeight="12.75" x14ac:dyDescent="0.35"/>
  <cols>
    <col min="1" max="1" width="15.86328125" style="568" bestFit="1" customWidth="1"/>
    <col min="2" max="2" width="17.53125" style="568" bestFit="1" customWidth="1"/>
    <col min="3" max="7" width="9.86328125" style="571" customWidth="1"/>
    <col min="8" max="10" width="6.46484375" style="571" bestFit="1" customWidth="1"/>
    <col min="11" max="11" width="7.46484375" style="571" bestFit="1" customWidth="1"/>
    <col min="12" max="12" width="6.46484375" style="571" bestFit="1" customWidth="1"/>
    <col min="13" max="13" width="7.46484375" style="571" bestFit="1" customWidth="1"/>
    <col min="14" max="14" width="6.46484375" style="571" bestFit="1" customWidth="1"/>
    <col min="15" max="15" width="12.33203125" style="571" bestFit="1" customWidth="1"/>
    <col min="16" max="16" width="12.19921875" style="568" customWidth="1"/>
    <col min="17" max="17" width="9.1328125" style="568" customWidth="1"/>
    <col min="18" max="16384" width="9.1328125" style="568"/>
  </cols>
  <sheetData>
    <row r="3" spans="1:15" x14ac:dyDescent="0.35">
      <c r="A3" s="569" t="s">
        <v>2841</v>
      </c>
      <c r="B3" s="569" t="s">
        <v>2842</v>
      </c>
    </row>
    <row r="4" spans="1:15" x14ac:dyDescent="0.35">
      <c r="A4" s="569" t="s">
        <v>2843</v>
      </c>
      <c r="B4" s="568" t="s">
        <v>3221</v>
      </c>
      <c r="C4" s="571" t="s">
        <v>142</v>
      </c>
      <c r="D4" s="571" t="s">
        <v>143</v>
      </c>
      <c r="E4" s="571" t="s">
        <v>144</v>
      </c>
      <c r="F4" s="571" t="s">
        <v>145</v>
      </c>
      <c r="G4" s="571" t="s">
        <v>146</v>
      </c>
      <c r="H4" s="571" t="s">
        <v>147</v>
      </c>
      <c r="I4" s="571" t="s">
        <v>148</v>
      </c>
      <c r="J4" s="571" t="s">
        <v>149</v>
      </c>
      <c r="K4" s="571" t="s">
        <v>150</v>
      </c>
      <c r="L4" s="571" t="s">
        <v>151</v>
      </c>
      <c r="M4" s="571" t="s">
        <v>152</v>
      </c>
      <c r="N4" s="571" t="s">
        <v>153</v>
      </c>
      <c r="O4" s="571" t="s">
        <v>2845</v>
      </c>
    </row>
    <row r="5" spans="1:15" x14ac:dyDescent="0.35">
      <c r="A5" s="570" t="s">
        <v>2849</v>
      </c>
      <c r="C5" s="571">
        <v>1862</v>
      </c>
      <c r="D5" s="571">
        <v>2444</v>
      </c>
      <c r="E5" s="571">
        <v>2058.91</v>
      </c>
      <c r="F5" s="571">
        <v>3112</v>
      </c>
      <c r="G5" s="571">
        <v>2704.5</v>
      </c>
      <c r="H5" s="571">
        <v>813</v>
      </c>
      <c r="I5" s="571">
        <v>785.5</v>
      </c>
      <c r="J5" s="571">
        <v>644</v>
      </c>
      <c r="K5" s="571">
        <v>4390</v>
      </c>
      <c r="L5" s="571">
        <v>4327.5</v>
      </c>
      <c r="M5" s="571">
        <v>5891.5</v>
      </c>
      <c r="N5" s="571">
        <v>2688</v>
      </c>
      <c r="O5" s="571">
        <v>31720.91</v>
      </c>
    </row>
    <row r="6" spans="1:15" x14ac:dyDescent="0.35">
      <c r="A6" s="570" t="s">
        <v>2850</v>
      </c>
      <c r="C6" s="571">
        <v>412.5</v>
      </c>
      <c r="D6" s="571">
        <v>1638</v>
      </c>
      <c r="E6" s="571">
        <v>2272.38</v>
      </c>
      <c r="F6" s="571">
        <v>2050.4</v>
      </c>
      <c r="G6" s="571">
        <v>912.5</v>
      </c>
      <c r="H6" s="571">
        <v>1990</v>
      </c>
      <c r="I6" s="571">
        <v>1720</v>
      </c>
      <c r="J6" s="571">
        <v>2860</v>
      </c>
      <c r="K6" s="571">
        <v>3882.2000000000012</v>
      </c>
      <c r="L6" s="571">
        <v>3268.75</v>
      </c>
      <c r="M6" s="571">
        <v>2083</v>
      </c>
      <c r="N6" s="571">
        <v>235.8</v>
      </c>
      <c r="O6" s="571">
        <v>23325.53</v>
      </c>
    </row>
    <row r="7" spans="1:15" x14ac:dyDescent="0.35">
      <c r="A7" s="570" t="s">
        <v>2851</v>
      </c>
      <c r="C7" s="571">
        <v>339</v>
      </c>
      <c r="D7" s="571">
        <v>1948</v>
      </c>
      <c r="E7" s="571">
        <v>509.3</v>
      </c>
      <c r="F7" s="571">
        <v>515.59</v>
      </c>
      <c r="G7" s="571">
        <v>954.71</v>
      </c>
      <c r="H7" s="571">
        <v>690.98</v>
      </c>
      <c r="I7" s="571">
        <v>780.65000000000009</v>
      </c>
      <c r="J7" s="571">
        <v>726.31000000000006</v>
      </c>
      <c r="K7" s="571">
        <v>1532.98</v>
      </c>
      <c r="L7" s="571">
        <v>1232.48</v>
      </c>
      <c r="M7" s="571">
        <v>2238</v>
      </c>
      <c r="N7" s="571">
        <v>307.48</v>
      </c>
      <c r="O7" s="571">
        <v>11775.48</v>
      </c>
    </row>
    <row r="8" spans="1:15" x14ac:dyDescent="0.35">
      <c r="A8" s="570" t="s">
        <v>2852</v>
      </c>
      <c r="C8" s="571">
        <v>320</v>
      </c>
      <c r="D8" s="571">
        <v>140</v>
      </c>
      <c r="E8" s="571">
        <v>80</v>
      </c>
      <c r="F8" s="571">
        <v>100</v>
      </c>
      <c r="G8" s="571">
        <v>720</v>
      </c>
      <c r="H8" s="571">
        <v>122</v>
      </c>
      <c r="I8" s="571">
        <v>140</v>
      </c>
      <c r="J8" s="571">
        <v>360</v>
      </c>
      <c r="K8" s="571">
        <v>160</v>
      </c>
      <c r="L8" s="571">
        <v>100</v>
      </c>
      <c r="M8" s="571">
        <v>80</v>
      </c>
      <c r="N8" s="571">
        <v>60</v>
      </c>
      <c r="O8" s="571">
        <v>2382</v>
      </c>
    </row>
    <row r="9" spans="1:15" x14ac:dyDescent="0.35">
      <c r="A9" s="570" t="s">
        <v>941</v>
      </c>
      <c r="C9" s="571">
        <v>240</v>
      </c>
      <c r="E9" s="571">
        <v>780</v>
      </c>
      <c r="G9" s="571">
        <v>441.25</v>
      </c>
      <c r="H9" s="571">
        <v>1604.15</v>
      </c>
      <c r="I9" s="571">
        <v>146.25</v>
      </c>
      <c r="K9" s="571">
        <v>400</v>
      </c>
      <c r="L9" s="571">
        <v>245</v>
      </c>
      <c r="N9" s="571">
        <v>390</v>
      </c>
      <c r="O9" s="571">
        <v>4246.6499999999996</v>
      </c>
    </row>
    <row r="10" spans="1:15" x14ac:dyDescent="0.35">
      <c r="A10" s="570" t="s">
        <v>2853</v>
      </c>
      <c r="C10" s="571">
        <v>30</v>
      </c>
      <c r="D10" s="571">
        <v>515</v>
      </c>
      <c r="E10" s="571">
        <v>542.24</v>
      </c>
      <c r="F10" s="571">
        <v>285.18</v>
      </c>
      <c r="G10" s="571">
        <v>118.75</v>
      </c>
      <c r="H10" s="571">
        <v>259.8</v>
      </c>
      <c r="I10" s="571">
        <v>31.41</v>
      </c>
      <c r="J10" s="571">
        <v>68.539999999999992</v>
      </c>
      <c r="K10" s="571">
        <v>456.49</v>
      </c>
      <c r="L10" s="571">
        <v>50.85</v>
      </c>
      <c r="M10" s="571">
        <v>211.59</v>
      </c>
      <c r="N10" s="571">
        <v>647.75</v>
      </c>
      <c r="O10" s="571">
        <v>3217.6</v>
      </c>
    </row>
    <row r="11" spans="1:15" x14ac:dyDescent="0.35">
      <c r="A11" s="570" t="s">
        <v>2846</v>
      </c>
    </row>
    <row r="12" spans="1:15" x14ac:dyDescent="0.35">
      <c r="A12" s="570" t="s">
        <v>2845</v>
      </c>
      <c r="C12" s="571">
        <v>3203.5</v>
      </c>
      <c r="D12" s="571">
        <v>6685</v>
      </c>
      <c r="E12" s="571">
        <v>6242.83</v>
      </c>
      <c r="F12" s="571">
        <v>6063.17</v>
      </c>
      <c r="G12" s="571">
        <v>5851.71</v>
      </c>
      <c r="H12" s="571">
        <v>5479.93</v>
      </c>
      <c r="I12" s="571">
        <v>3603.81</v>
      </c>
      <c r="J12" s="571">
        <v>4658.8500000000004</v>
      </c>
      <c r="K12" s="571">
        <v>10821.67</v>
      </c>
      <c r="L12" s="571">
        <v>9224.5800000000017</v>
      </c>
      <c r="M12" s="571">
        <v>10504.09</v>
      </c>
      <c r="N12" s="571">
        <v>4329.03</v>
      </c>
      <c r="O12" s="571">
        <v>76668.17</v>
      </c>
    </row>
    <row r="13" spans="1:15" x14ac:dyDescent="0.35">
      <c r="A13" s="576"/>
    </row>
    <row r="16" spans="1:15" x14ac:dyDescent="0.35">
      <c r="A16" s="569" t="s">
        <v>2847</v>
      </c>
      <c r="B16" s="569" t="s">
        <v>2842</v>
      </c>
    </row>
    <row r="17" spans="1:15" x14ac:dyDescent="0.35">
      <c r="A17" s="569" t="s">
        <v>2843</v>
      </c>
      <c r="B17" s="568" t="s">
        <v>3221</v>
      </c>
      <c r="C17" s="571" t="s">
        <v>142</v>
      </c>
      <c r="D17" s="571" t="s">
        <v>143</v>
      </c>
      <c r="E17" s="571" t="s">
        <v>144</v>
      </c>
      <c r="F17" s="571" t="s">
        <v>145</v>
      </c>
      <c r="G17" s="571" t="s">
        <v>146</v>
      </c>
      <c r="H17" s="571" t="s">
        <v>147</v>
      </c>
      <c r="I17" s="571" t="s">
        <v>148</v>
      </c>
      <c r="J17" s="571" t="s">
        <v>149</v>
      </c>
      <c r="K17" s="571" t="s">
        <v>150</v>
      </c>
      <c r="L17" s="571" t="s">
        <v>151</v>
      </c>
      <c r="M17" s="571" t="s">
        <v>152</v>
      </c>
      <c r="N17" s="571" t="s">
        <v>153</v>
      </c>
      <c r="O17" s="571" t="s">
        <v>2845</v>
      </c>
    </row>
    <row r="18" spans="1:15" x14ac:dyDescent="0.35">
      <c r="A18" s="570" t="s">
        <v>174</v>
      </c>
      <c r="C18" s="571">
        <v>1590</v>
      </c>
      <c r="D18" s="571">
        <v>3635</v>
      </c>
      <c r="E18" s="571">
        <v>2033</v>
      </c>
      <c r="F18" s="571">
        <v>2429</v>
      </c>
      <c r="G18" s="571">
        <v>1737.5</v>
      </c>
      <c r="H18" s="571">
        <v>2903.8</v>
      </c>
      <c r="I18" s="571">
        <v>1026.25</v>
      </c>
      <c r="J18" s="571">
        <v>2620</v>
      </c>
      <c r="K18" s="571">
        <v>4543</v>
      </c>
      <c r="L18" s="571">
        <v>418.45</v>
      </c>
      <c r="M18" s="571">
        <v>2856.5</v>
      </c>
      <c r="N18" s="571">
        <v>1919.55</v>
      </c>
      <c r="O18" s="571">
        <v>27712.05</v>
      </c>
    </row>
    <row r="19" spans="1:15" x14ac:dyDescent="0.35">
      <c r="A19" s="570" t="s">
        <v>175</v>
      </c>
      <c r="C19" s="571">
        <v>1482.5</v>
      </c>
      <c r="D19" s="571">
        <v>2211</v>
      </c>
      <c r="E19" s="571">
        <v>3505.68</v>
      </c>
      <c r="F19" s="571">
        <v>2623.59</v>
      </c>
      <c r="G19" s="571">
        <v>3837.21</v>
      </c>
      <c r="H19" s="571">
        <v>1915.13</v>
      </c>
      <c r="I19" s="571">
        <v>1645.65</v>
      </c>
      <c r="J19" s="571">
        <v>1771.31</v>
      </c>
      <c r="K19" s="571">
        <v>4444.18</v>
      </c>
      <c r="L19" s="571">
        <v>3802.88</v>
      </c>
      <c r="M19" s="571">
        <v>6023.6</v>
      </c>
      <c r="N19" s="571">
        <v>2142.48</v>
      </c>
      <c r="O19" s="571">
        <v>35405.210000000006</v>
      </c>
    </row>
    <row r="20" spans="1:15" x14ac:dyDescent="0.35">
      <c r="A20" s="570" t="s">
        <v>163</v>
      </c>
      <c r="C20" s="571">
        <v>72</v>
      </c>
      <c r="D20" s="571">
        <v>24</v>
      </c>
      <c r="E20" s="571">
        <v>38.909999999999997</v>
      </c>
      <c r="F20" s="571">
        <v>51</v>
      </c>
      <c r="G20" s="571">
        <v>52</v>
      </c>
      <c r="H20" s="571">
        <v>78</v>
      </c>
      <c r="I20" s="571">
        <v>52</v>
      </c>
      <c r="J20" s="571">
        <v>39</v>
      </c>
      <c r="K20" s="571">
        <v>78</v>
      </c>
      <c r="L20" s="571">
        <v>65</v>
      </c>
      <c r="M20" s="571">
        <v>36</v>
      </c>
      <c r="N20" s="571">
        <v>13</v>
      </c>
      <c r="O20" s="571">
        <v>598.91</v>
      </c>
    </row>
    <row r="21" spans="1:15" x14ac:dyDescent="0.35">
      <c r="A21" s="570" t="s">
        <v>177</v>
      </c>
      <c r="C21" s="571">
        <v>59</v>
      </c>
      <c r="D21" s="571">
        <v>350</v>
      </c>
      <c r="E21" s="571">
        <v>177</v>
      </c>
      <c r="F21" s="571">
        <v>124.4</v>
      </c>
      <c r="G21" s="571">
        <v>190</v>
      </c>
      <c r="H21" s="571">
        <v>118</v>
      </c>
      <c r="I21" s="571">
        <v>240</v>
      </c>
      <c r="J21" s="571">
        <v>20</v>
      </c>
      <c r="K21" s="571">
        <v>1167.1500000000001</v>
      </c>
      <c r="L21" s="571">
        <v>1014.85</v>
      </c>
      <c r="N21" s="571">
        <v>59</v>
      </c>
      <c r="O21" s="571">
        <v>3519.4</v>
      </c>
    </row>
    <row r="22" spans="1:15" x14ac:dyDescent="0.35">
      <c r="A22" s="570" t="s">
        <v>3222</v>
      </c>
      <c r="F22" s="571">
        <v>255.18</v>
      </c>
      <c r="I22" s="571">
        <v>31.41</v>
      </c>
      <c r="J22" s="571">
        <v>8.5399999999999991</v>
      </c>
      <c r="K22" s="571">
        <v>46.34</v>
      </c>
      <c r="M22" s="571">
        <v>42.99</v>
      </c>
      <c r="O22" s="571">
        <v>384.46</v>
      </c>
    </row>
    <row r="23" spans="1:15" x14ac:dyDescent="0.35">
      <c r="A23" s="570" t="s">
        <v>2846</v>
      </c>
    </row>
    <row r="24" spans="1:15" x14ac:dyDescent="0.35">
      <c r="A24" s="570" t="s">
        <v>1311</v>
      </c>
      <c r="D24" s="571">
        <v>465</v>
      </c>
      <c r="E24" s="571">
        <v>235</v>
      </c>
      <c r="F24" s="571">
        <v>580</v>
      </c>
      <c r="G24" s="571">
        <v>35</v>
      </c>
      <c r="H24" s="571">
        <v>465</v>
      </c>
      <c r="I24" s="571">
        <v>545</v>
      </c>
      <c r="J24" s="571">
        <v>200</v>
      </c>
      <c r="K24" s="571">
        <v>513</v>
      </c>
      <c r="L24" s="571">
        <v>3621</v>
      </c>
      <c r="M24" s="571">
        <v>1545</v>
      </c>
      <c r="N24" s="571">
        <v>195</v>
      </c>
      <c r="O24" s="571">
        <v>8399</v>
      </c>
    </row>
    <row r="25" spans="1:15" x14ac:dyDescent="0.35">
      <c r="A25" s="570" t="s">
        <v>181</v>
      </c>
      <c r="E25" s="571">
        <v>253.24</v>
      </c>
      <c r="I25" s="571">
        <v>63.5</v>
      </c>
      <c r="K25" s="571">
        <v>30</v>
      </c>
      <c r="L25" s="571">
        <v>302.39999999999998</v>
      </c>
      <c r="O25" s="571">
        <v>649.14</v>
      </c>
    </row>
    <row r="26" spans="1:15" x14ac:dyDescent="0.35">
      <c r="A26" s="570" t="s">
        <v>2845</v>
      </c>
      <c r="C26" s="571">
        <v>3203.5</v>
      </c>
      <c r="D26" s="571">
        <v>6685</v>
      </c>
      <c r="E26" s="571">
        <v>6242.83</v>
      </c>
      <c r="F26" s="571">
        <v>6063.17</v>
      </c>
      <c r="G26" s="571">
        <v>5851.71</v>
      </c>
      <c r="H26" s="571">
        <v>5479.93</v>
      </c>
      <c r="I26" s="571">
        <v>3603.81</v>
      </c>
      <c r="J26" s="571">
        <v>4658.8499999999995</v>
      </c>
      <c r="K26" s="571">
        <v>10821.67</v>
      </c>
      <c r="L26" s="571">
        <v>9224.58</v>
      </c>
      <c r="M26" s="571">
        <v>10504.09</v>
      </c>
      <c r="N26" s="571">
        <v>4329.03</v>
      </c>
      <c r="O26" s="571">
        <v>76668.170000000013</v>
      </c>
    </row>
    <row r="31" spans="1:15" x14ac:dyDescent="0.35">
      <c r="A31" s="573" t="s">
        <v>2847</v>
      </c>
      <c r="B31" s="573" t="s">
        <v>2842</v>
      </c>
      <c r="C31" s="575"/>
      <c r="D31" s="575"/>
      <c r="E31" s="575"/>
      <c r="F31" s="575"/>
      <c r="G31" s="575"/>
      <c r="H31" s="575"/>
      <c r="I31" s="575"/>
      <c r="J31" s="575"/>
      <c r="K31" s="575"/>
      <c r="L31" s="575"/>
      <c r="M31" s="575"/>
      <c r="N31" s="575"/>
      <c r="O31" s="575"/>
    </row>
    <row r="32" spans="1:15" x14ac:dyDescent="0.35">
      <c r="A32" s="573" t="s">
        <v>2843</v>
      </c>
      <c r="B32" s="572" t="s">
        <v>3221</v>
      </c>
      <c r="C32" s="575" t="s">
        <v>142</v>
      </c>
      <c r="D32" s="575" t="s">
        <v>143</v>
      </c>
      <c r="E32" s="575" t="s">
        <v>144</v>
      </c>
      <c r="F32" s="575" t="s">
        <v>145</v>
      </c>
      <c r="G32" s="575" t="s">
        <v>146</v>
      </c>
      <c r="H32" s="575" t="s">
        <v>147</v>
      </c>
      <c r="I32" s="575" t="s">
        <v>148</v>
      </c>
      <c r="J32" s="575" t="s">
        <v>149</v>
      </c>
      <c r="K32" s="575" t="s">
        <v>150</v>
      </c>
      <c r="L32" s="575" t="s">
        <v>151</v>
      </c>
      <c r="M32" s="575" t="s">
        <v>152</v>
      </c>
      <c r="N32" s="575" t="s">
        <v>153</v>
      </c>
      <c r="O32" s="575" t="s">
        <v>2845</v>
      </c>
    </row>
    <row r="33" spans="1:15" x14ac:dyDescent="0.35">
      <c r="A33" s="574" t="s">
        <v>162</v>
      </c>
      <c r="B33" s="572"/>
      <c r="C33" s="575">
        <v>1133.5</v>
      </c>
      <c r="D33" s="575">
        <v>2998</v>
      </c>
      <c r="E33" s="575">
        <v>2290.42</v>
      </c>
      <c r="F33" s="575">
        <v>2682.66</v>
      </c>
      <c r="G33" s="575">
        <v>761.25</v>
      </c>
      <c r="H33" s="575">
        <v>2963.35</v>
      </c>
      <c r="I33" s="575">
        <v>1868.55</v>
      </c>
      <c r="J33" s="575">
        <v>2455.1999999999998</v>
      </c>
      <c r="K33" s="575">
        <v>5265</v>
      </c>
      <c r="L33" s="575">
        <v>5563.5</v>
      </c>
      <c r="M33" s="575">
        <v>5976.5</v>
      </c>
      <c r="N33" s="575">
        <v>655</v>
      </c>
      <c r="O33" s="575">
        <v>34612.93</v>
      </c>
    </row>
    <row r="34" spans="1:15" x14ac:dyDescent="0.35">
      <c r="A34" s="574" t="s">
        <v>159</v>
      </c>
      <c r="B34" s="572"/>
      <c r="C34" s="575">
        <v>999</v>
      </c>
      <c r="D34" s="575">
        <v>2095</v>
      </c>
      <c r="E34" s="575">
        <v>1419</v>
      </c>
      <c r="F34" s="575">
        <v>2169.4</v>
      </c>
      <c r="G34" s="575">
        <v>2678.75</v>
      </c>
      <c r="H34" s="575">
        <v>1250.8</v>
      </c>
      <c r="I34" s="575">
        <v>966.25</v>
      </c>
      <c r="J34" s="575">
        <v>685</v>
      </c>
      <c r="K34" s="575">
        <v>4172.3500000000004</v>
      </c>
      <c r="L34" s="575">
        <v>2285.1999999999998</v>
      </c>
      <c r="M34" s="575">
        <v>3397.6</v>
      </c>
      <c r="N34" s="575">
        <v>2503.5500000000002</v>
      </c>
      <c r="O34" s="575">
        <v>24621.9</v>
      </c>
    </row>
    <row r="35" spans="1:15" x14ac:dyDescent="0.35">
      <c r="A35" s="574" t="s">
        <v>160</v>
      </c>
      <c r="B35" s="572"/>
      <c r="C35" s="575">
        <v>540</v>
      </c>
      <c r="D35" s="575">
        <v>938</v>
      </c>
      <c r="E35" s="575">
        <v>669</v>
      </c>
      <c r="F35" s="575">
        <v>248</v>
      </c>
      <c r="G35" s="575">
        <v>760</v>
      </c>
      <c r="H35" s="575">
        <v>374</v>
      </c>
      <c r="I35" s="575">
        <v>31.41</v>
      </c>
      <c r="J35" s="575">
        <v>383.54</v>
      </c>
      <c r="K35" s="575">
        <v>481.34</v>
      </c>
      <c r="L35" s="575">
        <v>938.4</v>
      </c>
      <c r="M35" s="575">
        <v>242.99</v>
      </c>
      <c r="N35" s="575">
        <v>160</v>
      </c>
      <c r="O35" s="575">
        <v>5766.6799999999994</v>
      </c>
    </row>
    <row r="36" spans="1:15" x14ac:dyDescent="0.35">
      <c r="A36" s="574" t="s">
        <v>161</v>
      </c>
      <c r="B36" s="572"/>
      <c r="C36" s="575">
        <v>459</v>
      </c>
      <c r="D36" s="575">
        <v>130</v>
      </c>
      <c r="E36" s="575">
        <v>495.5</v>
      </c>
      <c r="F36" s="575">
        <v>548.11</v>
      </c>
      <c r="G36" s="575">
        <v>879.71</v>
      </c>
      <c r="H36" s="575">
        <v>398.78</v>
      </c>
      <c r="I36" s="575">
        <v>685.6</v>
      </c>
      <c r="J36" s="575">
        <v>841.11</v>
      </c>
      <c r="K36" s="575">
        <v>497.98</v>
      </c>
      <c r="L36" s="575">
        <v>332.48</v>
      </c>
      <c r="M36" s="575">
        <v>695</v>
      </c>
      <c r="N36" s="575">
        <v>367.48</v>
      </c>
      <c r="O36" s="575">
        <v>6330.75</v>
      </c>
    </row>
    <row r="37" spans="1:15" x14ac:dyDescent="0.35">
      <c r="A37" s="574" t="s">
        <v>163</v>
      </c>
      <c r="B37" s="572"/>
      <c r="C37" s="575">
        <v>72</v>
      </c>
      <c r="D37" s="575">
        <v>24</v>
      </c>
      <c r="E37" s="575">
        <v>38.909999999999997</v>
      </c>
      <c r="F37" s="575">
        <v>51</v>
      </c>
      <c r="G37" s="575">
        <v>52</v>
      </c>
      <c r="H37" s="575">
        <v>78</v>
      </c>
      <c r="I37" s="575">
        <v>52</v>
      </c>
      <c r="J37" s="575">
        <v>39</v>
      </c>
      <c r="K37" s="575">
        <v>78</v>
      </c>
      <c r="L37" s="575">
        <v>65</v>
      </c>
      <c r="M37" s="575">
        <v>26</v>
      </c>
      <c r="N37" s="575">
        <v>13</v>
      </c>
      <c r="O37" s="575">
        <v>588.91</v>
      </c>
    </row>
    <row r="38" spans="1:15" x14ac:dyDescent="0.35">
      <c r="A38" s="574" t="s">
        <v>2297</v>
      </c>
      <c r="B38" s="572"/>
      <c r="C38" s="575"/>
      <c r="D38" s="575">
        <v>500</v>
      </c>
      <c r="E38" s="575">
        <v>1330</v>
      </c>
      <c r="F38" s="575">
        <v>364</v>
      </c>
      <c r="G38" s="575">
        <v>520</v>
      </c>
      <c r="H38" s="575">
        <v>415</v>
      </c>
      <c r="I38" s="575"/>
      <c r="J38" s="575">
        <v>215</v>
      </c>
      <c r="K38" s="575">
        <v>297</v>
      </c>
      <c r="L38" s="575">
        <v>40</v>
      </c>
      <c r="M38" s="575">
        <v>146</v>
      </c>
      <c r="N38" s="575">
        <v>630</v>
      </c>
      <c r="O38" s="575">
        <v>4457</v>
      </c>
    </row>
    <row r="39" spans="1:15" x14ac:dyDescent="0.35">
      <c r="A39" s="574" t="s">
        <v>2846</v>
      </c>
      <c r="B39" s="572"/>
      <c r="C39" s="575"/>
      <c r="D39" s="575"/>
      <c r="E39" s="575"/>
      <c r="F39" s="575"/>
      <c r="G39" s="575"/>
      <c r="H39" s="575"/>
      <c r="I39" s="575"/>
      <c r="J39" s="575"/>
      <c r="K39" s="575"/>
      <c r="L39" s="575"/>
      <c r="M39" s="575"/>
      <c r="N39" s="575"/>
      <c r="O39" s="575"/>
    </row>
    <row r="40" spans="1:15" x14ac:dyDescent="0.35">
      <c r="A40" s="574" t="s">
        <v>164</v>
      </c>
      <c r="B40" s="572"/>
      <c r="C40" s="575"/>
      <c r="D40" s="575"/>
      <c r="E40" s="575"/>
      <c r="F40" s="575"/>
      <c r="G40" s="575">
        <v>200</v>
      </c>
      <c r="H40" s="575"/>
      <c r="I40" s="575"/>
      <c r="J40" s="575">
        <v>40</v>
      </c>
      <c r="K40" s="575">
        <v>30</v>
      </c>
      <c r="L40" s="575"/>
      <c r="M40" s="575">
        <v>20</v>
      </c>
      <c r="N40" s="575"/>
      <c r="O40" s="575">
        <v>290</v>
      </c>
    </row>
    <row r="41" spans="1:15" x14ac:dyDescent="0.35">
      <c r="A41" s="574" t="s">
        <v>2845</v>
      </c>
      <c r="B41" s="572"/>
      <c r="C41" s="575">
        <v>3203.5</v>
      </c>
      <c r="D41" s="575">
        <v>6685</v>
      </c>
      <c r="E41" s="575">
        <v>6242.83</v>
      </c>
      <c r="F41" s="575">
        <v>6063.17</v>
      </c>
      <c r="G41" s="575">
        <v>5851.71</v>
      </c>
      <c r="H41" s="575">
        <v>5479.9299999999994</v>
      </c>
      <c r="I41" s="575">
        <v>3603.81</v>
      </c>
      <c r="J41" s="575">
        <v>4658.8499999999995</v>
      </c>
      <c r="K41" s="575">
        <v>10821.67</v>
      </c>
      <c r="L41" s="575">
        <v>9224.58</v>
      </c>
      <c r="M41" s="575">
        <v>10504.09</v>
      </c>
      <c r="N41" s="575">
        <v>4329.0300000000007</v>
      </c>
      <c r="O41" s="575">
        <v>76668.17</v>
      </c>
    </row>
    <row r="44" spans="1:15" x14ac:dyDescent="0.35">
      <c r="A44" s="573" t="s">
        <v>2848</v>
      </c>
      <c r="B44" s="573" t="s">
        <v>2842</v>
      </c>
      <c r="C44" s="575"/>
      <c r="D44" s="575"/>
      <c r="E44" s="575"/>
      <c r="F44" s="575"/>
      <c r="G44" s="575"/>
      <c r="H44" s="575"/>
      <c r="I44" s="575"/>
      <c r="J44" s="575"/>
      <c r="K44" s="575"/>
      <c r="L44" s="575"/>
      <c r="M44" s="575"/>
      <c r="N44" s="575"/>
      <c r="O44" s="575"/>
    </row>
    <row r="45" spans="1:15" x14ac:dyDescent="0.35">
      <c r="A45" s="573" t="s">
        <v>2843</v>
      </c>
      <c r="B45" s="572" t="s">
        <v>3221</v>
      </c>
      <c r="C45" s="575" t="s">
        <v>142</v>
      </c>
      <c r="D45" s="575" t="s">
        <v>143</v>
      </c>
      <c r="E45" s="575" t="s">
        <v>144</v>
      </c>
      <c r="F45" s="575" t="s">
        <v>145</v>
      </c>
      <c r="G45" s="575" t="s">
        <v>146</v>
      </c>
      <c r="H45" s="575" t="s">
        <v>147</v>
      </c>
      <c r="I45" s="575" t="s">
        <v>148</v>
      </c>
      <c r="J45" s="575" t="s">
        <v>149</v>
      </c>
      <c r="K45" s="575" t="s">
        <v>150</v>
      </c>
      <c r="L45" s="575" t="s">
        <v>151</v>
      </c>
      <c r="M45" s="575" t="s">
        <v>152</v>
      </c>
      <c r="N45" s="575" t="s">
        <v>153</v>
      </c>
      <c r="O45" s="575" t="s">
        <v>2845</v>
      </c>
    </row>
    <row r="46" spans="1:15" x14ac:dyDescent="0.35">
      <c r="A46" s="574" t="s">
        <v>2849</v>
      </c>
      <c r="B46" s="572"/>
      <c r="C46" s="575">
        <v>22</v>
      </c>
      <c r="D46" s="575">
        <v>18</v>
      </c>
      <c r="E46" s="575">
        <v>15</v>
      </c>
      <c r="F46" s="575">
        <v>13</v>
      </c>
      <c r="G46" s="575">
        <v>19</v>
      </c>
      <c r="H46" s="575">
        <v>12</v>
      </c>
      <c r="I46" s="575">
        <v>12</v>
      </c>
      <c r="J46" s="575">
        <v>15</v>
      </c>
      <c r="K46" s="575">
        <v>25</v>
      </c>
      <c r="L46" s="575">
        <v>29</v>
      </c>
      <c r="M46" s="575">
        <v>30</v>
      </c>
      <c r="N46" s="575">
        <v>19</v>
      </c>
      <c r="O46" s="575">
        <v>229</v>
      </c>
    </row>
    <row r="47" spans="1:15" x14ac:dyDescent="0.35">
      <c r="A47" s="574" t="s">
        <v>2850</v>
      </c>
      <c r="B47" s="572"/>
      <c r="C47" s="575">
        <v>4</v>
      </c>
      <c r="D47" s="575">
        <v>11</v>
      </c>
      <c r="E47" s="575">
        <v>13</v>
      </c>
      <c r="F47" s="575">
        <v>16</v>
      </c>
      <c r="G47" s="575">
        <v>10</v>
      </c>
      <c r="H47" s="575">
        <v>15</v>
      </c>
      <c r="I47" s="575">
        <v>8</v>
      </c>
      <c r="J47" s="575">
        <v>9</v>
      </c>
      <c r="K47" s="575">
        <v>20</v>
      </c>
      <c r="L47" s="575">
        <v>24</v>
      </c>
      <c r="M47" s="575">
        <v>9</v>
      </c>
      <c r="N47" s="575">
        <v>2</v>
      </c>
      <c r="O47" s="575">
        <v>141</v>
      </c>
    </row>
    <row r="48" spans="1:15" x14ac:dyDescent="0.35">
      <c r="A48" s="574" t="s">
        <v>941</v>
      </c>
      <c r="B48" s="572"/>
      <c r="C48" s="575">
        <v>2</v>
      </c>
      <c r="D48" s="575"/>
      <c r="E48" s="575">
        <v>4</v>
      </c>
      <c r="F48" s="575"/>
      <c r="G48" s="575">
        <v>3</v>
      </c>
      <c r="H48" s="575">
        <v>2</v>
      </c>
      <c r="I48" s="575">
        <v>1</v>
      </c>
      <c r="J48" s="575"/>
      <c r="K48" s="575">
        <v>3</v>
      </c>
      <c r="L48" s="575">
        <v>2</v>
      </c>
      <c r="M48" s="575"/>
      <c r="N48" s="575">
        <v>2</v>
      </c>
      <c r="O48" s="575">
        <v>19</v>
      </c>
    </row>
    <row r="49" spans="1:15" x14ac:dyDescent="0.35">
      <c r="A49" s="574" t="s">
        <v>2852</v>
      </c>
      <c r="B49" s="572"/>
      <c r="C49" s="575">
        <v>2</v>
      </c>
      <c r="D49" s="575">
        <v>2</v>
      </c>
      <c r="E49" s="575">
        <v>1</v>
      </c>
      <c r="F49" s="575">
        <v>2</v>
      </c>
      <c r="G49" s="575">
        <v>3</v>
      </c>
      <c r="H49" s="575">
        <v>2</v>
      </c>
      <c r="I49" s="575">
        <v>1</v>
      </c>
      <c r="J49" s="575">
        <v>3</v>
      </c>
      <c r="K49" s="575">
        <v>2</v>
      </c>
      <c r="L49" s="575">
        <v>1</v>
      </c>
      <c r="M49" s="575">
        <v>1</v>
      </c>
      <c r="N49" s="575">
        <v>1</v>
      </c>
      <c r="O49" s="575">
        <v>21</v>
      </c>
    </row>
    <row r="50" spans="1:15" x14ac:dyDescent="0.35">
      <c r="A50" s="574" t="s">
        <v>2851</v>
      </c>
      <c r="B50" s="572"/>
      <c r="C50" s="575">
        <v>1</v>
      </c>
      <c r="D50" s="575">
        <v>4</v>
      </c>
      <c r="E50" s="575">
        <v>3</v>
      </c>
      <c r="F50" s="575">
        <v>2</v>
      </c>
      <c r="G50" s="575">
        <v>2</v>
      </c>
      <c r="H50" s="575">
        <v>2</v>
      </c>
      <c r="I50" s="575">
        <v>3</v>
      </c>
      <c r="J50" s="575">
        <v>2</v>
      </c>
      <c r="K50" s="575">
        <v>3</v>
      </c>
      <c r="L50" s="575">
        <v>2</v>
      </c>
      <c r="M50" s="575">
        <v>2</v>
      </c>
      <c r="N50" s="575">
        <v>1</v>
      </c>
      <c r="O50" s="575">
        <v>27</v>
      </c>
    </row>
    <row r="51" spans="1:15" x14ac:dyDescent="0.35">
      <c r="A51" s="574" t="s">
        <v>2853</v>
      </c>
      <c r="B51" s="572"/>
      <c r="C51" s="575">
        <v>1</v>
      </c>
      <c r="D51" s="575">
        <v>17</v>
      </c>
      <c r="E51" s="575">
        <v>7</v>
      </c>
      <c r="F51" s="575">
        <v>2</v>
      </c>
      <c r="G51" s="575">
        <v>2</v>
      </c>
      <c r="H51" s="575">
        <v>5</v>
      </c>
      <c r="I51" s="575">
        <v>1</v>
      </c>
      <c r="J51" s="575">
        <v>3</v>
      </c>
      <c r="K51" s="575">
        <v>5</v>
      </c>
      <c r="L51" s="575">
        <v>2</v>
      </c>
      <c r="M51" s="575">
        <v>4</v>
      </c>
      <c r="N51" s="575">
        <v>12</v>
      </c>
      <c r="O51" s="575">
        <v>61</v>
      </c>
    </row>
    <row r="52" spans="1:15" x14ac:dyDescent="0.35">
      <c r="A52" s="574" t="s">
        <v>2846</v>
      </c>
      <c r="B52" s="572"/>
      <c r="C52" s="575"/>
      <c r="D52" s="575"/>
      <c r="E52" s="575"/>
      <c r="F52" s="575"/>
      <c r="G52" s="575"/>
      <c r="H52" s="575"/>
      <c r="I52" s="575"/>
      <c r="J52" s="575"/>
      <c r="K52" s="575"/>
      <c r="L52" s="575"/>
      <c r="M52" s="575"/>
      <c r="N52" s="575"/>
      <c r="O52" s="575"/>
    </row>
    <row r="53" spans="1:15" x14ac:dyDescent="0.35">
      <c r="A53" s="574" t="s">
        <v>2845</v>
      </c>
      <c r="B53" s="572"/>
      <c r="C53" s="575">
        <v>32</v>
      </c>
      <c r="D53" s="575">
        <v>52</v>
      </c>
      <c r="E53" s="575">
        <v>43</v>
      </c>
      <c r="F53" s="575">
        <v>35</v>
      </c>
      <c r="G53" s="575">
        <v>39</v>
      </c>
      <c r="H53" s="575">
        <v>38</v>
      </c>
      <c r="I53" s="575">
        <v>26</v>
      </c>
      <c r="J53" s="575">
        <v>32</v>
      </c>
      <c r="K53" s="575">
        <v>58</v>
      </c>
      <c r="L53" s="575">
        <v>60</v>
      </c>
      <c r="M53" s="575">
        <v>46</v>
      </c>
      <c r="N53" s="575">
        <v>37</v>
      </c>
      <c r="O53" s="575">
        <v>498</v>
      </c>
    </row>
    <row r="56" spans="1:15" x14ac:dyDescent="0.3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1:15" x14ac:dyDescent="0.35">
      <c r="A57" s="570" t="s">
        <v>2849</v>
      </c>
      <c r="B57"/>
      <c r="C57">
        <f>GETPIVOTDATA("Amount",$A$3,"Category","courses/masterclasses","Months",1)/GETPIVOTDATA("Amount",$A$44,"Category","courses/masterclasses","Months",1)</f>
        <v>84.63636363636364</v>
      </c>
      <c r="D57">
        <f>GETPIVOTDATA("Amount",$A$3,"Category","courses/masterclasses","Months",2)/GETPIVOTDATA("Amount",$A$44,"Category","courses/masterclasses","Months",2)</f>
        <v>135.77777777777777</v>
      </c>
      <c r="E57"/>
      <c r="F57">
        <v>84.63636363636364</v>
      </c>
      <c r="G57">
        <v>135.7777777777778</v>
      </c>
      <c r="H57"/>
      <c r="I57"/>
      <c r="J57"/>
      <c r="K57"/>
      <c r="L57"/>
      <c r="M57"/>
      <c r="N57"/>
      <c r="O57"/>
    </row>
    <row r="58" spans="1:15" x14ac:dyDescent="0.35">
      <c r="A58" s="570" t="s">
        <v>2850</v>
      </c>
      <c r="B58"/>
      <c r="C58">
        <f>GETPIVOTDATA("Amount",$A$3,"Category","workshops","Months",1)/GETPIVOTDATA("Amount",$A$44,"Category","workshops","Months",1)</f>
        <v>103.125</v>
      </c>
      <c r="D58">
        <f>GETPIVOTDATA("Amount",$A$3,"Category","workshops","Months",2)/GETPIVOTDATA("Amount",$A$44,"Category","workshops","Months",2)</f>
        <v>148.90909090909091</v>
      </c>
      <c r="E58"/>
      <c r="F58">
        <v>103.125</v>
      </c>
      <c r="G58">
        <v>148.90909090909091</v>
      </c>
      <c r="H58"/>
      <c r="I58"/>
      <c r="J58"/>
      <c r="K58"/>
      <c r="L58"/>
      <c r="M58"/>
      <c r="N58"/>
      <c r="O58"/>
    </row>
    <row r="59" spans="1:15" x14ac:dyDescent="0.35">
      <c r="A59" s="570" t="s">
        <v>2851</v>
      </c>
      <c r="B59"/>
      <c r="C59">
        <f>GETPIVOTDATA("Amount",$A$3,"Category","pick n mix","Months",1)/GETPIVOTDATA("Amount",$A$44,"Category","pick n mix","Months",1)</f>
        <v>339</v>
      </c>
      <c r="D59">
        <f>GETPIVOTDATA("Amount",$A$3,"Category","pick n mix","Months",2)/GETPIVOTDATA("Amount",$A$44,"Category","pick n mix","Months",2)</f>
        <v>487</v>
      </c>
      <c r="E59"/>
      <c r="F59">
        <v>339</v>
      </c>
      <c r="G59">
        <v>487</v>
      </c>
      <c r="H59"/>
      <c r="I59"/>
      <c r="J59"/>
      <c r="K59"/>
      <c r="L59"/>
      <c r="M59"/>
      <c r="N59"/>
      <c r="O59"/>
    </row>
    <row r="60" spans="1:15" x14ac:dyDescent="0.35">
      <c r="A60" s="570" t="s">
        <v>2852</v>
      </c>
      <c r="B60"/>
      <c r="C60">
        <f>GETPIVOTDATA("Amount",$A$3,"Category","mentoring","Months",1)/GETPIVOTDATA("Amount",$A$44,"Category","mentoring","Months",1)</f>
        <v>160</v>
      </c>
      <c r="D60">
        <f>GETPIVOTDATA("Amount",$A$3,"Category","mentoring","Months",1)/GETPIVOTDATA("Amount",$A$44,"Category","mentoring","Months",1)</f>
        <v>160</v>
      </c>
      <c r="E60"/>
      <c r="F60">
        <v>160</v>
      </c>
      <c r="G60">
        <v>160</v>
      </c>
      <c r="H60"/>
      <c r="I60"/>
      <c r="J60"/>
      <c r="K60"/>
      <c r="L60"/>
      <c r="M60"/>
      <c r="N60"/>
      <c r="O60"/>
    </row>
    <row r="61" spans="1:15" x14ac:dyDescent="0.35">
      <c r="A61" s="570" t="s">
        <v>941</v>
      </c>
      <c r="B61"/>
      <c r="C61">
        <f>GETPIVOTDATA("Amount",$A$3,"Category","1-2-1","Months",1)/GETPIVOTDATA("Amount",$A$44,"Category","1-2-1","Months",1)</f>
        <v>120</v>
      </c>
      <c r="D61">
        <f>GETPIVOTDATA("Amount",$A$3,"Category","1-2-1","Months",1)/GETPIVOTDATA("Amount",$A$44,"Category","1-2-1","Months",1)</f>
        <v>120</v>
      </c>
      <c r="E61"/>
      <c r="F61">
        <v>120</v>
      </c>
      <c r="G61">
        <v>120</v>
      </c>
      <c r="H61"/>
      <c r="I61"/>
      <c r="J61"/>
      <c r="K61"/>
      <c r="L61"/>
      <c r="M61"/>
      <c r="N61"/>
      <c r="O61"/>
    </row>
    <row r="62" spans="1:15" x14ac:dyDescent="0.35">
      <c r="A62" s="570" t="s">
        <v>2853</v>
      </c>
      <c r="B62"/>
      <c r="C62">
        <f>GETPIVOTDATA("Amount",$A$3,"Category","other","Months",1)/GETPIVOTDATA("Amount",$A$44,"Category","other","Months",1)</f>
        <v>30</v>
      </c>
      <c r="D62">
        <f>GETPIVOTDATA("Amount",$A$3,"Category","other","Months",1)/GETPIVOTDATA("Amount",$A$44,"Category","other","Months",1)</f>
        <v>30</v>
      </c>
      <c r="E62"/>
      <c r="F62">
        <v>30</v>
      </c>
      <c r="G62">
        <v>30</v>
      </c>
      <c r="H62"/>
      <c r="I62"/>
      <c r="J62"/>
      <c r="K62"/>
      <c r="L62"/>
      <c r="M62"/>
      <c r="N62"/>
      <c r="O62"/>
    </row>
    <row r="63" spans="1:15" x14ac:dyDescent="0.35">
      <c r="A63" s="570" t="s">
        <v>2846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pageSetUpPr fitToPage="1"/>
  </sheetPr>
  <dimension ref="A1:AG626"/>
  <sheetViews>
    <sheetView topLeftCell="A15" zoomScaleNormal="100" workbookViewId="0">
      <selection activeCell="G23" sqref="G23:U93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18.86328125" style="426" customWidth="1"/>
    <col min="4" max="4" width="11.19921875" style="426" bestFit="1" customWidth="1"/>
    <col min="5" max="5" width="10" style="435" bestFit="1" customWidth="1"/>
    <col min="6" max="6" width="19" style="426" customWidth="1"/>
    <col min="7" max="7" width="22.53125" style="426" customWidth="1"/>
    <col min="8" max="8" width="12.6640625" style="426" customWidth="1"/>
    <col min="9" max="9" width="7.46484375" style="426" customWidth="1"/>
    <col min="10" max="10" width="6.86328125" style="426" bestFit="1" customWidth="1"/>
    <col min="11" max="17" width="6.53125" style="426" customWidth="1"/>
    <col min="18" max="18" width="7.53125" style="426" customWidth="1"/>
    <col min="19" max="19" width="6.6640625" style="426" customWidth="1"/>
    <col min="20" max="20" width="7.33203125" style="426" customWidth="1"/>
    <col min="21" max="21" width="6.53125" style="426" customWidth="1"/>
    <col min="22" max="22" width="6.1328125" style="426" customWidth="1"/>
    <col min="23" max="23" width="7.33203125" style="426" customWidth="1"/>
    <col min="24" max="24" width="6.86328125" style="426" customWidth="1"/>
    <col min="25" max="25" width="9.1328125" style="426" customWidth="1"/>
    <col min="26" max="26" width="6.46484375" style="426" bestFit="1" customWidth="1"/>
    <col min="27" max="28" width="9.1328125" style="426" customWidth="1"/>
    <col min="29" max="29" width="20.53125" style="426" customWidth="1"/>
    <col min="30" max="30" width="13.33203125" style="426" customWidth="1"/>
    <col min="31" max="31" width="12" style="426" bestFit="1" customWidth="1"/>
    <col min="32" max="32" width="9.1328125" style="426" customWidth="1"/>
    <col min="33" max="16384" width="9.1328125" style="426"/>
  </cols>
  <sheetData>
    <row r="1" spans="1:32" ht="13.15" customHeight="1" x14ac:dyDescent="0.4">
      <c r="A1" s="418" t="s">
        <v>187</v>
      </c>
      <c r="B1" s="418" t="s">
        <v>1568</v>
      </c>
      <c r="C1" s="418" t="s">
        <v>189</v>
      </c>
      <c r="D1" s="418" t="s">
        <v>191</v>
      </c>
      <c r="E1" s="419" t="s">
        <v>1569</v>
      </c>
      <c r="F1" s="418" t="s">
        <v>1570</v>
      </c>
      <c r="G1" s="420" t="s">
        <v>140</v>
      </c>
      <c r="H1" s="421" t="s">
        <v>18</v>
      </c>
      <c r="I1" s="422" t="s">
        <v>142</v>
      </c>
      <c r="J1" s="422" t="s">
        <v>143</v>
      </c>
      <c r="K1" s="422" t="s">
        <v>144</v>
      </c>
      <c r="L1" s="422" t="s">
        <v>145</v>
      </c>
      <c r="M1" s="422" t="s">
        <v>146</v>
      </c>
      <c r="N1" s="422" t="s">
        <v>147</v>
      </c>
      <c r="O1" s="422" t="s">
        <v>148</v>
      </c>
      <c r="P1" s="422" t="s">
        <v>149</v>
      </c>
      <c r="Q1" s="422" t="s">
        <v>150</v>
      </c>
      <c r="R1" s="422" t="s">
        <v>151</v>
      </c>
      <c r="S1" s="422" t="s">
        <v>152</v>
      </c>
      <c r="T1" s="422" t="s">
        <v>153</v>
      </c>
      <c r="U1" s="423" t="s">
        <v>19</v>
      </c>
      <c r="V1" s="420" t="s">
        <v>2513</v>
      </c>
      <c r="W1" s="424" t="s">
        <v>21</v>
      </c>
      <c r="X1" s="425" t="s">
        <v>22</v>
      </c>
      <c r="Y1" s="426" t="s">
        <v>23</v>
      </c>
      <c r="Z1" s="426" t="s">
        <v>2514</v>
      </c>
      <c r="AB1" s="46" t="s">
        <v>2282</v>
      </c>
      <c r="AC1" s="45" t="s">
        <v>5</v>
      </c>
      <c r="AD1" s="45" t="s">
        <v>6</v>
      </c>
      <c r="AE1" s="45" t="s">
        <v>7</v>
      </c>
      <c r="AF1" s="45" t="s">
        <v>8</v>
      </c>
    </row>
    <row r="2" spans="1:32" ht="13.5" customHeight="1" x14ac:dyDescent="0.35">
      <c r="A2" s="427"/>
      <c r="B2" s="427"/>
      <c r="C2" s="427"/>
      <c r="E2" s="428"/>
      <c r="F2" s="429"/>
      <c r="G2" s="430" t="s">
        <v>2849</v>
      </c>
      <c r="H2" s="431">
        <v>2000</v>
      </c>
      <c r="I2" s="432">
        <f>SUMIF($C592:C624,G2,$E592:$E625)</f>
        <v>1862</v>
      </c>
      <c r="J2" s="432">
        <f>SUMIF($C$538:C$589,$G2,$E$538:$E$589)</f>
        <v>2444</v>
      </c>
      <c r="K2" s="432">
        <f>SUMIF($C$493:C$535,$G2,$E$493:$E$535)</f>
        <v>2058.91</v>
      </c>
      <c r="L2" s="432">
        <f>SUMIF($C$455:C$490,$G2,$E$455:$E$490)</f>
        <v>3112</v>
      </c>
      <c r="M2" s="432">
        <f ca="1">SUMIF($C$415:D$455,$G2,$E$415:$E$455)</f>
        <v>2704.5</v>
      </c>
      <c r="N2" s="432">
        <f ca="1">SUMIF($C$376:E$414,$G2,$E$376:$E$414)</f>
        <v>813</v>
      </c>
      <c r="O2" s="432">
        <f ca="1">SUMIF($C$348:F$374,$G2,$E$348:$E$374)</f>
        <v>785.5</v>
      </c>
      <c r="P2" s="432">
        <f ca="1">SUMIF($C$312:G$346,$G2,$E$312:$E$346)</f>
        <v>644</v>
      </c>
      <c r="Q2" s="432">
        <f ca="1">SUMIF($C$251:H$308,$G2,$E$251:$E$308)</f>
        <v>4390</v>
      </c>
      <c r="R2" s="432">
        <f ca="1">SUMIF($C$190:H$249,$G2,$E$190:$E$249)</f>
        <v>4327.5</v>
      </c>
      <c r="S2" s="432">
        <f ca="1">SUMIF($C$143:G$188,$G2,$E$143:$E$188)</f>
        <v>5891.5</v>
      </c>
      <c r="T2" s="432">
        <f ca="1">SUMIF($C$95:G$141,$G2,$E$95:$E$141)</f>
        <v>2688</v>
      </c>
      <c r="U2" s="431">
        <f t="shared" ref="U2:U7" ca="1" si="0">SUM(I2:T2)</f>
        <v>31720.91</v>
      </c>
      <c r="V2" s="432">
        <f t="shared" ref="V2:V8" ca="1" si="1">T2-H2</f>
        <v>688</v>
      </c>
      <c r="W2" s="432">
        <f t="shared" ref="W2:W8" ca="1" si="2">U2-Y2</f>
        <v>7720.91</v>
      </c>
      <c r="X2" s="433">
        <f t="shared" ref="X2:X8" ca="1" si="3">SUM(W2/(H2*12))</f>
        <v>0.32170458333333335</v>
      </c>
      <c r="Y2" s="434">
        <f t="shared" ref="Y2:Y8" si="4">H2*12</f>
        <v>24000</v>
      </c>
      <c r="Z2" s="434">
        <f t="shared" ref="Z2:Z8" ca="1" si="5">U2/12</f>
        <v>2643.4091666666668</v>
      </c>
      <c r="AB2" s="48" t="s">
        <v>2284</v>
      </c>
      <c r="AC2" s="542">
        <f ca="1">AD2+AE2</f>
        <v>60536.84</v>
      </c>
      <c r="AD2" s="426">
        <f ca="1">SUM(L8:T8)</f>
        <v>60536.84</v>
      </c>
      <c r="AF2" s="445">
        <f ca="1">SUM(AD2-AD3)/AD2</f>
        <v>0.25562682161804279</v>
      </c>
    </row>
    <row r="3" spans="1:32" ht="13.5" customHeight="1" x14ac:dyDescent="0.35">
      <c r="A3" s="427">
        <v>43100</v>
      </c>
      <c r="B3" s="427" t="s">
        <v>3192</v>
      </c>
      <c r="C3" s="427" t="s">
        <v>65</v>
      </c>
      <c r="E3" s="428">
        <v>200</v>
      </c>
      <c r="F3" s="429" t="s">
        <v>1775</v>
      </c>
      <c r="G3" s="430" t="s">
        <v>2850</v>
      </c>
      <c r="H3" s="431">
        <v>2000</v>
      </c>
      <c r="I3" s="432">
        <f>SUMIF($C593:C625,G3,$E593:$E626)</f>
        <v>412.5</v>
      </c>
      <c r="J3" s="432">
        <f>SUMIF($C$538:C$589,$G3,$E$538:$E$589)</f>
        <v>1638</v>
      </c>
      <c r="K3" s="432">
        <f>SUMIF($C$493:C$535,$G3,$E$493:$E$535)</f>
        <v>2272.38</v>
      </c>
      <c r="L3" s="432">
        <f>SUMIF($C$455:C$490,$G3,$E$455:$E$490)</f>
        <v>2050.4</v>
      </c>
      <c r="M3" s="432">
        <f ca="1">SUMIF($C$415:D$455,$G3,$E$415:$E$455)</f>
        <v>912.5</v>
      </c>
      <c r="N3" s="432">
        <f ca="1">SUMIF($C$376:E$414,$G3,$E$376:$E$414)</f>
        <v>1990</v>
      </c>
      <c r="O3" s="432">
        <f ca="1">SUMIF($C$348:F$374,$G3,$E$348:$E$374)</f>
        <v>1720</v>
      </c>
      <c r="P3" s="432">
        <f ca="1">SUMIF($C$312:G$346,$G3,$E$312:$E$346)</f>
        <v>2860</v>
      </c>
      <c r="Q3" s="432">
        <f ca="1">SUMIF($C$251:H$308,$G3,$E$251:$E$308)</f>
        <v>3882.2000000000007</v>
      </c>
      <c r="R3" s="432">
        <f ca="1">SUMIF($C$190:H$249,$G3,$E$190:$E$249)</f>
        <v>3268.7500000000005</v>
      </c>
      <c r="S3" s="432">
        <f ca="1">SUMIF($C$143:G$188,$G3,$E$143:$E$188)</f>
        <v>2083</v>
      </c>
      <c r="T3" s="432">
        <f ca="1">SUMIF($C$95:G$141,$G3,$E$95:$E$141)</f>
        <v>235.8</v>
      </c>
      <c r="U3" s="431">
        <f t="shared" ca="1" si="0"/>
        <v>23325.530000000002</v>
      </c>
      <c r="V3" s="432">
        <f t="shared" ca="1" si="1"/>
        <v>-1764.2</v>
      </c>
      <c r="W3" s="432">
        <f t="shared" ca="1" si="2"/>
        <v>-674.46999999999753</v>
      </c>
      <c r="X3" s="433">
        <f t="shared" ca="1" si="3"/>
        <v>-2.8102916666666564E-2</v>
      </c>
      <c r="Y3" s="434">
        <f t="shared" si="4"/>
        <v>24000</v>
      </c>
      <c r="Z3" s="434">
        <f t="shared" ca="1" si="5"/>
        <v>1943.7941666666668</v>
      </c>
      <c r="AB3" s="48" t="s">
        <v>1576</v>
      </c>
      <c r="AC3" s="542">
        <f>AD3+AE3</f>
        <v>61193.33</v>
      </c>
      <c r="AD3" s="426">
        <f>SUM(L10:T10)</f>
        <v>45062</v>
      </c>
      <c r="AE3" s="426">
        <f>SUM(I8:K8)</f>
        <v>16131.33</v>
      </c>
      <c r="AF3" s="445">
        <f>SUM(AD3-AD4)/AD3</f>
        <v>1.2560472238249522E-2</v>
      </c>
    </row>
    <row r="4" spans="1:32" ht="13.5" customHeight="1" x14ac:dyDescent="0.35">
      <c r="A4" s="427">
        <v>43100</v>
      </c>
      <c r="B4" s="427" t="s">
        <v>1862</v>
      </c>
      <c r="C4" s="427" t="s">
        <v>65</v>
      </c>
      <c r="E4" s="428">
        <v>200</v>
      </c>
      <c r="F4" s="429" t="s">
        <v>1775</v>
      </c>
      <c r="G4" s="430" t="s">
        <v>2851</v>
      </c>
      <c r="H4" s="431">
        <v>750</v>
      </c>
      <c r="I4" s="432">
        <f>SUMIF($C594:C626,G4,$E594:$E627)</f>
        <v>339</v>
      </c>
      <c r="J4" s="432">
        <f>SUMIF($C$538:C$589,$G4,$E$538:$E$589)</f>
        <v>1948</v>
      </c>
      <c r="K4" s="432">
        <f>SUMIF($C$493:C$535,$G4,$E$493:$E$535)</f>
        <v>509.3</v>
      </c>
      <c r="L4" s="432">
        <f>SUMIF($C$455:C$490,$G4,$E$455:$E$490)</f>
        <v>515.59</v>
      </c>
      <c r="M4" s="432">
        <f ca="1">SUMIF($C$415:D$455,$G4,$E$415:$E$455)</f>
        <v>954.71</v>
      </c>
      <c r="N4" s="432">
        <f ca="1">SUMIF($C$376:E$414,$G4,$E$376:$E$414)</f>
        <v>690.98</v>
      </c>
      <c r="O4" s="432">
        <f ca="1">SUMIF($C$348:F$374,$G4,$E$348:$E$374)</f>
        <v>780.65000000000009</v>
      </c>
      <c r="P4" s="432">
        <f ca="1">SUMIF($C$312:G$346,$G4,$E$312:$E$346)</f>
        <v>726.31000000000006</v>
      </c>
      <c r="Q4" s="432">
        <f ca="1">SUMIF($C$251:H$308,$G4,$E$251:$E$308)</f>
        <v>1532.98</v>
      </c>
      <c r="R4" s="432">
        <f ca="1">SUMIF($C$190:H$249,$G4,$E$190:$E$249)</f>
        <v>1232.48</v>
      </c>
      <c r="S4" s="432">
        <f ca="1">SUMIF($C$143:G$188,$G4,$E$143:$E$188)</f>
        <v>2238</v>
      </c>
      <c r="T4" s="432">
        <f ca="1">SUMIF($C$95:G$141,$G4,$E$95:$E$141)</f>
        <v>307.48</v>
      </c>
      <c r="U4" s="431">
        <f t="shared" ca="1" si="0"/>
        <v>11775.48</v>
      </c>
      <c r="V4" s="432">
        <f t="shared" ca="1" si="1"/>
        <v>-442.52</v>
      </c>
      <c r="W4" s="432">
        <f t="shared" ca="1" si="2"/>
        <v>2775.4799999999996</v>
      </c>
      <c r="X4" s="433">
        <f t="shared" ca="1" si="3"/>
        <v>0.30838666666666664</v>
      </c>
      <c r="Y4" s="434">
        <f t="shared" si="4"/>
        <v>9000</v>
      </c>
      <c r="Z4" s="434">
        <f t="shared" ca="1" si="5"/>
        <v>981.29</v>
      </c>
      <c r="AB4" s="48" t="s">
        <v>1577</v>
      </c>
      <c r="AC4" s="542">
        <f>AD4+AE4</f>
        <v>57074</v>
      </c>
      <c r="AD4" s="426">
        <f>SUM(L11:T11)</f>
        <v>44496</v>
      </c>
      <c r="AE4" s="426">
        <f>SUM(I10:K10)</f>
        <v>12578</v>
      </c>
      <c r="AF4" s="445">
        <f>SUM(AD4-AD5)/AD4</f>
        <v>0.10681859043509528</v>
      </c>
    </row>
    <row r="5" spans="1:32" ht="13.5" customHeight="1" x14ac:dyDescent="0.35">
      <c r="A5" s="427">
        <v>43100</v>
      </c>
      <c r="B5" s="427" t="s">
        <v>1865</v>
      </c>
      <c r="C5" s="427" t="s">
        <v>65</v>
      </c>
      <c r="E5" s="428">
        <v>135</v>
      </c>
      <c r="F5" s="429"/>
      <c r="G5" s="430" t="s">
        <v>2852</v>
      </c>
      <c r="H5" s="431">
        <v>400</v>
      </c>
      <c r="I5" s="432">
        <f>SUMIF($C595:C627,G5,$E595:$E628)</f>
        <v>320</v>
      </c>
      <c r="J5" s="432">
        <f>SUMIF($C$538:C$589,$G5,$E$538:$E$589)</f>
        <v>140</v>
      </c>
      <c r="K5" s="432">
        <f>SUMIF($C$493:C$535,$G5,$E$493:$E$535)</f>
        <v>80</v>
      </c>
      <c r="L5" s="432">
        <f>SUMIF($C$455:C$490,$G5,$E$455:$E$490)</f>
        <v>100</v>
      </c>
      <c r="M5" s="432">
        <f ca="1">SUMIF($C$415:D$455,$G5,$E$415:$E$455)</f>
        <v>720</v>
      </c>
      <c r="N5" s="432">
        <f ca="1">SUMIF($C$376:E$414,$G5,$E$376:$E$414)</f>
        <v>122</v>
      </c>
      <c r="O5" s="432">
        <f ca="1">SUMIF($C$348:F$374,$G5,$E$348:$E$374)</f>
        <v>140</v>
      </c>
      <c r="P5" s="432">
        <f ca="1">SUMIF($C$312:G$346,$G5,$E$312:$E$346)</f>
        <v>360</v>
      </c>
      <c r="Q5" s="432">
        <f ca="1">SUMIF($C$251:H$308,$G5,$E$251:$E$308)</f>
        <v>160</v>
      </c>
      <c r="R5" s="432">
        <f ca="1">SUMIF($C$190:H$249,$G5,$E$190:$E$249)</f>
        <v>100</v>
      </c>
      <c r="S5" s="432">
        <f ca="1">SUMIF($C$143:G$188,$G5,$E$143:$E$188)</f>
        <v>80</v>
      </c>
      <c r="T5" s="432">
        <f ca="1">SUMIF($C$95:G$141,$G5,$E$95:$E$141)</f>
        <v>60</v>
      </c>
      <c r="U5" s="431">
        <f t="shared" ca="1" si="0"/>
        <v>2382</v>
      </c>
      <c r="V5" s="432">
        <f t="shared" ca="1" si="1"/>
        <v>-340</v>
      </c>
      <c r="W5" s="432">
        <f t="shared" ca="1" si="2"/>
        <v>-2418</v>
      </c>
      <c r="X5" s="433">
        <f t="shared" ca="1" si="3"/>
        <v>-0.50375000000000003</v>
      </c>
      <c r="Y5" s="434">
        <f t="shared" si="4"/>
        <v>4800</v>
      </c>
      <c r="Z5" s="434">
        <f t="shared" ca="1" si="5"/>
        <v>198.5</v>
      </c>
      <c r="AB5" s="48" t="s">
        <v>1578</v>
      </c>
      <c r="AC5" s="542">
        <f>AD5+AE5</f>
        <v>54316</v>
      </c>
      <c r="AD5" s="426">
        <f>SUM(L12:T12)</f>
        <v>39743</v>
      </c>
      <c r="AE5" s="426">
        <f>SUM(I11:K11)</f>
        <v>14573</v>
      </c>
      <c r="AF5" s="445">
        <f>SUM(AD5-AD6)/AD5</f>
        <v>0.76363133130362582</v>
      </c>
    </row>
    <row r="6" spans="1:32" ht="13.5" customHeight="1" x14ac:dyDescent="0.35">
      <c r="A6" s="427">
        <v>43100</v>
      </c>
      <c r="B6" s="427" t="s">
        <v>1868</v>
      </c>
      <c r="C6" s="427" t="s">
        <v>65</v>
      </c>
      <c r="E6" s="428">
        <v>200</v>
      </c>
      <c r="F6" s="546" t="s">
        <v>3187</v>
      </c>
      <c r="G6" s="436" t="s">
        <v>941</v>
      </c>
      <c r="H6" s="431">
        <v>400</v>
      </c>
      <c r="I6" s="432">
        <f>SUMIF($C596:C628,G6,$E596:$E629)</f>
        <v>240</v>
      </c>
      <c r="J6" s="432">
        <f>SUMIF($C$538:C$589,$G6,$E$538:$E$589)</f>
        <v>0</v>
      </c>
      <c r="K6" s="432">
        <f>SUMIF($C$493:C$535,$G6,$E$493:$E$535)</f>
        <v>780</v>
      </c>
      <c r="L6" s="432">
        <f>SUMIF($C$455:C$490,$G6,$E$455:$E$490)</f>
        <v>0</v>
      </c>
      <c r="M6" s="432">
        <f ca="1">SUMIF($C$415:D$455,$G6,$E$415:$E$455)</f>
        <v>441.25</v>
      </c>
      <c r="N6" s="432">
        <f ca="1">SUMIF($C$376:E$414,$G6,$E$376:$E$414)</f>
        <v>1604.15</v>
      </c>
      <c r="O6" s="432">
        <f ca="1">SUMIF($C$348:F$374,$G6,$E$348:$E$374)</f>
        <v>146.25</v>
      </c>
      <c r="P6" s="432">
        <f ca="1">SUMIF($C$312:G$346,$G6,$E$312:$E$346)</f>
        <v>0</v>
      </c>
      <c r="Q6" s="432">
        <f ca="1">SUMIF($C$251:H$308,$G6,$E$251:$E$308)</f>
        <v>400</v>
      </c>
      <c r="R6" s="432">
        <f ca="1">SUMIF($C$190:H$249,$G6,$E$190:$E$249)</f>
        <v>245</v>
      </c>
      <c r="S6" s="432">
        <f ca="1">SUMIF($C$143:G$188,$G6,$E$143:$E$188)</f>
        <v>0</v>
      </c>
      <c r="T6" s="432">
        <f ca="1">SUMIF($C$95:G$141,$G6,$E$95:$E$141)</f>
        <v>390</v>
      </c>
      <c r="U6" s="431">
        <f t="shared" ca="1" si="0"/>
        <v>4246.6499999999996</v>
      </c>
      <c r="V6" s="432">
        <f t="shared" ca="1" si="1"/>
        <v>-10</v>
      </c>
      <c r="W6" s="432">
        <f t="shared" ca="1" si="2"/>
        <v>-553.35000000000036</v>
      </c>
      <c r="X6" s="433">
        <f t="shared" ca="1" si="3"/>
        <v>-0.11528125000000007</v>
      </c>
      <c r="Y6" s="434">
        <f t="shared" si="4"/>
        <v>4800</v>
      </c>
      <c r="Z6" s="434">
        <f t="shared" ca="1" si="5"/>
        <v>353.88749999999999</v>
      </c>
      <c r="AB6" s="48" t="s">
        <v>1579</v>
      </c>
      <c r="AC6" s="542">
        <f>AD6+AE6</f>
        <v>20273</v>
      </c>
      <c r="AD6" s="426">
        <f>SUM(L13:T13)</f>
        <v>9394</v>
      </c>
      <c r="AE6" s="426">
        <f>SUM(I12:K12)</f>
        <v>10879</v>
      </c>
      <c r="AF6" s="445"/>
    </row>
    <row r="7" spans="1:32" ht="13.5" customHeight="1" x14ac:dyDescent="0.35">
      <c r="A7" s="427">
        <v>43100</v>
      </c>
      <c r="B7" s="427" t="s">
        <v>1872</v>
      </c>
      <c r="C7" s="427" t="s">
        <v>65</v>
      </c>
      <c r="E7" s="428">
        <v>150</v>
      </c>
      <c r="F7" s="429" t="s">
        <v>3193</v>
      </c>
      <c r="G7" s="436" t="s">
        <v>2853</v>
      </c>
      <c r="H7" s="431">
        <v>300</v>
      </c>
      <c r="I7" s="432">
        <f>SUMIF($C597:C629,G7,$E597:$E630)</f>
        <v>30</v>
      </c>
      <c r="J7" s="432">
        <f>SUMIF($C$538:C$589,$G7,$E$538:$E$589)</f>
        <v>515</v>
      </c>
      <c r="K7" s="432">
        <f>SUMIF($C$493:C$535,$G7,$E$493:$E$535)</f>
        <v>542.24</v>
      </c>
      <c r="L7" s="432">
        <f>SUMIF($C$455:C$490,$G7,$E$455:$E$490)</f>
        <v>285.18</v>
      </c>
      <c r="M7" s="432">
        <f ca="1">SUMIF($C$415:D$455,$G7,$E$415:$E$455)</f>
        <v>118.75</v>
      </c>
      <c r="N7" s="432">
        <f ca="1">SUMIF($C$376:E$414,$G7,$E$376:$E$414)</f>
        <v>259.8</v>
      </c>
      <c r="O7" s="432">
        <f ca="1">SUMIF($C$348:F$374,$G7,$E$348:$E$374)</f>
        <v>31.41</v>
      </c>
      <c r="P7" s="432">
        <f ca="1">SUMIF($C$312:G$346,$G7,$E$312:$E$346)</f>
        <v>68.539999999999992</v>
      </c>
      <c r="Q7" s="432">
        <f ca="1">SUMIF($C$251:H$308,$G7,$E$251:$E$308)</f>
        <v>456.49</v>
      </c>
      <c r="R7" s="432">
        <f ca="1">SUMIF($C$190:H$249,$G7,$E$190:$E$249)</f>
        <v>50.85</v>
      </c>
      <c r="S7" s="432">
        <f ca="1">SUMIF($C$143:G$188,$G7,$E$143:$E$188)</f>
        <v>211.59</v>
      </c>
      <c r="T7" s="432">
        <f ca="1">SUMIF($C$95:G$141,$G7,$E$95:$E$141)</f>
        <v>647.75</v>
      </c>
      <c r="U7" s="431">
        <f t="shared" ca="1" si="0"/>
        <v>3217.6</v>
      </c>
      <c r="V7" s="432">
        <f t="shared" ca="1" si="1"/>
        <v>347.75</v>
      </c>
      <c r="W7" s="432">
        <f t="shared" ca="1" si="2"/>
        <v>-382.40000000000009</v>
      </c>
      <c r="X7" s="433">
        <f t="shared" ca="1" si="3"/>
        <v>-0.10622222222222225</v>
      </c>
      <c r="Y7" s="434">
        <f t="shared" si="4"/>
        <v>3600</v>
      </c>
      <c r="Z7" s="434">
        <f t="shared" ca="1" si="5"/>
        <v>268.13333333333333</v>
      </c>
    </row>
    <row r="8" spans="1:32" ht="13.9" customHeight="1" x14ac:dyDescent="0.4">
      <c r="A8" s="427">
        <v>43100</v>
      </c>
      <c r="B8" s="427" t="s">
        <v>1876</v>
      </c>
      <c r="C8" s="427" t="s">
        <v>65</v>
      </c>
      <c r="E8" s="428">
        <v>200</v>
      </c>
      <c r="F8" s="429" t="s">
        <v>1775</v>
      </c>
      <c r="G8" s="437" t="s">
        <v>63</v>
      </c>
      <c r="H8" s="438">
        <f t="shared" ref="H8:U8" si="6">SUM(H2:H7)</f>
        <v>5850</v>
      </c>
      <c r="I8" s="439">
        <f t="shared" si="6"/>
        <v>3203.5</v>
      </c>
      <c r="J8" s="439">
        <f t="shared" si="6"/>
        <v>6685</v>
      </c>
      <c r="K8" s="439">
        <f t="shared" si="6"/>
        <v>6242.83</v>
      </c>
      <c r="L8" s="439">
        <f t="shared" si="6"/>
        <v>6063.17</v>
      </c>
      <c r="M8" s="439">
        <f t="shared" ca="1" si="6"/>
        <v>5851.71</v>
      </c>
      <c r="N8" s="439">
        <f t="shared" ca="1" si="6"/>
        <v>5479.93</v>
      </c>
      <c r="O8" s="439">
        <f t="shared" ca="1" si="6"/>
        <v>3603.81</v>
      </c>
      <c r="P8" s="439">
        <f t="shared" ca="1" si="6"/>
        <v>4658.8500000000004</v>
      </c>
      <c r="Q8" s="439">
        <f t="shared" ca="1" si="6"/>
        <v>10821.67</v>
      </c>
      <c r="R8" s="439">
        <f t="shared" ca="1" si="6"/>
        <v>9224.58</v>
      </c>
      <c r="S8" s="439">
        <f t="shared" ca="1" si="6"/>
        <v>10504.09</v>
      </c>
      <c r="T8" s="439">
        <f t="shared" ca="1" si="6"/>
        <v>4329.0300000000007</v>
      </c>
      <c r="U8" s="438">
        <f t="shared" ca="1" si="6"/>
        <v>76668.17</v>
      </c>
      <c r="V8" s="432">
        <f t="shared" ca="1" si="1"/>
        <v>-1520.9699999999993</v>
      </c>
      <c r="W8" s="439">
        <f t="shared" ca="1" si="2"/>
        <v>6468.1699999999983</v>
      </c>
      <c r="X8" s="433">
        <f t="shared" ca="1" si="3"/>
        <v>9.2139173789173759E-2</v>
      </c>
      <c r="Y8" s="434">
        <f t="shared" si="4"/>
        <v>70200</v>
      </c>
      <c r="Z8" s="434">
        <f t="shared" ca="1" si="5"/>
        <v>6389.0141666666668</v>
      </c>
    </row>
    <row r="9" spans="1:32" ht="13.9" customHeight="1" x14ac:dyDescent="0.4">
      <c r="A9" s="427">
        <v>43100</v>
      </c>
      <c r="B9" s="427" t="s">
        <v>1879</v>
      </c>
      <c r="C9" s="427" t="s">
        <v>65</v>
      </c>
      <c r="E9" s="428">
        <v>200</v>
      </c>
      <c r="F9" s="429" t="s">
        <v>1775</v>
      </c>
      <c r="G9" s="440" t="s">
        <v>116</v>
      </c>
      <c r="H9" s="441">
        <f>H8*12</f>
        <v>70200</v>
      </c>
      <c r="I9" s="442">
        <f>I8/H8</f>
        <v>0.54760683760683759</v>
      </c>
      <c r="J9" s="442">
        <f>J8/H8</f>
        <v>1.1427350427350427</v>
      </c>
      <c r="K9" s="442">
        <f>K8/H8</f>
        <v>1.0671504273504273</v>
      </c>
      <c r="L9" s="442">
        <f>L8/H8</f>
        <v>1.0364393162393162</v>
      </c>
      <c r="M9" s="442">
        <f ca="1">M8/H8</f>
        <v>1.0002923076923076</v>
      </c>
      <c r="N9" s="442">
        <f ca="1">N8/H8</f>
        <v>0.93674017094017104</v>
      </c>
      <c r="O9" s="442">
        <f ca="1">O8/H8</f>
        <v>0.61603589743589737</v>
      </c>
      <c r="P9" s="442">
        <f ca="1">P8/H8</f>
        <v>0.79638461538461547</v>
      </c>
      <c r="Q9" s="442">
        <f ca="1">Q8/H8</f>
        <v>1.8498581196581196</v>
      </c>
      <c r="R9" s="442">
        <f ca="1">R8/H8</f>
        <v>1.5768512820512821</v>
      </c>
      <c r="S9" s="442">
        <f ca="1">S8/H8</f>
        <v>1.7955709401709401</v>
      </c>
      <c r="T9" s="442">
        <f ca="1">T8/H8</f>
        <v>0.74000512820512832</v>
      </c>
      <c r="U9" s="442"/>
    </row>
    <row r="10" spans="1:32" ht="13.9" customHeight="1" x14ac:dyDescent="0.4">
      <c r="A10" s="427">
        <v>43100</v>
      </c>
      <c r="B10" s="427" t="s">
        <v>1882</v>
      </c>
      <c r="C10" s="427" t="s">
        <v>65</v>
      </c>
      <c r="E10" s="428">
        <v>200</v>
      </c>
      <c r="F10" s="429" t="s">
        <v>1775</v>
      </c>
      <c r="G10" s="440" t="s">
        <v>117</v>
      </c>
      <c r="H10" s="443"/>
      <c r="I10" s="434">
        <v>4537</v>
      </c>
      <c r="J10" s="434">
        <f>4583-264</f>
        <v>4319</v>
      </c>
      <c r="K10" s="434">
        <f>3935-213</f>
        <v>3722</v>
      </c>
      <c r="L10" s="434">
        <f>4947-396</f>
        <v>4551</v>
      </c>
      <c r="M10" s="434">
        <f>3911-293</f>
        <v>3618</v>
      </c>
      <c r="N10" s="434">
        <f>2992-213</f>
        <v>2779</v>
      </c>
      <c r="O10" s="434">
        <f>2927-218</f>
        <v>2709</v>
      </c>
      <c r="P10" s="434">
        <f>7466-213</f>
        <v>7253</v>
      </c>
      <c r="Q10" s="434">
        <f>4218-425</f>
        <v>3793</v>
      </c>
      <c r="R10" s="434">
        <f>10697-213</f>
        <v>10484</v>
      </c>
      <c r="S10" s="434">
        <f>5081-213</f>
        <v>4868</v>
      </c>
      <c r="T10" s="434">
        <f>5220-213</f>
        <v>5007</v>
      </c>
      <c r="U10" s="431">
        <f>SUM(I10:T10)</f>
        <v>57640</v>
      </c>
      <c r="V10" s="444">
        <f>SUM(I10:T10)</f>
        <v>57640</v>
      </c>
      <c r="W10" s="432">
        <f ca="1">U8-V10</f>
        <v>19028.169999999998</v>
      </c>
      <c r="X10" s="442">
        <f ca="1">W10/U8</f>
        <v>0.24818865508332857</v>
      </c>
      <c r="Y10" s="445">
        <f>SUM(U10-U11)/U11</f>
        <v>-2.4192046589581677E-2</v>
      </c>
      <c r="Z10" s="426" t="s">
        <v>3223</v>
      </c>
    </row>
    <row r="11" spans="1:32" ht="13.15" customHeight="1" x14ac:dyDescent="0.4">
      <c r="G11" s="440" t="s">
        <v>118</v>
      </c>
      <c r="I11" s="434">
        <v>3710</v>
      </c>
      <c r="J11" s="434">
        <v>3750</v>
      </c>
      <c r="K11" s="434">
        <v>7113</v>
      </c>
      <c r="L11" s="434">
        <f>3928-213</f>
        <v>3715</v>
      </c>
      <c r="M11" s="434">
        <f>2501-213</f>
        <v>2288</v>
      </c>
      <c r="N11" s="434">
        <f>3468-213</f>
        <v>3255</v>
      </c>
      <c r="O11" s="434">
        <f>1986-224</f>
        <v>1762</v>
      </c>
      <c r="P11" s="434">
        <f>4145-212</f>
        <v>3933</v>
      </c>
      <c r="Q11" s="434">
        <f>8518-212</f>
        <v>8306</v>
      </c>
      <c r="R11" s="434">
        <f>5829-424</f>
        <v>5405</v>
      </c>
      <c r="S11" s="434">
        <f>3816-212</f>
        <v>3604</v>
      </c>
      <c r="T11" s="434">
        <f>12440-212</f>
        <v>12228</v>
      </c>
      <c r="U11" s="431">
        <f>SUM(I11:T11)</f>
        <v>59069</v>
      </c>
      <c r="V11" s="444">
        <f>SUM(I11:T11)</f>
        <v>59069</v>
      </c>
      <c r="W11" s="432">
        <f ca="1">U8-V11</f>
        <v>17599.169999999998</v>
      </c>
      <c r="X11" s="442">
        <f ca="1">W11/V11</f>
        <v>0.29794257563188808</v>
      </c>
      <c r="Y11" s="445">
        <f>SUM(U11-U12)/U12</f>
        <v>0.16686420923709058</v>
      </c>
    </row>
    <row r="12" spans="1:32" ht="13.9" customHeight="1" x14ac:dyDescent="0.4">
      <c r="A12" s="427"/>
      <c r="B12" s="427"/>
      <c r="C12" s="427"/>
      <c r="E12" s="428"/>
      <c r="F12" s="429"/>
      <c r="G12" s="440" t="s">
        <v>120</v>
      </c>
      <c r="I12" s="434">
        <f>4439-1260</f>
        <v>3179</v>
      </c>
      <c r="J12" s="434">
        <f>3071-197</f>
        <v>2874</v>
      </c>
      <c r="K12" s="434">
        <f>4958-132</f>
        <v>4826</v>
      </c>
      <c r="L12" s="434">
        <f>3585-132</f>
        <v>3453</v>
      </c>
      <c r="M12" s="434">
        <f>5008-33</f>
        <v>4975</v>
      </c>
      <c r="N12" s="434">
        <v>3386</v>
      </c>
      <c r="O12" s="434">
        <v>3633</v>
      </c>
      <c r="P12" s="434">
        <v>3855</v>
      </c>
      <c r="Q12" s="434">
        <v>6440</v>
      </c>
      <c r="R12" s="434">
        <v>3536</v>
      </c>
      <c r="S12" s="434">
        <v>2851</v>
      </c>
      <c r="T12" s="434">
        <v>7614</v>
      </c>
      <c r="U12" s="431">
        <f>SUM(I12:T12)</f>
        <v>50622</v>
      </c>
      <c r="V12" s="444">
        <f>SUM(I12:T12)</f>
        <v>50622</v>
      </c>
      <c r="W12" s="432">
        <f ca="1">U8-V12</f>
        <v>26046.17</v>
      </c>
      <c r="X12" s="442">
        <f ca="1">W12/V12</f>
        <v>0.51452273714985575</v>
      </c>
    </row>
    <row r="13" spans="1:32" ht="13.9" customHeight="1" x14ac:dyDescent="0.4">
      <c r="A13" s="427">
        <v>43159</v>
      </c>
      <c r="B13" s="427" t="s">
        <v>1815</v>
      </c>
      <c r="C13" s="427" t="s">
        <v>65</v>
      </c>
      <c r="E13" s="428">
        <v>200</v>
      </c>
      <c r="F13" s="429" t="s">
        <v>1267</v>
      </c>
      <c r="G13" s="541" t="s">
        <v>121</v>
      </c>
      <c r="S13" s="434">
        <f>3346-338</f>
        <v>3008</v>
      </c>
      <c r="T13" s="434">
        <f>6776-390</f>
        <v>6386</v>
      </c>
      <c r="U13" s="431">
        <f>SUM(I13:T13)</f>
        <v>9394</v>
      </c>
    </row>
    <row r="14" spans="1:32" ht="13.9" customHeight="1" x14ac:dyDescent="0.4">
      <c r="A14" s="427">
        <v>43159</v>
      </c>
      <c r="B14" s="427" t="s">
        <v>3224</v>
      </c>
      <c r="C14" s="427" t="s">
        <v>65</v>
      </c>
      <c r="E14" s="428">
        <v>50</v>
      </c>
      <c r="F14" s="429" t="s">
        <v>1141</v>
      </c>
      <c r="G14" s="446" t="s">
        <v>82</v>
      </c>
      <c r="H14" s="441"/>
      <c r="I14" s="442">
        <f t="shared" ref="I14:U14" si="7">SUM(I8-I10)/I8</f>
        <v>-0.41626346183861401</v>
      </c>
      <c r="J14" s="442">
        <f t="shared" si="7"/>
        <v>0.35392670157068062</v>
      </c>
      <c r="K14" s="442">
        <f t="shared" si="7"/>
        <v>0.40379603481113535</v>
      </c>
      <c r="L14" s="442">
        <f t="shared" si="7"/>
        <v>0.24940254025534497</v>
      </c>
      <c r="M14" s="442">
        <f t="shared" ca="1" si="7"/>
        <v>0.38171918977529645</v>
      </c>
      <c r="N14" s="442">
        <f t="shared" ca="1" si="7"/>
        <v>0.49287673382689196</v>
      </c>
      <c r="O14" s="442">
        <f t="shared" ca="1" si="7"/>
        <v>0.24829555387215196</v>
      </c>
      <c r="P14" s="442">
        <f t="shared" ca="1" si="7"/>
        <v>-0.55682196250147553</v>
      </c>
      <c r="Q14" s="442">
        <f t="shared" ca="1" si="7"/>
        <v>0.64949956892050853</v>
      </c>
      <c r="R14" s="442">
        <f t="shared" ca="1" si="7"/>
        <v>-0.13652870916616258</v>
      </c>
      <c r="S14" s="442">
        <f t="shared" ca="1" si="7"/>
        <v>0.53656147272157795</v>
      </c>
      <c r="T14" s="442">
        <f t="shared" ca="1" si="7"/>
        <v>-0.1566101413018619</v>
      </c>
      <c r="U14" s="525">
        <f t="shared" ca="1" si="7"/>
        <v>0.24818865508332857</v>
      </c>
    </row>
    <row r="15" spans="1:32" ht="15" customHeight="1" x14ac:dyDescent="0.4">
      <c r="A15" s="427">
        <v>43159</v>
      </c>
      <c r="B15" s="427" t="s">
        <v>3150</v>
      </c>
      <c r="C15" s="427" t="s">
        <v>65</v>
      </c>
      <c r="E15" s="428">
        <v>200</v>
      </c>
      <c r="F15" s="429" t="s">
        <v>496</v>
      </c>
      <c r="G15" s="447" t="s">
        <v>123</v>
      </c>
      <c r="H15" s="448">
        <f ca="1">SUMIF($C1:E546,G15,$E1:$E546)</f>
        <v>4200</v>
      </c>
      <c r="J15" s="449"/>
      <c r="K15" s="449"/>
      <c r="L15" s="449"/>
      <c r="M15" s="449"/>
      <c r="N15" s="449"/>
      <c r="O15" s="449"/>
      <c r="P15" s="449"/>
      <c r="Q15" s="449"/>
      <c r="R15" s="449"/>
      <c r="S15" s="449"/>
      <c r="T15" s="449"/>
      <c r="U15" s="449"/>
      <c r="V15" s="449"/>
    </row>
    <row r="16" spans="1:32" ht="15" customHeight="1" x14ac:dyDescent="0.4">
      <c r="G16" s="450" t="s">
        <v>65</v>
      </c>
      <c r="H16" s="451">
        <f ca="1">SUMIF($C1:E591,G16,$E1:$E591)</f>
        <v>4997.5</v>
      </c>
      <c r="J16" s="449"/>
      <c r="K16" s="449"/>
      <c r="L16" s="449"/>
      <c r="M16" s="449"/>
      <c r="N16" s="449"/>
      <c r="O16" s="449"/>
      <c r="P16" s="449"/>
      <c r="Q16" s="449"/>
      <c r="R16" s="449"/>
      <c r="S16" s="449"/>
      <c r="T16" s="449"/>
      <c r="U16" s="449"/>
      <c r="V16" s="449"/>
    </row>
    <row r="17" spans="1:22" ht="13.25" customHeight="1" thickBot="1" x14ac:dyDescent="0.4">
      <c r="A17" s="427">
        <v>43115</v>
      </c>
      <c r="B17" s="427" t="s">
        <v>87</v>
      </c>
      <c r="C17" s="427" t="s">
        <v>65</v>
      </c>
      <c r="E17" s="428">
        <f>175/2</f>
        <v>87.5</v>
      </c>
      <c r="F17" s="429" t="s">
        <v>414</v>
      </c>
      <c r="G17" s="452" t="s">
        <v>1289</v>
      </c>
      <c r="H17" s="453">
        <f ca="1">SUM(H15:H16)</f>
        <v>9197.5</v>
      </c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T17" s="454"/>
      <c r="U17" s="454"/>
      <c r="V17" s="454"/>
    </row>
    <row r="18" spans="1:22" ht="13.9" customHeight="1" thickBot="1" x14ac:dyDescent="0.4">
      <c r="A18" s="427">
        <v>43131</v>
      </c>
      <c r="B18" s="427" t="s">
        <v>1560</v>
      </c>
      <c r="C18" s="427" t="s">
        <v>65</v>
      </c>
      <c r="E18" s="428">
        <v>200</v>
      </c>
      <c r="F18" s="429" t="s">
        <v>414</v>
      </c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T18" s="454"/>
      <c r="U18" s="454"/>
      <c r="V18" s="454"/>
    </row>
    <row r="19" spans="1:22" ht="13.9" customHeight="1" x14ac:dyDescent="0.4">
      <c r="A19" s="427"/>
      <c r="B19" s="427"/>
      <c r="C19" s="427"/>
      <c r="E19" s="428"/>
      <c r="F19" s="429"/>
      <c r="G19" s="455" t="s">
        <v>134</v>
      </c>
      <c r="H19" s="456">
        <f>E626</f>
        <v>76668.170000000013</v>
      </c>
      <c r="I19" s="567">
        <f ca="1">U8-H19</f>
        <v>0</v>
      </c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454"/>
      <c r="U19" s="454"/>
      <c r="V19" s="454"/>
    </row>
    <row r="20" spans="1:22" ht="14.25" customHeight="1" thickBot="1" x14ac:dyDescent="0.45">
      <c r="A20" s="427">
        <v>43102</v>
      </c>
      <c r="B20" s="427" t="s">
        <v>3219</v>
      </c>
      <c r="C20" s="427" t="s">
        <v>65</v>
      </c>
      <c r="E20" s="428">
        <v>500</v>
      </c>
      <c r="F20" s="429" t="s">
        <v>3225</v>
      </c>
      <c r="G20" s="457" t="s">
        <v>135</v>
      </c>
      <c r="H20" s="458">
        <f>H19-Y8</f>
        <v>6468.1700000000128</v>
      </c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T20" s="454"/>
      <c r="U20" s="454"/>
      <c r="V20" s="454"/>
    </row>
    <row r="21" spans="1:22" ht="13.5" customHeight="1" x14ac:dyDescent="0.35">
      <c r="A21" s="427">
        <v>43077</v>
      </c>
      <c r="B21" s="427" t="s">
        <v>3226</v>
      </c>
      <c r="C21" s="427" t="s">
        <v>65</v>
      </c>
      <c r="E21" s="428">
        <f>195+265</f>
        <v>460</v>
      </c>
      <c r="F21" s="429" t="s">
        <v>3227</v>
      </c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T21" s="454"/>
      <c r="U21" s="454"/>
      <c r="V21" s="454"/>
    </row>
    <row r="22" spans="1:22" ht="13.5" customHeight="1" x14ac:dyDescent="0.35">
      <c r="A22" s="427">
        <v>43101</v>
      </c>
      <c r="B22" s="427" t="s">
        <v>1681</v>
      </c>
      <c r="C22" s="427" t="s">
        <v>65</v>
      </c>
      <c r="E22" s="428">
        <v>495</v>
      </c>
      <c r="F22" s="429" t="s">
        <v>496</v>
      </c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454"/>
      <c r="V22" s="454"/>
    </row>
    <row r="23" spans="1:22" ht="13.15" customHeight="1" x14ac:dyDescent="0.4">
      <c r="G23" s="420" t="s">
        <v>140</v>
      </c>
      <c r="H23" s="557" t="s">
        <v>154</v>
      </c>
      <c r="I23" s="422" t="s">
        <v>142</v>
      </c>
      <c r="J23" s="422" t="s">
        <v>143</v>
      </c>
      <c r="K23" s="422" t="s">
        <v>144</v>
      </c>
      <c r="L23" s="422" t="s">
        <v>145</v>
      </c>
      <c r="M23" s="422" t="s">
        <v>146</v>
      </c>
      <c r="N23" s="422" t="s">
        <v>147</v>
      </c>
      <c r="O23" s="422" t="s">
        <v>148</v>
      </c>
      <c r="P23" s="422" t="s">
        <v>149</v>
      </c>
      <c r="Q23" s="422" t="s">
        <v>150</v>
      </c>
      <c r="R23" s="422" t="s">
        <v>151</v>
      </c>
      <c r="S23" s="422" t="s">
        <v>152</v>
      </c>
      <c r="T23" s="422" t="s">
        <v>153</v>
      </c>
      <c r="U23" s="423" t="s">
        <v>19</v>
      </c>
    </row>
    <row r="24" spans="1:22" ht="13.5" customHeight="1" x14ac:dyDescent="0.35">
      <c r="A24" s="427"/>
      <c r="B24" s="429"/>
      <c r="C24" s="427"/>
      <c r="E24" s="428"/>
      <c r="F24" s="429"/>
      <c r="G24" s="430" t="s">
        <v>2849</v>
      </c>
      <c r="H24" s="431"/>
      <c r="I24" s="432">
        <f t="shared" ref="I24:I29" si="8">COUNTIF(C592:C623,G24)</f>
        <v>22</v>
      </c>
      <c r="J24" s="432">
        <f t="shared" ref="J24:J29" si="9">COUNTIF(C538:C589,G24)</f>
        <v>18</v>
      </c>
      <c r="K24" s="432">
        <f t="shared" ref="K24:K29" si="10">COUNTIF(C493:C535,G24)</f>
        <v>15</v>
      </c>
      <c r="L24" s="432">
        <f t="shared" ref="L24:L29" si="11">COUNTIF(C456:C490,G24)</f>
        <v>13</v>
      </c>
      <c r="M24" s="432">
        <f t="shared" ref="M24:M29" si="12">COUNTIF(C415:C453,G24)</f>
        <v>19</v>
      </c>
      <c r="N24" s="432">
        <f t="shared" ref="N24:N29" si="13">COUNTIF(C376:C413,G24)</f>
        <v>12</v>
      </c>
      <c r="O24" s="432">
        <f t="shared" ref="O24:O29" si="14">COUNTIF(C349:C374,G24)</f>
        <v>12</v>
      </c>
      <c r="P24" s="432">
        <f t="shared" ref="P24:P29" si="15">COUNTIF(C315:C346,G24)</f>
        <v>15</v>
      </c>
      <c r="Q24" s="432">
        <f t="shared" ref="Q24:Q29" si="16">COUNTIF(C251:C308,G24)</f>
        <v>25</v>
      </c>
      <c r="R24" s="432">
        <f t="shared" ref="R24:R29" si="17">COUNTIF(C190:C249,G24)</f>
        <v>29</v>
      </c>
      <c r="S24" s="432">
        <f t="shared" ref="S24:S29" si="18">COUNTIF(C143:C188,G24)</f>
        <v>30</v>
      </c>
      <c r="T24" s="432">
        <f>COUNTIF(C95:C141,G24)</f>
        <v>19</v>
      </c>
      <c r="U24" s="431">
        <f t="shared" ref="U24:U29" si="19">SUM(I24:T24)</f>
        <v>229</v>
      </c>
    </row>
    <row r="25" spans="1:22" ht="13.5" customHeight="1" x14ac:dyDescent="0.35">
      <c r="A25" s="427">
        <v>43159</v>
      </c>
      <c r="B25" s="427" t="s">
        <v>3228</v>
      </c>
      <c r="C25" s="427" t="s">
        <v>65</v>
      </c>
      <c r="E25" s="428">
        <f>375+945</f>
        <v>1320</v>
      </c>
      <c r="F25" s="429" t="s">
        <v>475</v>
      </c>
      <c r="G25" s="430" t="s">
        <v>2850</v>
      </c>
      <c r="H25" s="431"/>
      <c r="I25" s="432">
        <f t="shared" si="8"/>
        <v>4</v>
      </c>
      <c r="J25" s="432">
        <f t="shared" si="9"/>
        <v>11</v>
      </c>
      <c r="K25" s="432">
        <f t="shared" si="10"/>
        <v>13</v>
      </c>
      <c r="L25" s="432">
        <f t="shared" si="11"/>
        <v>16</v>
      </c>
      <c r="M25" s="432">
        <f t="shared" si="12"/>
        <v>10</v>
      </c>
      <c r="N25" s="432">
        <f t="shared" si="13"/>
        <v>15</v>
      </c>
      <c r="O25" s="432">
        <f t="shared" si="14"/>
        <v>8</v>
      </c>
      <c r="P25" s="432">
        <f t="shared" si="15"/>
        <v>9</v>
      </c>
      <c r="Q25" s="432">
        <f t="shared" si="16"/>
        <v>20</v>
      </c>
      <c r="R25" s="432">
        <f t="shared" si="17"/>
        <v>23</v>
      </c>
      <c r="S25" s="432">
        <f t="shared" si="18"/>
        <v>9</v>
      </c>
      <c r="T25" s="432">
        <f>COUNTIF(C103:C142,G25)</f>
        <v>2</v>
      </c>
      <c r="U25" s="431">
        <f t="shared" si="19"/>
        <v>140</v>
      </c>
    </row>
    <row r="26" spans="1:22" x14ac:dyDescent="0.35">
      <c r="G26" s="430" t="s">
        <v>2851</v>
      </c>
      <c r="H26" s="431"/>
      <c r="I26" s="432">
        <f t="shared" si="8"/>
        <v>1</v>
      </c>
      <c r="J26" s="432">
        <f t="shared" si="9"/>
        <v>4</v>
      </c>
      <c r="K26" s="432">
        <f t="shared" si="10"/>
        <v>3</v>
      </c>
      <c r="L26" s="432">
        <f t="shared" si="11"/>
        <v>2</v>
      </c>
      <c r="M26" s="432">
        <f t="shared" si="12"/>
        <v>2</v>
      </c>
      <c r="N26" s="432">
        <f t="shared" si="13"/>
        <v>2</v>
      </c>
      <c r="O26" s="432">
        <f t="shared" si="14"/>
        <v>3</v>
      </c>
      <c r="P26" s="432">
        <f t="shared" si="15"/>
        <v>2</v>
      </c>
      <c r="Q26" s="432">
        <f t="shared" si="16"/>
        <v>3</v>
      </c>
      <c r="R26" s="432">
        <f t="shared" si="17"/>
        <v>2</v>
      </c>
      <c r="S26" s="432">
        <f t="shared" si="18"/>
        <v>2</v>
      </c>
      <c r="T26" s="432">
        <f>COUNTIF(C104:C143,G26)</f>
        <v>1</v>
      </c>
      <c r="U26" s="431">
        <f t="shared" si="19"/>
        <v>27</v>
      </c>
    </row>
    <row r="27" spans="1:22" x14ac:dyDescent="0.35">
      <c r="G27" s="430" t="s">
        <v>2852</v>
      </c>
      <c r="H27" s="431"/>
      <c r="I27" s="432">
        <f t="shared" si="8"/>
        <v>2</v>
      </c>
      <c r="J27" s="432">
        <f t="shared" si="9"/>
        <v>2</v>
      </c>
      <c r="K27" s="432">
        <f t="shared" si="10"/>
        <v>1</v>
      </c>
      <c r="L27" s="432">
        <f t="shared" si="11"/>
        <v>2</v>
      </c>
      <c r="M27" s="432">
        <f t="shared" si="12"/>
        <v>3</v>
      </c>
      <c r="N27" s="432">
        <f t="shared" si="13"/>
        <v>2</v>
      </c>
      <c r="O27" s="432">
        <f t="shared" si="14"/>
        <v>1</v>
      </c>
      <c r="P27" s="432">
        <f t="shared" si="15"/>
        <v>3</v>
      </c>
      <c r="Q27" s="432">
        <f t="shared" si="16"/>
        <v>2</v>
      </c>
      <c r="R27" s="432">
        <f t="shared" si="17"/>
        <v>1</v>
      </c>
      <c r="S27" s="432">
        <f t="shared" si="18"/>
        <v>1</v>
      </c>
      <c r="T27" s="432">
        <f>COUNTIF(C105:C144,G27)</f>
        <v>1</v>
      </c>
      <c r="U27" s="431">
        <f t="shared" si="19"/>
        <v>21</v>
      </c>
    </row>
    <row r="28" spans="1:22" x14ac:dyDescent="0.35">
      <c r="G28" s="436" t="s">
        <v>941</v>
      </c>
      <c r="H28" s="431"/>
      <c r="I28" s="432">
        <f t="shared" si="8"/>
        <v>2</v>
      </c>
      <c r="J28" s="432">
        <f t="shared" si="9"/>
        <v>0</v>
      </c>
      <c r="K28" s="432">
        <f t="shared" si="10"/>
        <v>4</v>
      </c>
      <c r="L28" s="432">
        <f t="shared" si="11"/>
        <v>0</v>
      </c>
      <c r="M28" s="432">
        <f t="shared" si="12"/>
        <v>2</v>
      </c>
      <c r="N28" s="432">
        <f t="shared" si="13"/>
        <v>1</v>
      </c>
      <c r="O28" s="432">
        <f t="shared" si="14"/>
        <v>2</v>
      </c>
      <c r="P28" s="432">
        <f t="shared" si="15"/>
        <v>0</v>
      </c>
      <c r="Q28" s="432">
        <f t="shared" si="16"/>
        <v>3</v>
      </c>
      <c r="R28" s="432">
        <f t="shared" si="17"/>
        <v>2</v>
      </c>
      <c r="S28" s="432">
        <f t="shared" si="18"/>
        <v>0</v>
      </c>
      <c r="T28" s="432">
        <f>COUNTIF(C106:C145,G28)</f>
        <v>2</v>
      </c>
      <c r="U28" s="431">
        <f t="shared" si="19"/>
        <v>18</v>
      </c>
    </row>
    <row r="29" spans="1:22" x14ac:dyDescent="0.35">
      <c r="F29" s="462"/>
      <c r="G29" s="436" t="s">
        <v>2853</v>
      </c>
      <c r="H29" s="431"/>
      <c r="I29" s="432">
        <f t="shared" si="8"/>
        <v>1</v>
      </c>
      <c r="J29" s="432">
        <f t="shared" si="9"/>
        <v>16</v>
      </c>
      <c r="K29" s="432">
        <f t="shared" si="10"/>
        <v>8</v>
      </c>
      <c r="L29" s="432">
        <f t="shared" si="11"/>
        <v>1</v>
      </c>
      <c r="M29" s="432">
        <f t="shared" si="12"/>
        <v>2</v>
      </c>
      <c r="N29" s="432">
        <f t="shared" si="13"/>
        <v>4</v>
      </c>
      <c r="O29" s="432">
        <f t="shared" si="14"/>
        <v>2</v>
      </c>
      <c r="P29" s="432">
        <f t="shared" si="15"/>
        <v>2</v>
      </c>
      <c r="Q29" s="432">
        <f t="shared" si="16"/>
        <v>5</v>
      </c>
      <c r="R29" s="432">
        <f t="shared" si="17"/>
        <v>2</v>
      </c>
      <c r="S29" s="432">
        <f t="shared" si="18"/>
        <v>4</v>
      </c>
      <c r="T29" s="432">
        <f>COUNTIF(C107:C146,G29)</f>
        <v>11</v>
      </c>
      <c r="U29" s="431">
        <f t="shared" si="19"/>
        <v>58</v>
      </c>
    </row>
    <row r="30" spans="1:22" ht="13.9" customHeight="1" x14ac:dyDescent="0.4">
      <c r="A30" s="463"/>
      <c r="B30" s="464"/>
      <c r="C30" s="464"/>
      <c r="E30" s="465"/>
      <c r="F30" s="464"/>
      <c r="G30" s="437" t="s">
        <v>63</v>
      </c>
      <c r="H30" s="438"/>
      <c r="I30" s="439">
        <f t="shared" ref="I30:U30" si="20">SUM(I24:I29)</f>
        <v>32</v>
      </c>
      <c r="J30" s="439">
        <f t="shared" si="20"/>
        <v>51</v>
      </c>
      <c r="K30" s="439">
        <f t="shared" si="20"/>
        <v>44</v>
      </c>
      <c r="L30" s="439">
        <f t="shared" si="20"/>
        <v>34</v>
      </c>
      <c r="M30" s="439">
        <f t="shared" si="20"/>
        <v>38</v>
      </c>
      <c r="N30" s="439">
        <f t="shared" si="20"/>
        <v>36</v>
      </c>
      <c r="O30" s="439">
        <f t="shared" si="20"/>
        <v>28</v>
      </c>
      <c r="P30" s="439">
        <f t="shared" si="20"/>
        <v>31</v>
      </c>
      <c r="Q30" s="439">
        <f t="shared" si="20"/>
        <v>58</v>
      </c>
      <c r="R30" s="439">
        <f t="shared" si="20"/>
        <v>59</v>
      </c>
      <c r="S30" s="439">
        <f t="shared" si="20"/>
        <v>46</v>
      </c>
      <c r="T30" s="439">
        <f t="shared" si="20"/>
        <v>36</v>
      </c>
      <c r="U30" s="438">
        <f t="shared" si="20"/>
        <v>493</v>
      </c>
    </row>
    <row r="31" spans="1:22" ht="13.9" customHeight="1" x14ac:dyDescent="0.4">
      <c r="A31" s="463"/>
      <c r="B31" s="464"/>
      <c r="C31" s="464"/>
      <c r="D31" s="464"/>
      <c r="E31" s="467">
        <f>SUM(E2:E30)</f>
        <v>4997.5</v>
      </c>
      <c r="F31" s="464"/>
    </row>
    <row r="32" spans="1:22" ht="13.9" customHeight="1" x14ac:dyDescent="0.4">
      <c r="A32" s="463"/>
      <c r="B32" s="464"/>
      <c r="C32" s="464"/>
      <c r="D32" s="468"/>
      <c r="E32" s="465"/>
      <c r="F32" s="464"/>
      <c r="G32" s="420" t="s">
        <v>140</v>
      </c>
      <c r="H32" s="557" t="s">
        <v>155</v>
      </c>
      <c r="I32" s="422" t="s">
        <v>142</v>
      </c>
      <c r="J32" s="422" t="s">
        <v>143</v>
      </c>
      <c r="K32" s="422" t="s">
        <v>144</v>
      </c>
      <c r="L32" s="422" t="s">
        <v>145</v>
      </c>
      <c r="M32" s="422" t="s">
        <v>146</v>
      </c>
      <c r="N32" s="422" t="s">
        <v>147</v>
      </c>
      <c r="O32" s="422" t="s">
        <v>148</v>
      </c>
      <c r="P32" s="422" t="s">
        <v>149</v>
      </c>
      <c r="Q32" s="422" t="s">
        <v>150</v>
      </c>
      <c r="R32" s="422" t="s">
        <v>151</v>
      </c>
      <c r="S32" s="422" t="s">
        <v>152</v>
      </c>
      <c r="T32" s="422" t="s">
        <v>153</v>
      </c>
      <c r="U32" s="423" t="s">
        <v>19</v>
      </c>
    </row>
    <row r="33" spans="1:33" ht="13.5" customHeight="1" x14ac:dyDescent="0.35">
      <c r="A33" s="463"/>
      <c r="B33" s="464"/>
      <c r="C33" s="464"/>
      <c r="E33" s="465"/>
      <c r="F33" s="464"/>
      <c r="G33" s="430" t="s">
        <v>2849</v>
      </c>
      <c r="H33" s="431"/>
      <c r="I33" s="432">
        <f t="shared" ref="I33:T33" si="21">IFERROR(I2/I24,0)</f>
        <v>84.63636363636364</v>
      </c>
      <c r="J33" s="432">
        <f t="shared" si="21"/>
        <v>135.77777777777777</v>
      </c>
      <c r="K33" s="432">
        <f t="shared" si="21"/>
        <v>137.26066666666665</v>
      </c>
      <c r="L33" s="432">
        <f t="shared" si="21"/>
        <v>239.38461538461539</v>
      </c>
      <c r="M33" s="432">
        <f t="shared" ca="1" si="21"/>
        <v>142.34210526315789</v>
      </c>
      <c r="N33" s="432">
        <f t="shared" ca="1" si="21"/>
        <v>67.75</v>
      </c>
      <c r="O33" s="432">
        <f t="shared" ca="1" si="21"/>
        <v>65.458333333333329</v>
      </c>
      <c r="P33" s="432">
        <f t="shared" ca="1" si="21"/>
        <v>42.93333333333333</v>
      </c>
      <c r="Q33" s="432">
        <f t="shared" ca="1" si="21"/>
        <v>175.6</v>
      </c>
      <c r="R33" s="432">
        <f t="shared" ca="1" si="21"/>
        <v>149.22413793103448</v>
      </c>
      <c r="S33" s="432">
        <f t="shared" ca="1" si="21"/>
        <v>196.38333333333333</v>
      </c>
      <c r="T33" s="432">
        <f t="shared" ca="1" si="21"/>
        <v>141.47368421052633</v>
      </c>
      <c r="U33" s="431">
        <f t="shared" ref="U33:U38" ca="1" si="22">AVERAGE(I33:T33)</f>
        <v>131.51869590584514</v>
      </c>
    </row>
    <row r="34" spans="1:33" ht="13.5" customHeight="1" x14ac:dyDescent="0.35">
      <c r="A34" s="463">
        <v>42780</v>
      </c>
      <c r="B34" s="464" t="s">
        <v>3229</v>
      </c>
      <c r="C34" s="464" t="s">
        <v>123</v>
      </c>
      <c r="E34" s="465">
        <v>475</v>
      </c>
      <c r="F34" s="464" t="s">
        <v>3230</v>
      </c>
      <c r="G34" s="430" t="s">
        <v>2850</v>
      </c>
      <c r="H34" s="431"/>
      <c r="I34" s="432">
        <f t="shared" ref="I34:T34" si="23">IFERROR(I3/I25,0)</f>
        <v>103.125</v>
      </c>
      <c r="J34" s="432">
        <f t="shared" si="23"/>
        <v>148.90909090909091</v>
      </c>
      <c r="K34" s="432">
        <f t="shared" si="23"/>
        <v>174.79846153846154</v>
      </c>
      <c r="L34" s="432">
        <f t="shared" si="23"/>
        <v>128.15</v>
      </c>
      <c r="M34" s="432">
        <f t="shared" ca="1" si="23"/>
        <v>91.25</v>
      </c>
      <c r="N34" s="432">
        <f t="shared" ca="1" si="23"/>
        <v>132.66666666666666</v>
      </c>
      <c r="O34" s="432">
        <f t="shared" ca="1" si="23"/>
        <v>215</v>
      </c>
      <c r="P34" s="432">
        <f t="shared" ca="1" si="23"/>
        <v>317.77777777777777</v>
      </c>
      <c r="Q34" s="432">
        <f t="shared" ca="1" si="23"/>
        <v>194.11000000000004</v>
      </c>
      <c r="R34" s="432">
        <f t="shared" ca="1" si="23"/>
        <v>142.11956521739131</v>
      </c>
      <c r="S34" s="432">
        <f t="shared" ca="1" si="23"/>
        <v>231.44444444444446</v>
      </c>
      <c r="T34" s="432">
        <f t="shared" ca="1" si="23"/>
        <v>117.9</v>
      </c>
      <c r="U34" s="431">
        <f t="shared" ca="1" si="22"/>
        <v>166.43758387948606</v>
      </c>
    </row>
    <row r="35" spans="1:33" ht="13.5" customHeight="1" x14ac:dyDescent="0.35">
      <c r="A35" s="463">
        <v>42780</v>
      </c>
      <c r="B35" s="464" t="s">
        <v>3130</v>
      </c>
      <c r="C35" s="464" t="s">
        <v>123</v>
      </c>
      <c r="E35" s="465">
        <v>470</v>
      </c>
      <c r="F35" s="464" t="s">
        <v>3231</v>
      </c>
      <c r="G35" s="430" t="s">
        <v>2851</v>
      </c>
      <c r="H35" s="431"/>
      <c r="I35" s="432">
        <f t="shared" ref="I35:T35" si="24">IFERROR(I4/I26,0)</f>
        <v>339</v>
      </c>
      <c r="J35" s="432">
        <f t="shared" si="24"/>
        <v>487</v>
      </c>
      <c r="K35" s="432">
        <f t="shared" si="24"/>
        <v>169.76666666666668</v>
      </c>
      <c r="L35" s="432">
        <f t="shared" si="24"/>
        <v>257.79500000000002</v>
      </c>
      <c r="M35" s="432">
        <f t="shared" ca="1" si="24"/>
        <v>477.35500000000002</v>
      </c>
      <c r="N35" s="432">
        <f t="shared" ca="1" si="24"/>
        <v>345.49</v>
      </c>
      <c r="O35" s="432">
        <f t="shared" ca="1" si="24"/>
        <v>260.2166666666667</v>
      </c>
      <c r="P35" s="432">
        <f t="shared" ca="1" si="24"/>
        <v>363.15500000000003</v>
      </c>
      <c r="Q35" s="432">
        <f t="shared" ca="1" si="24"/>
        <v>510.99333333333334</v>
      </c>
      <c r="R35" s="432">
        <f t="shared" ca="1" si="24"/>
        <v>616.24</v>
      </c>
      <c r="S35" s="432">
        <f t="shared" ca="1" si="24"/>
        <v>1119</v>
      </c>
      <c r="T35" s="432">
        <f t="shared" ca="1" si="24"/>
        <v>307.48</v>
      </c>
      <c r="U35" s="431">
        <f t="shared" ca="1" si="22"/>
        <v>437.79097222222225</v>
      </c>
    </row>
    <row r="36" spans="1:33" ht="15" customHeight="1" x14ac:dyDescent="0.4">
      <c r="A36" s="463">
        <v>42822</v>
      </c>
      <c r="B36" s="464" t="s">
        <v>3232</v>
      </c>
      <c r="C36" s="464" t="s">
        <v>123</v>
      </c>
      <c r="D36" s="468"/>
      <c r="E36" s="465">
        <v>100</v>
      </c>
      <c r="F36" s="464" t="s">
        <v>3233</v>
      </c>
      <c r="G36" s="430" t="s">
        <v>2852</v>
      </c>
      <c r="H36" s="431"/>
      <c r="I36" s="432">
        <f t="shared" ref="I36:T36" si="25">IFERROR(I5/I27,0)</f>
        <v>160</v>
      </c>
      <c r="J36" s="432">
        <f t="shared" si="25"/>
        <v>70</v>
      </c>
      <c r="K36" s="432">
        <f t="shared" si="25"/>
        <v>80</v>
      </c>
      <c r="L36" s="432">
        <f t="shared" si="25"/>
        <v>50</v>
      </c>
      <c r="M36" s="432">
        <f t="shared" ca="1" si="25"/>
        <v>240</v>
      </c>
      <c r="N36" s="432">
        <f t="shared" ca="1" si="25"/>
        <v>61</v>
      </c>
      <c r="O36" s="432">
        <f t="shared" ca="1" si="25"/>
        <v>140</v>
      </c>
      <c r="P36" s="432">
        <f t="shared" ca="1" si="25"/>
        <v>120</v>
      </c>
      <c r="Q36" s="432">
        <f t="shared" ca="1" si="25"/>
        <v>80</v>
      </c>
      <c r="R36" s="432">
        <f t="shared" ca="1" si="25"/>
        <v>100</v>
      </c>
      <c r="S36" s="432">
        <f t="shared" ca="1" si="25"/>
        <v>80</v>
      </c>
      <c r="T36" s="432">
        <f t="shared" ca="1" si="25"/>
        <v>60</v>
      </c>
      <c r="U36" s="431">
        <f t="shared" ca="1" si="22"/>
        <v>103.41666666666667</v>
      </c>
      <c r="AB36" s="469" t="s">
        <v>70</v>
      </c>
      <c r="AC36" s="469" t="s">
        <v>71</v>
      </c>
      <c r="AD36" s="469" t="s">
        <v>72</v>
      </c>
      <c r="AE36" s="469" t="s">
        <v>73</v>
      </c>
      <c r="AF36" s="469" t="s">
        <v>74</v>
      </c>
      <c r="AG36" s="469" t="s">
        <v>75</v>
      </c>
    </row>
    <row r="37" spans="1:33" ht="13.5" customHeight="1" x14ac:dyDescent="0.35">
      <c r="A37" s="463">
        <v>42861</v>
      </c>
      <c r="B37" s="464" t="s">
        <v>3234</v>
      </c>
      <c r="C37" s="464" t="s">
        <v>123</v>
      </c>
      <c r="D37" s="426" t="s">
        <v>3235</v>
      </c>
      <c r="E37" s="465">
        <v>600</v>
      </c>
      <c r="F37" s="464" t="s">
        <v>3236</v>
      </c>
      <c r="G37" s="436" t="s">
        <v>941</v>
      </c>
      <c r="H37" s="431"/>
      <c r="I37" s="432">
        <f t="shared" ref="I37:T37" si="26">IFERROR(I6/I28,0)</f>
        <v>120</v>
      </c>
      <c r="J37" s="432">
        <f t="shared" si="26"/>
        <v>0</v>
      </c>
      <c r="K37" s="432">
        <f t="shared" si="26"/>
        <v>195</v>
      </c>
      <c r="L37" s="432">
        <f t="shared" si="26"/>
        <v>0</v>
      </c>
      <c r="M37" s="432">
        <f t="shared" ca="1" si="26"/>
        <v>220.625</v>
      </c>
      <c r="N37" s="432">
        <f t="shared" ca="1" si="26"/>
        <v>1604.15</v>
      </c>
      <c r="O37" s="432">
        <f t="shared" ca="1" si="26"/>
        <v>73.125</v>
      </c>
      <c r="P37" s="432">
        <f t="shared" ca="1" si="26"/>
        <v>0</v>
      </c>
      <c r="Q37" s="432">
        <f t="shared" ca="1" si="26"/>
        <v>133.33333333333334</v>
      </c>
      <c r="R37" s="432">
        <f t="shared" ca="1" si="26"/>
        <v>122.5</v>
      </c>
      <c r="S37" s="432">
        <f t="shared" ca="1" si="26"/>
        <v>0</v>
      </c>
      <c r="T37" s="432">
        <f t="shared" ca="1" si="26"/>
        <v>195</v>
      </c>
      <c r="U37" s="431">
        <f t="shared" ca="1" si="22"/>
        <v>221.97777777777779</v>
      </c>
    </row>
    <row r="38" spans="1:33" ht="13.5" customHeight="1" x14ac:dyDescent="0.35">
      <c r="A38" s="463" t="s">
        <v>142</v>
      </c>
      <c r="B38" s="464" t="s">
        <v>3237</v>
      </c>
      <c r="C38" s="464" t="s">
        <v>123</v>
      </c>
      <c r="D38" s="468"/>
      <c r="E38" s="465">
        <v>30</v>
      </c>
      <c r="G38" s="436" t="s">
        <v>2853</v>
      </c>
      <c r="H38" s="431"/>
      <c r="I38" s="432">
        <f t="shared" ref="I38:T38" si="27">IFERROR(I7/I29,0)</f>
        <v>30</v>
      </c>
      <c r="J38" s="432">
        <f t="shared" si="27"/>
        <v>32.1875</v>
      </c>
      <c r="K38" s="432">
        <f t="shared" si="27"/>
        <v>67.78</v>
      </c>
      <c r="L38" s="432">
        <f t="shared" si="27"/>
        <v>285.18</v>
      </c>
      <c r="M38" s="432">
        <f t="shared" ca="1" si="27"/>
        <v>59.375</v>
      </c>
      <c r="N38" s="432">
        <f t="shared" ca="1" si="27"/>
        <v>64.95</v>
      </c>
      <c r="O38" s="432">
        <f t="shared" ca="1" si="27"/>
        <v>15.705</v>
      </c>
      <c r="P38" s="432">
        <f t="shared" ca="1" si="27"/>
        <v>34.269999999999996</v>
      </c>
      <c r="Q38" s="432">
        <f t="shared" ca="1" si="27"/>
        <v>91.298000000000002</v>
      </c>
      <c r="R38" s="432">
        <f t="shared" ca="1" si="27"/>
        <v>25.425000000000001</v>
      </c>
      <c r="S38" s="432">
        <f t="shared" ca="1" si="27"/>
        <v>52.897500000000001</v>
      </c>
      <c r="T38" s="432">
        <f t="shared" ca="1" si="27"/>
        <v>58.886363636363633</v>
      </c>
      <c r="U38" s="431">
        <f t="shared" ca="1" si="22"/>
        <v>68.162863636363639</v>
      </c>
      <c r="AB38" s="470">
        <v>42937</v>
      </c>
      <c r="AC38" s="471" t="s">
        <v>1807</v>
      </c>
      <c r="AD38" s="471" t="s">
        <v>1808</v>
      </c>
      <c r="AE38" s="472">
        <v>146746</v>
      </c>
      <c r="AF38" s="473">
        <v>200</v>
      </c>
      <c r="AG38" s="474" t="s">
        <v>1775</v>
      </c>
    </row>
    <row r="39" spans="1:33" ht="13.9" customHeight="1" x14ac:dyDescent="0.4">
      <c r="A39" s="463"/>
      <c r="B39" s="464"/>
      <c r="C39" s="464"/>
      <c r="D39" s="464"/>
      <c r="E39" s="465"/>
      <c r="F39" s="464"/>
      <c r="G39" s="437" t="s">
        <v>63</v>
      </c>
      <c r="H39" s="438"/>
      <c r="I39" s="439">
        <f t="shared" ref="I39:U39" si="28">SUM(I33:I38)</f>
        <v>836.76136363636363</v>
      </c>
      <c r="J39" s="439">
        <f t="shared" si="28"/>
        <v>873.87436868686871</v>
      </c>
      <c r="K39" s="439">
        <f t="shared" si="28"/>
        <v>824.60579487179484</v>
      </c>
      <c r="L39" s="439">
        <f t="shared" si="28"/>
        <v>960.50961538461547</v>
      </c>
      <c r="M39" s="439">
        <f t="shared" ca="1" si="28"/>
        <v>1230.9471052631579</v>
      </c>
      <c r="N39" s="439">
        <f t="shared" ca="1" si="28"/>
        <v>2276.0066666666667</v>
      </c>
      <c r="O39" s="439">
        <f t="shared" ca="1" si="28"/>
        <v>769.505</v>
      </c>
      <c r="P39" s="439">
        <f t="shared" ca="1" si="28"/>
        <v>878.13611111111118</v>
      </c>
      <c r="Q39" s="439">
        <f t="shared" ca="1" si="28"/>
        <v>1185.3346666666666</v>
      </c>
      <c r="R39" s="439">
        <f t="shared" ca="1" si="28"/>
        <v>1155.5087031484256</v>
      </c>
      <c r="S39" s="439">
        <f t="shared" ca="1" si="28"/>
        <v>1679.7252777777778</v>
      </c>
      <c r="T39" s="439">
        <f t="shared" ca="1" si="28"/>
        <v>880.74004784688998</v>
      </c>
      <c r="U39" s="438">
        <f t="shared" ca="1" si="28"/>
        <v>1129.3045600883615</v>
      </c>
      <c r="AB39" s="470">
        <v>42941</v>
      </c>
      <c r="AC39" s="471" t="s">
        <v>1809</v>
      </c>
      <c r="AD39" s="471" t="s">
        <v>1810</v>
      </c>
      <c r="AE39" s="472">
        <v>146833</v>
      </c>
      <c r="AF39" s="473">
        <v>200</v>
      </c>
      <c r="AG39" s="474" t="s">
        <v>1775</v>
      </c>
    </row>
    <row r="40" spans="1:33" ht="13.5" customHeight="1" x14ac:dyDescent="0.35">
      <c r="A40" s="463">
        <v>42829</v>
      </c>
      <c r="B40" s="464" t="s">
        <v>3238</v>
      </c>
      <c r="C40" s="464" t="s">
        <v>123</v>
      </c>
      <c r="D40" s="426" t="s">
        <v>3239</v>
      </c>
      <c r="E40" s="465">
        <v>600</v>
      </c>
      <c r="F40" s="464" t="s">
        <v>2109</v>
      </c>
      <c r="AB40" s="470">
        <v>42947</v>
      </c>
      <c r="AC40" s="471" t="s">
        <v>1811</v>
      </c>
      <c r="AD40" s="471" t="s">
        <v>1812</v>
      </c>
      <c r="AE40" s="472">
        <v>146978</v>
      </c>
      <c r="AF40" s="473">
        <v>135</v>
      </c>
      <c r="AG40" s="474" t="s">
        <v>1375</v>
      </c>
    </row>
    <row r="41" spans="1:33" ht="13.5" customHeight="1" x14ac:dyDescent="0.35">
      <c r="A41" s="463"/>
      <c r="B41" s="464"/>
      <c r="C41" s="464"/>
      <c r="E41" s="465"/>
      <c r="F41" s="464"/>
      <c r="AB41" s="470">
        <v>42969</v>
      </c>
      <c r="AC41" s="471" t="s">
        <v>1813</v>
      </c>
      <c r="AD41" s="471" t="s">
        <v>1814</v>
      </c>
      <c r="AE41" s="472">
        <v>147703</v>
      </c>
      <c r="AF41" s="473">
        <v>200</v>
      </c>
      <c r="AG41" s="474" t="s">
        <v>1775</v>
      </c>
    </row>
    <row r="42" spans="1:33" ht="13.9" customHeight="1" x14ac:dyDescent="0.4">
      <c r="A42" s="463"/>
      <c r="B42" s="464"/>
      <c r="C42" s="464"/>
      <c r="E42" s="465"/>
      <c r="F42" s="464"/>
      <c r="G42" s="420" t="s">
        <v>140</v>
      </c>
      <c r="H42" s="557" t="s">
        <v>1596</v>
      </c>
      <c r="I42" s="422" t="s">
        <v>142</v>
      </c>
      <c r="J42" s="422" t="s">
        <v>143</v>
      </c>
      <c r="K42" s="422" t="s">
        <v>144</v>
      </c>
      <c r="L42" s="422" t="s">
        <v>145</v>
      </c>
      <c r="M42" s="422" t="s">
        <v>146</v>
      </c>
      <c r="N42" s="422" t="s">
        <v>147</v>
      </c>
      <c r="O42" s="422" t="s">
        <v>148</v>
      </c>
      <c r="P42" s="422" t="s">
        <v>149</v>
      </c>
      <c r="Q42" s="422" t="s">
        <v>150</v>
      </c>
      <c r="R42" s="422" t="s">
        <v>151</v>
      </c>
      <c r="S42" s="422" t="s">
        <v>152</v>
      </c>
      <c r="T42" s="422" t="s">
        <v>153</v>
      </c>
      <c r="U42" s="423" t="s">
        <v>19</v>
      </c>
      <c r="V42" s="559" t="s">
        <v>76</v>
      </c>
      <c r="W42" s="560" t="s">
        <v>23</v>
      </c>
      <c r="X42" s="560" t="s">
        <v>21</v>
      </c>
      <c r="AB42" s="470">
        <v>42970</v>
      </c>
      <c r="AC42" s="471" t="s">
        <v>1815</v>
      </c>
      <c r="AD42" s="471" t="s">
        <v>1816</v>
      </c>
      <c r="AE42" s="472">
        <v>147671</v>
      </c>
      <c r="AF42" s="473">
        <v>200</v>
      </c>
      <c r="AG42" s="474" t="s">
        <v>1775</v>
      </c>
    </row>
    <row r="43" spans="1:33" ht="13.5" customHeight="1" x14ac:dyDescent="0.35">
      <c r="A43" s="463"/>
      <c r="B43" s="464"/>
      <c r="C43" s="464"/>
      <c r="E43" s="465"/>
      <c r="F43" s="464"/>
      <c r="G43" s="430" t="s">
        <v>2849</v>
      </c>
      <c r="H43" s="432">
        <f t="shared" ref="H43:T43" si="29">H2*60%</f>
        <v>1200</v>
      </c>
      <c r="I43" s="432">
        <f t="shared" si="29"/>
        <v>1117.2</v>
      </c>
      <c r="J43" s="432">
        <f t="shared" si="29"/>
        <v>1466.3999999999999</v>
      </c>
      <c r="K43" s="432">
        <f t="shared" si="29"/>
        <v>1235.3459999999998</v>
      </c>
      <c r="L43" s="432">
        <f t="shared" si="29"/>
        <v>1867.1999999999998</v>
      </c>
      <c r="M43" s="432">
        <f t="shared" ca="1" si="29"/>
        <v>1622.7</v>
      </c>
      <c r="N43" s="432">
        <f t="shared" ca="1" si="29"/>
        <v>487.79999999999995</v>
      </c>
      <c r="O43" s="432">
        <f t="shared" ca="1" si="29"/>
        <v>471.29999999999995</v>
      </c>
      <c r="P43" s="432">
        <f t="shared" ca="1" si="29"/>
        <v>386.4</v>
      </c>
      <c r="Q43" s="432">
        <f t="shared" ca="1" si="29"/>
        <v>2634</v>
      </c>
      <c r="R43" s="432">
        <f t="shared" ca="1" si="29"/>
        <v>2596.5</v>
      </c>
      <c r="S43" s="432">
        <f t="shared" ca="1" si="29"/>
        <v>3534.9</v>
      </c>
      <c r="T43" s="432">
        <f t="shared" ca="1" si="29"/>
        <v>1612.8</v>
      </c>
      <c r="U43" s="431">
        <f t="shared" ref="U43:U48" ca="1" si="30">SUM(I43:T43)</f>
        <v>19032.545999999998</v>
      </c>
      <c r="V43" s="445">
        <f t="shared" ref="V43:V49" ca="1" si="31">U43/U2</f>
        <v>0.6</v>
      </c>
      <c r="W43" s="558">
        <f t="shared" ref="W43:W49" si="32">H43*12</f>
        <v>14400</v>
      </c>
      <c r="X43" s="434">
        <f t="shared" ref="X43:X49" ca="1" si="33">U43-W43</f>
        <v>4632.5459999999985</v>
      </c>
      <c r="AB43" s="470">
        <v>42970</v>
      </c>
      <c r="AC43" s="471" t="s">
        <v>1817</v>
      </c>
      <c r="AD43" s="471" t="s">
        <v>1818</v>
      </c>
      <c r="AE43" s="472">
        <v>147844</v>
      </c>
      <c r="AF43" s="473">
        <v>200</v>
      </c>
      <c r="AG43" s="474" t="s">
        <v>1819</v>
      </c>
    </row>
    <row r="44" spans="1:33" ht="13.5" customHeight="1" x14ac:dyDescent="0.35">
      <c r="A44" s="463">
        <v>42864</v>
      </c>
      <c r="B44" s="464" t="s">
        <v>3240</v>
      </c>
      <c r="C44" s="464" t="s">
        <v>123</v>
      </c>
      <c r="D44" s="426" t="s">
        <v>3241</v>
      </c>
      <c r="E44" s="465">
        <v>500</v>
      </c>
      <c r="F44" s="464" t="s">
        <v>3242</v>
      </c>
      <c r="G44" s="430" t="s">
        <v>2850</v>
      </c>
      <c r="H44" s="432">
        <f t="shared" ref="H44:T44" si="34">H3*45%</f>
        <v>900</v>
      </c>
      <c r="I44" s="432">
        <f t="shared" si="34"/>
        <v>185.625</v>
      </c>
      <c r="J44" s="432">
        <f t="shared" si="34"/>
        <v>737.1</v>
      </c>
      <c r="K44" s="432">
        <f t="shared" si="34"/>
        <v>1022.571</v>
      </c>
      <c r="L44" s="432">
        <f t="shared" si="34"/>
        <v>922.68000000000006</v>
      </c>
      <c r="M44" s="432">
        <f t="shared" ca="1" si="34"/>
        <v>410.625</v>
      </c>
      <c r="N44" s="432">
        <f t="shared" ca="1" si="34"/>
        <v>895.5</v>
      </c>
      <c r="O44" s="432">
        <f t="shared" ca="1" si="34"/>
        <v>774</v>
      </c>
      <c r="P44" s="432">
        <f t="shared" ca="1" si="34"/>
        <v>1287</v>
      </c>
      <c r="Q44" s="432">
        <f t="shared" ca="1" si="34"/>
        <v>1746.9900000000005</v>
      </c>
      <c r="R44" s="432">
        <f t="shared" ca="1" si="34"/>
        <v>1470.9375000000002</v>
      </c>
      <c r="S44" s="432">
        <f t="shared" ca="1" si="34"/>
        <v>937.35</v>
      </c>
      <c r="T44" s="432">
        <f t="shared" ca="1" si="34"/>
        <v>106.11000000000001</v>
      </c>
      <c r="U44" s="431">
        <f t="shared" ca="1" si="30"/>
        <v>10496.488500000003</v>
      </c>
      <c r="V44" s="445">
        <f t="shared" ca="1" si="31"/>
        <v>0.45000000000000007</v>
      </c>
      <c r="W44" s="558">
        <f t="shared" si="32"/>
        <v>10800</v>
      </c>
      <c r="X44" s="434">
        <f t="shared" ca="1" si="33"/>
        <v>-303.51149999999689</v>
      </c>
      <c r="AB44" s="470">
        <v>42976</v>
      </c>
      <c r="AC44" s="471" t="s">
        <v>1820</v>
      </c>
      <c r="AD44" s="471" t="s">
        <v>1821</v>
      </c>
      <c r="AE44" s="472">
        <v>148062</v>
      </c>
      <c r="AF44" s="473">
        <v>65</v>
      </c>
      <c r="AG44" s="474" t="s">
        <v>1375</v>
      </c>
    </row>
    <row r="45" spans="1:33" ht="13.5" customHeight="1" x14ac:dyDescent="0.35">
      <c r="A45" s="463"/>
      <c r="B45" s="464"/>
      <c r="C45" s="464"/>
      <c r="E45" s="465"/>
      <c r="F45" s="464"/>
      <c r="G45" s="430" t="s">
        <v>2851</v>
      </c>
      <c r="H45" s="432">
        <f t="shared" ref="H45:T45" si="35">H4*40%</f>
        <v>300</v>
      </c>
      <c r="I45" s="432">
        <f t="shared" si="35"/>
        <v>135.6</v>
      </c>
      <c r="J45" s="432">
        <f t="shared" si="35"/>
        <v>779.2</v>
      </c>
      <c r="K45" s="432">
        <f t="shared" si="35"/>
        <v>203.72000000000003</v>
      </c>
      <c r="L45" s="432">
        <f t="shared" si="35"/>
        <v>206.23600000000002</v>
      </c>
      <c r="M45" s="432">
        <f t="shared" ca="1" si="35"/>
        <v>381.88400000000001</v>
      </c>
      <c r="N45" s="432">
        <f t="shared" ca="1" si="35"/>
        <v>276.392</v>
      </c>
      <c r="O45" s="432">
        <f t="shared" ca="1" si="35"/>
        <v>312.26000000000005</v>
      </c>
      <c r="P45" s="432">
        <f t="shared" ca="1" si="35"/>
        <v>290.52400000000006</v>
      </c>
      <c r="Q45" s="432">
        <f t="shared" ca="1" si="35"/>
        <v>613.19200000000001</v>
      </c>
      <c r="R45" s="432">
        <f t="shared" ca="1" si="35"/>
        <v>492.99200000000002</v>
      </c>
      <c r="S45" s="432">
        <f t="shared" ca="1" si="35"/>
        <v>895.2</v>
      </c>
      <c r="T45" s="432">
        <f t="shared" ca="1" si="35"/>
        <v>122.99200000000002</v>
      </c>
      <c r="U45" s="431">
        <f t="shared" ca="1" si="30"/>
        <v>4710.1920000000009</v>
      </c>
      <c r="V45" s="445">
        <f t="shared" ca="1" si="31"/>
        <v>0.40000000000000008</v>
      </c>
      <c r="W45" s="558">
        <f t="shared" si="32"/>
        <v>3600</v>
      </c>
      <c r="X45" s="434">
        <f t="shared" ca="1" si="33"/>
        <v>1110.1920000000009</v>
      </c>
      <c r="AB45" s="470">
        <v>42978</v>
      </c>
      <c r="AC45" s="471" t="s">
        <v>1822</v>
      </c>
      <c r="AD45" s="471" t="s">
        <v>1823</v>
      </c>
      <c r="AE45" s="472">
        <v>148222</v>
      </c>
      <c r="AF45" s="473">
        <v>200</v>
      </c>
      <c r="AG45" s="474" t="s">
        <v>1775</v>
      </c>
    </row>
    <row r="46" spans="1:33" ht="13.5" customHeight="1" x14ac:dyDescent="0.35">
      <c r="A46" s="463">
        <v>42851</v>
      </c>
      <c r="B46" s="464" t="s">
        <v>3243</v>
      </c>
      <c r="C46" s="464" t="s">
        <v>123</v>
      </c>
      <c r="D46" s="426" t="s">
        <v>3241</v>
      </c>
      <c r="E46" s="465">
        <v>365</v>
      </c>
      <c r="F46" s="464" t="s">
        <v>1853</v>
      </c>
      <c r="G46" s="430" t="s">
        <v>2852</v>
      </c>
      <c r="H46" s="432">
        <f t="shared" ref="H46:T46" si="36">H5*75%</f>
        <v>300</v>
      </c>
      <c r="I46" s="432">
        <f t="shared" si="36"/>
        <v>240</v>
      </c>
      <c r="J46" s="432">
        <f t="shared" si="36"/>
        <v>105</v>
      </c>
      <c r="K46" s="432">
        <f t="shared" si="36"/>
        <v>60</v>
      </c>
      <c r="L46" s="432">
        <f t="shared" si="36"/>
        <v>75</v>
      </c>
      <c r="M46" s="432">
        <f t="shared" ca="1" si="36"/>
        <v>540</v>
      </c>
      <c r="N46" s="432">
        <f t="shared" ca="1" si="36"/>
        <v>91.5</v>
      </c>
      <c r="O46" s="432">
        <f t="shared" ca="1" si="36"/>
        <v>105</v>
      </c>
      <c r="P46" s="432">
        <f t="shared" ca="1" si="36"/>
        <v>270</v>
      </c>
      <c r="Q46" s="432">
        <f t="shared" ca="1" si="36"/>
        <v>120</v>
      </c>
      <c r="R46" s="432">
        <f t="shared" ca="1" si="36"/>
        <v>75</v>
      </c>
      <c r="S46" s="432">
        <f t="shared" ca="1" si="36"/>
        <v>60</v>
      </c>
      <c r="T46" s="432">
        <f t="shared" ca="1" si="36"/>
        <v>45</v>
      </c>
      <c r="U46" s="431">
        <f t="shared" ca="1" si="30"/>
        <v>1786.5</v>
      </c>
      <c r="V46" s="445">
        <f t="shared" ca="1" si="31"/>
        <v>0.75</v>
      </c>
      <c r="W46" s="558">
        <f t="shared" si="32"/>
        <v>3600</v>
      </c>
      <c r="X46" s="434">
        <f t="shared" ca="1" si="33"/>
        <v>-1813.5</v>
      </c>
      <c r="AB46" s="470">
        <v>42978</v>
      </c>
      <c r="AC46" s="471" t="s">
        <v>1824</v>
      </c>
      <c r="AD46" s="471" t="s">
        <v>1825</v>
      </c>
      <c r="AE46" s="472">
        <v>148235</v>
      </c>
      <c r="AF46" s="473">
        <v>200</v>
      </c>
      <c r="AG46" s="474" t="s">
        <v>1775</v>
      </c>
    </row>
    <row r="47" spans="1:33" ht="13.5" customHeight="1" x14ac:dyDescent="0.35">
      <c r="A47" s="463">
        <v>42863</v>
      </c>
      <c r="B47" s="464" t="s">
        <v>3244</v>
      </c>
      <c r="C47" s="464" t="s">
        <v>123</v>
      </c>
      <c r="D47" s="426" t="s">
        <v>3245</v>
      </c>
      <c r="E47" s="465">
        <v>295</v>
      </c>
      <c r="F47" s="464" t="s">
        <v>3246</v>
      </c>
      <c r="G47" s="436" t="s">
        <v>941</v>
      </c>
      <c r="H47" s="432">
        <f t="shared" ref="H47:T47" si="37">H6*75%</f>
        <v>300</v>
      </c>
      <c r="I47" s="432">
        <f t="shared" si="37"/>
        <v>180</v>
      </c>
      <c r="J47" s="432">
        <f t="shared" si="37"/>
        <v>0</v>
      </c>
      <c r="K47" s="432">
        <f t="shared" si="37"/>
        <v>585</v>
      </c>
      <c r="L47" s="432">
        <f t="shared" si="37"/>
        <v>0</v>
      </c>
      <c r="M47" s="432">
        <f t="shared" ca="1" si="37"/>
        <v>330.9375</v>
      </c>
      <c r="N47" s="432">
        <f t="shared" ca="1" si="37"/>
        <v>1203.1125000000002</v>
      </c>
      <c r="O47" s="432">
        <f t="shared" ca="1" si="37"/>
        <v>109.6875</v>
      </c>
      <c r="P47" s="432">
        <f t="shared" ca="1" si="37"/>
        <v>0</v>
      </c>
      <c r="Q47" s="432">
        <f t="shared" ca="1" si="37"/>
        <v>300</v>
      </c>
      <c r="R47" s="432">
        <f t="shared" ca="1" si="37"/>
        <v>183.75</v>
      </c>
      <c r="S47" s="432">
        <f t="shared" ca="1" si="37"/>
        <v>0</v>
      </c>
      <c r="T47" s="432">
        <f t="shared" ca="1" si="37"/>
        <v>292.5</v>
      </c>
      <c r="U47" s="431">
        <f t="shared" ca="1" si="30"/>
        <v>3184.9875000000002</v>
      </c>
      <c r="V47" s="445">
        <f t="shared" ca="1" si="31"/>
        <v>0.75000000000000011</v>
      </c>
      <c r="W47" s="558">
        <f t="shared" si="32"/>
        <v>3600</v>
      </c>
      <c r="X47" s="434">
        <f t="shared" ca="1" si="33"/>
        <v>-415.01249999999982</v>
      </c>
      <c r="AB47" s="470">
        <v>42978</v>
      </c>
      <c r="AC47" s="471" t="s">
        <v>1826</v>
      </c>
      <c r="AD47" s="471" t="s">
        <v>1827</v>
      </c>
      <c r="AE47" s="472">
        <v>148256</v>
      </c>
      <c r="AF47" s="473">
        <v>41</v>
      </c>
      <c r="AG47" s="474" t="s">
        <v>1375</v>
      </c>
    </row>
    <row r="48" spans="1:33" ht="13.5" customHeight="1" x14ac:dyDescent="0.35">
      <c r="A48" s="463">
        <v>42866</v>
      </c>
      <c r="B48" s="464" t="s">
        <v>3247</v>
      </c>
      <c r="C48" s="464" t="s">
        <v>123</v>
      </c>
      <c r="D48" s="426" t="s">
        <v>3248</v>
      </c>
      <c r="E48" s="465">
        <v>300</v>
      </c>
      <c r="F48" s="464" t="s">
        <v>3249</v>
      </c>
      <c r="G48" s="436" t="s">
        <v>2853</v>
      </c>
      <c r="H48" s="432">
        <f t="shared" ref="H48:T48" si="38">H7*15%</f>
        <v>45</v>
      </c>
      <c r="I48" s="432">
        <f t="shared" si="38"/>
        <v>4.5</v>
      </c>
      <c r="J48" s="432">
        <f t="shared" si="38"/>
        <v>77.25</v>
      </c>
      <c r="K48" s="432">
        <f t="shared" si="38"/>
        <v>81.335999999999999</v>
      </c>
      <c r="L48" s="432">
        <f t="shared" si="38"/>
        <v>42.777000000000001</v>
      </c>
      <c r="M48" s="432">
        <f t="shared" ca="1" si="38"/>
        <v>17.8125</v>
      </c>
      <c r="N48" s="432">
        <f t="shared" ca="1" si="38"/>
        <v>38.97</v>
      </c>
      <c r="O48" s="432">
        <f t="shared" ca="1" si="38"/>
        <v>4.7115</v>
      </c>
      <c r="P48" s="432">
        <f t="shared" ca="1" si="38"/>
        <v>10.280999999999999</v>
      </c>
      <c r="Q48" s="432">
        <f t="shared" ca="1" si="38"/>
        <v>68.473500000000001</v>
      </c>
      <c r="R48" s="432">
        <f t="shared" ca="1" si="38"/>
        <v>7.6274999999999995</v>
      </c>
      <c r="S48" s="432">
        <f t="shared" ca="1" si="38"/>
        <v>31.738499999999998</v>
      </c>
      <c r="T48" s="432">
        <f t="shared" ca="1" si="38"/>
        <v>97.162499999999994</v>
      </c>
      <c r="U48" s="431">
        <f t="shared" ca="1" si="30"/>
        <v>482.64</v>
      </c>
      <c r="V48" s="445">
        <f t="shared" ca="1" si="31"/>
        <v>0.15</v>
      </c>
      <c r="W48" s="558">
        <f t="shared" si="32"/>
        <v>540</v>
      </c>
      <c r="X48" s="434">
        <f t="shared" ca="1" si="33"/>
        <v>-57.360000000000014</v>
      </c>
      <c r="AB48" s="470">
        <v>42982</v>
      </c>
      <c r="AC48" s="471" t="s">
        <v>1828</v>
      </c>
      <c r="AD48" s="471" t="s">
        <v>1829</v>
      </c>
      <c r="AE48" s="472">
        <v>148035</v>
      </c>
      <c r="AF48" s="476">
        <v>200</v>
      </c>
      <c r="AG48" s="474" t="s">
        <v>1775</v>
      </c>
    </row>
    <row r="49" spans="1:33" ht="13.9" customHeight="1" x14ac:dyDescent="0.4">
      <c r="A49" s="463"/>
      <c r="B49" s="464"/>
      <c r="C49" s="464"/>
      <c r="E49" s="465"/>
      <c r="F49" s="464"/>
      <c r="G49" s="437" t="s">
        <v>63</v>
      </c>
      <c r="H49" s="438">
        <f t="shared" ref="H49:U49" si="39">SUM(H43:H48)</f>
        <v>3045</v>
      </c>
      <c r="I49" s="439">
        <f t="shared" si="39"/>
        <v>1862.925</v>
      </c>
      <c r="J49" s="439">
        <f t="shared" si="39"/>
        <v>3164.95</v>
      </c>
      <c r="K49" s="439">
        <f t="shared" si="39"/>
        <v>3187.9729999999995</v>
      </c>
      <c r="L49" s="439">
        <f t="shared" si="39"/>
        <v>3113.893</v>
      </c>
      <c r="M49" s="439">
        <f t="shared" ca="1" si="39"/>
        <v>3303.9589999999998</v>
      </c>
      <c r="N49" s="439">
        <f t="shared" ca="1" si="39"/>
        <v>2993.2745</v>
      </c>
      <c r="O49" s="439">
        <f t="shared" ca="1" si="39"/>
        <v>1776.9589999999998</v>
      </c>
      <c r="P49" s="439">
        <f t="shared" ca="1" si="39"/>
        <v>2244.2049999999999</v>
      </c>
      <c r="Q49" s="439">
        <f t="shared" ca="1" si="39"/>
        <v>5482.6555000000008</v>
      </c>
      <c r="R49" s="439">
        <f t="shared" ca="1" si="39"/>
        <v>4826.8069999999998</v>
      </c>
      <c r="S49" s="439">
        <f t="shared" ca="1" si="39"/>
        <v>5459.1885000000002</v>
      </c>
      <c r="T49" s="439">
        <f t="shared" ca="1" si="39"/>
        <v>2276.5645</v>
      </c>
      <c r="U49" s="438">
        <f t="shared" ca="1" si="39"/>
        <v>39693.354000000007</v>
      </c>
      <c r="V49" s="445">
        <f t="shared" ca="1" si="31"/>
        <v>0.51772924800474573</v>
      </c>
      <c r="W49" s="558">
        <f t="shared" si="32"/>
        <v>36540</v>
      </c>
      <c r="X49" s="434">
        <f t="shared" ca="1" si="33"/>
        <v>3153.3540000000066</v>
      </c>
      <c r="AB49" s="470">
        <v>42998</v>
      </c>
      <c r="AC49" s="526" t="s">
        <v>1830</v>
      </c>
      <c r="AD49" s="471" t="s">
        <v>1831</v>
      </c>
      <c r="AE49" s="472" t="s">
        <v>1832</v>
      </c>
      <c r="AF49" s="476">
        <v>200</v>
      </c>
      <c r="AG49" s="49" t="s">
        <v>1775</v>
      </c>
    </row>
    <row r="50" spans="1:33" ht="13.5" customHeight="1" x14ac:dyDescent="0.35">
      <c r="A50" s="463">
        <v>43044</v>
      </c>
      <c r="B50" s="464" t="s">
        <v>3250</v>
      </c>
      <c r="C50" s="464" t="s">
        <v>123</v>
      </c>
      <c r="E50" s="465">
        <v>265</v>
      </c>
      <c r="F50" s="464" t="s">
        <v>3251</v>
      </c>
      <c r="AB50" s="470">
        <v>42998</v>
      </c>
      <c r="AC50" s="471" t="s">
        <v>1833</v>
      </c>
      <c r="AD50" s="471" t="s">
        <v>1834</v>
      </c>
      <c r="AE50" s="472" t="s">
        <v>1835</v>
      </c>
      <c r="AF50" s="476">
        <v>200</v>
      </c>
      <c r="AG50" s="474" t="s">
        <v>1836</v>
      </c>
    </row>
    <row r="51" spans="1:33" ht="13.9" hidden="1" customHeight="1" x14ac:dyDescent="0.4">
      <c r="A51" s="463"/>
      <c r="B51" s="464"/>
      <c r="C51" s="464"/>
      <c r="E51" s="465"/>
      <c r="F51" s="464"/>
      <c r="G51" s="566" t="s">
        <v>157</v>
      </c>
      <c r="I51" s="423" t="s">
        <v>142</v>
      </c>
      <c r="J51" s="423" t="s">
        <v>143</v>
      </c>
      <c r="K51" s="423" t="s">
        <v>144</v>
      </c>
      <c r="L51" s="423" t="s">
        <v>145</v>
      </c>
      <c r="M51" s="423" t="s">
        <v>146</v>
      </c>
      <c r="N51" s="423" t="s">
        <v>147</v>
      </c>
      <c r="O51" s="423" t="s">
        <v>148</v>
      </c>
      <c r="P51" s="423" t="s">
        <v>149</v>
      </c>
      <c r="Q51" s="423" t="s">
        <v>150</v>
      </c>
      <c r="R51" s="423" t="s">
        <v>151</v>
      </c>
      <c r="S51" s="423" t="s">
        <v>152</v>
      </c>
      <c r="T51" s="423" t="s">
        <v>153</v>
      </c>
      <c r="U51" s="423" t="s">
        <v>19</v>
      </c>
      <c r="V51" s="423" t="s">
        <v>158</v>
      </c>
      <c r="W51" s="423" t="s">
        <v>3252</v>
      </c>
      <c r="X51" s="555" t="s">
        <v>22</v>
      </c>
      <c r="AB51" s="470">
        <v>43018</v>
      </c>
      <c r="AC51" s="474" t="s">
        <v>1837</v>
      </c>
      <c r="AD51" s="474" t="s">
        <v>1838</v>
      </c>
      <c r="AE51" s="477" t="s">
        <v>1839</v>
      </c>
      <c r="AF51" s="476">
        <v>200</v>
      </c>
      <c r="AG51" s="474" t="s">
        <v>1775</v>
      </c>
    </row>
    <row r="52" spans="1:33" ht="13.5" hidden="1" customHeight="1" x14ac:dyDescent="0.35">
      <c r="A52" s="463"/>
      <c r="B52" s="464"/>
      <c r="C52" s="464"/>
      <c r="E52" s="465"/>
      <c r="F52" s="464"/>
      <c r="G52" s="426" t="s">
        <v>159</v>
      </c>
      <c r="I52" s="432">
        <f>SUMIF(D$591:$D$624,$G52,$E$591:$E$624)</f>
        <v>999</v>
      </c>
      <c r="J52" s="432">
        <f>SUMIF(D$538:$D$590,$G52,$E$538:$E$590)</f>
        <v>2095</v>
      </c>
      <c r="K52" s="432">
        <f>SUMIF(D$493:$D$536,$G52,$E$493:$E$536)</f>
        <v>1419</v>
      </c>
      <c r="L52" s="432">
        <f>SUMIF($D$455:D$491,$G52,$E$455:$E$491)</f>
        <v>2169.4</v>
      </c>
      <c r="M52" s="432">
        <f ca="1">SUMIF($D$415:E$455,$G52,$E$415:$E$455)</f>
        <v>2678.75</v>
      </c>
      <c r="N52" s="432">
        <f ca="1">SUMIF($D$375:F$413,$G52,$E$375:$E$413)</f>
        <v>1250.8</v>
      </c>
      <c r="O52" s="432">
        <f ca="1">SUMIF($D$348:G$374,$G52,$E$348:$E$374)</f>
        <v>966.25</v>
      </c>
      <c r="P52" s="432">
        <f ca="1">SUMIF($D$312:H$346,$G52,$E$312:$E$346)</f>
        <v>685</v>
      </c>
      <c r="Q52" s="432">
        <f ca="1">SUMIF($D$251:H$308,$G52,$E$251:$E$308)</f>
        <v>4172.3500000000004</v>
      </c>
      <c r="R52" s="432">
        <f ca="1">SUMIF($D$190:G$249,$G52,$E$190:$E$249)</f>
        <v>2285.2000000000003</v>
      </c>
      <c r="S52" s="432">
        <f ca="1">SUMIF($D$143:G$188,$G52,$E$143:$E$188)</f>
        <v>3397.6</v>
      </c>
      <c r="T52" s="432">
        <f ca="1">SUMIF($D$95:G$141,$G52,$E$95:$E$141)</f>
        <v>2503.5500000000002</v>
      </c>
      <c r="U52" s="432">
        <f t="shared" ref="U52:U58" ca="1" si="40">SUM(I52:T52)</f>
        <v>24621.899999999998</v>
      </c>
      <c r="V52" s="460">
        <f t="shared" ref="V52:V58" ca="1" si="41">T52/$T$59</f>
        <v>0.57831662058243993</v>
      </c>
      <c r="W52" s="434">
        <f t="shared" ref="W52:W58" ca="1" si="42">U52</f>
        <v>24621.899999999998</v>
      </c>
      <c r="X52" s="460">
        <f t="shared" ref="X52:X58" ca="1" si="43">W52/$W$59</f>
        <v>0.32114892007987139</v>
      </c>
      <c r="AB52" s="470">
        <v>43018</v>
      </c>
      <c r="AC52" s="474" t="s">
        <v>1840</v>
      </c>
      <c r="AD52" s="474" t="s">
        <v>1841</v>
      </c>
      <c r="AE52" s="477"/>
      <c r="AF52" s="540">
        <v>200</v>
      </c>
      <c r="AG52" s="474" t="s">
        <v>1775</v>
      </c>
    </row>
    <row r="53" spans="1:33" ht="13.5" hidden="1" customHeight="1" x14ac:dyDescent="0.35">
      <c r="A53" s="463">
        <v>43039</v>
      </c>
      <c r="B53" s="464" t="s">
        <v>3226</v>
      </c>
      <c r="C53" s="464" t="s">
        <v>123</v>
      </c>
      <c r="E53" s="465">
        <v>200</v>
      </c>
      <c r="F53" s="462" t="s">
        <v>3253</v>
      </c>
      <c r="G53" s="426" t="s">
        <v>160</v>
      </c>
      <c r="I53" s="432">
        <f>SUMIF(D$591:$D$624,$G53,$E$591:$E$624)</f>
        <v>540</v>
      </c>
      <c r="J53" s="432">
        <f>SUMIF(D$538:$D$590,$G53,$E$538:$E$590)</f>
        <v>938</v>
      </c>
      <c r="K53" s="432">
        <f>SUMIF(D$493:$D$536,$G53,$E$493:$E$536)</f>
        <v>669</v>
      </c>
      <c r="L53" s="432">
        <f>SUMIF($D$455:D$491,$G53,$E$455:$E$491)</f>
        <v>248</v>
      </c>
      <c r="M53" s="432">
        <f ca="1">SUMIF($D$415:E$455,$G53,$E$415:$E$455)</f>
        <v>760</v>
      </c>
      <c r="N53" s="432">
        <f ca="1">SUMIF($D$375:F$413,$G53,$E$375:$E$413)</f>
        <v>374</v>
      </c>
      <c r="O53" s="432">
        <f ca="1">SUMIF($D$348:G$374,$G53,$E$348:$E$374)</f>
        <v>31.41</v>
      </c>
      <c r="P53" s="432">
        <f ca="1">SUMIF($D$312:H$346,$G53,$E$312:$E$346)</f>
        <v>383.53999999999996</v>
      </c>
      <c r="Q53" s="432">
        <f ca="1">SUMIF($D$251:H$308,$G53,$E$251:$E$308)</f>
        <v>481.34000000000003</v>
      </c>
      <c r="R53" s="432">
        <f ca="1">SUMIF($D$190:G$249,$G53,$E$190:$E$249)</f>
        <v>938.4</v>
      </c>
      <c r="S53" s="432">
        <f ca="1">SUMIF($D$143:G$188,$G53,$E$143:$E$188)</f>
        <v>242.99</v>
      </c>
      <c r="T53" s="432">
        <f ca="1">SUMIF($D$95:G$141,$G53,$E$95:$E$141)</f>
        <v>160</v>
      </c>
      <c r="U53" s="432">
        <f t="shared" ca="1" si="40"/>
        <v>5766.6799999999994</v>
      </c>
      <c r="V53" s="460">
        <f t="shared" ca="1" si="41"/>
        <v>3.6959780828499683E-2</v>
      </c>
      <c r="W53" s="434">
        <f t="shared" ca="1" si="42"/>
        <v>5766.6799999999994</v>
      </c>
      <c r="X53" s="460">
        <f t="shared" ca="1" si="43"/>
        <v>7.5216090327967902E-2</v>
      </c>
      <c r="AB53" s="470">
        <v>43018</v>
      </c>
      <c r="AC53" s="474" t="s">
        <v>1843</v>
      </c>
      <c r="AD53" s="474" t="s">
        <v>1844</v>
      </c>
      <c r="AE53" s="477"/>
      <c r="AF53" s="476">
        <v>200</v>
      </c>
      <c r="AG53" s="474" t="s">
        <v>1775</v>
      </c>
    </row>
    <row r="54" spans="1:33" hidden="1" x14ac:dyDescent="0.35">
      <c r="G54" s="426" t="s">
        <v>161</v>
      </c>
      <c r="I54" s="432">
        <f>SUMIF(D$591:$D$624,$G54,$E$591:$E$624)</f>
        <v>459</v>
      </c>
      <c r="J54" s="432">
        <f>SUMIF(D$538:$D$590,$G54,$E$538:$E$590)</f>
        <v>130</v>
      </c>
      <c r="K54" s="432">
        <f>SUMIF(D$493:$D$536,$G54,$E$493:$E$536)</f>
        <v>495.5</v>
      </c>
      <c r="L54" s="432">
        <f>SUMIF($D$455:D$491,$G54,$E$455:$E$491)</f>
        <v>548.11</v>
      </c>
      <c r="M54" s="432">
        <f ca="1">SUMIF($D$415:E$455,$G54,$E$415:$E$455)</f>
        <v>879.71</v>
      </c>
      <c r="N54" s="432">
        <f ca="1">SUMIF($D$375:F$413,$G54,$E$375:$E$413)</f>
        <v>398.78</v>
      </c>
      <c r="O54" s="432">
        <f ca="1">SUMIF($D$348:G$374,$G54,$E$348:$E$374)</f>
        <v>685.6</v>
      </c>
      <c r="P54" s="432">
        <f ca="1">SUMIF($D$312:H$346,$G54,$E$312:$E$346)</f>
        <v>841.11</v>
      </c>
      <c r="Q54" s="432">
        <f ca="1">SUMIF($D$251:H$308,$G54,$E$251:$E$308)</f>
        <v>497.98</v>
      </c>
      <c r="R54" s="432">
        <f ca="1">SUMIF($D$190:G$249,$G54,$E$190:$E$249)</f>
        <v>332.48</v>
      </c>
      <c r="S54" s="432">
        <f ca="1">SUMIF($D$143:G$188,$G54,$E$143:$E$188)</f>
        <v>695</v>
      </c>
      <c r="T54" s="432">
        <f ca="1">SUMIF($D$95:G$141,$G54,$E$95:$E$141)</f>
        <v>367.48</v>
      </c>
      <c r="U54" s="432">
        <f t="shared" ca="1" si="40"/>
        <v>6330.75</v>
      </c>
      <c r="V54" s="460">
        <f t="shared" ca="1" si="41"/>
        <v>8.4887376617856641E-2</v>
      </c>
      <c r="W54" s="434">
        <f t="shared" ca="1" si="42"/>
        <v>6330.75</v>
      </c>
      <c r="X54" s="460">
        <f t="shared" ca="1" si="43"/>
        <v>8.2573380843706051E-2</v>
      </c>
      <c r="AB54" s="470">
        <v>43018</v>
      </c>
      <c r="AC54" s="426" t="s">
        <v>1845</v>
      </c>
      <c r="AD54" s="474" t="s">
        <v>1846</v>
      </c>
      <c r="AE54" s="477" t="s">
        <v>1847</v>
      </c>
      <c r="AF54" s="476">
        <v>200</v>
      </c>
      <c r="AG54" s="474" t="s">
        <v>1775</v>
      </c>
    </row>
    <row r="55" spans="1:33" ht="13.5" hidden="1" customHeight="1" x14ac:dyDescent="0.35">
      <c r="A55" s="463"/>
      <c r="B55" s="464"/>
      <c r="C55" s="464"/>
      <c r="E55" s="465"/>
      <c r="F55" s="464"/>
      <c r="G55" s="426" t="s">
        <v>162</v>
      </c>
      <c r="I55" s="432">
        <f>SUMIF(D$591:$D$624,$G55,$E$591:$E$624)</f>
        <v>1133.5</v>
      </c>
      <c r="J55" s="432">
        <f>SUMIF(D$538:$D$590,$G55,$E$538:$E$590)</f>
        <v>2998</v>
      </c>
      <c r="K55" s="432">
        <f>SUMIF(D$493:$D$536,$G55,$E$493:$E$536)</f>
        <v>2290.42</v>
      </c>
      <c r="L55" s="432">
        <f>SUMIF($D$455:D$491,$G55,$E$455:$E$491)</f>
        <v>2682.6600000000003</v>
      </c>
      <c r="M55" s="432">
        <f ca="1">SUMIF($D$415:E$455,$G55,$E$415:$E$455)</f>
        <v>761.25</v>
      </c>
      <c r="N55" s="432">
        <f ca="1">SUMIF($D$375:F$413,$G55,$E$375:$E$413)</f>
        <v>2963.35</v>
      </c>
      <c r="O55" s="432">
        <f ca="1">SUMIF($D$348:G$374,$G55,$E$348:$E$374)</f>
        <v>1868.55</v>
      </c>
      <c r="P55" s="432">
        <f ca="1">SUMIF($D$312:H$346,$G55,$E$312:$E$346)</f>
        <v>2455.1999999999998</v>
      </c>
      <c r="Q55" s="432">
        <f ca="1">SUMIF($D$251:H$308,$G55,$E$251:$E$308)</f>
        <v>5265</v>
      </c>
      <c r="R55" s="432">
        <f ca="1">SUMIF($D$190:G$249,$G55,$E$190:$E$249)</f>
        <v>5563.5</v>
      </c>
      <c r="S55" s="432">
        <f ca="1">SUMIF($D$143:G$188,$G55,$E$143:$E$188)</f>
        <v>5976.5</v>
      </c>
      <c r="T55" s="432">
        <f ca="1">SUMIF($D$95:G$141,$G55,$E$95:$E$141)</f>
        <v>655</v>
      </c>
      <c r="U55" s="432">
        <f t="shared" ca="1" si="40"/>
        <v>34612.93</v>
      </c>
      <c r="V55" s="460">
        <f t="shared" ca="1" si="41"/>
        <v>0.15130410276667058</v>
      </c>
      <c r="W55" s="434">
        <f t="shared" ca="1" si="42"/>
        <v>34612.93</v>
      </c>
      <c r="X55" s="460">
        <f t="shared" ca="1" si="43"/>
        <v>0.45146414737693613</v>
      </c>
      <c r="AB55" s="470">
        <v>43024</v>
      </c>
      <c r="AC55" s="426" t="s">
        <v>1848</v>
      </c>
      <c r="AD55" s="426" t="s">
        <v>1849</v>
      </c>
      <c r="AE55" s="477" t="s">
        <v>1850</v>
      </c>
      <c r="AF55" s="476">
        <v>200</v>
      </c>
      <c r="AG55" s="474" t="s">
        <v>1775</v>
      </c>
    </row>
    <row r="56" spans="1:33" ht="13.5" hidden="1" customHeight="1" x14ac:dyDescent="0.35">
      <c r="A56" s="463"/>
      <c r="B56" s="464"/>
      <c r="C56" s="464"/>
      <c r="E56" s="465"/>
      <c r="F56" s="464"/>
      <c r="G56" s="426" t="s">
        <v>163</v>
      </c>
      <c r="I56" s="432">
        <f>SUMIF(D$591:$D$624,$G56,$E$591:$E$624)</f>
        <v>72</v>
      </c>
      <c r="J56" s="432">
        <f>SUMIF(D$538:$D$590,$G56,$E$538:$E$590)</f>
        <v>24</v>
      </c>
      <c r="K56" s="432">
        <f>SUMIF(D$493:$D$536,$G56,$E$493:$E$536)</f>
        <v>38.910000000000004</v>
      </c>
      <c r="L56" s="432">
        <f>SUMIF($D$455:D$491,$G56,$E$455:$E$491)</f>
        <v>51</v>
      </c>
      <c r="M56" s="432">
        <f ca="1">SUMIF($D$415:E$455,$G56,$E$415:$E$455)</f>
        <v>52</v>
      </c>
      <c r="N56" s="432">
        <f ca="1">SUMIF($D$375:F$413,$G56,$E$375:$E$413)</f>
        <v>78</v>
      </c>
      <c r="O56" s="432">
        <f ca="1">SUMIF($D$348:G$374,$G56,$E$348:$E$374)</f>
        <v>52</v>
      </c>
      <c r="P56" s="432">
        <f ca="1">SUMIF($D$312:H$346,$G56,$E$312:$E$346)</f>
        <v>39</v>
      </c>
      <c r="Q56" s="432">
        <f ca="1">SUMIF($D$251:H$308,$G56,$E$251:$E$308)</f>
        <v>78</v>
      </c>
      <c r="R56" s="432">
        <f ca="1">SUMIF($D$190:G$249,$G56,$E$190:$E$249)</f>
        <v>65</v>
      </c>
      <c r="S56" s="432">
        <f ca="1">SUMIF($D$143:G$188,$G56,$E$143:$E$188)</f>
        <v>26</v>
      </c>
      <c r="T56" s="432">
        <f ca="1">SUMIF($D$95:G$141,$G56,$E$95:$E$141)</f>
        <v>13</v>
      </c>
      <c r="U56" s="432">
        <f t="shared" ca="1" si="40"/>
        <v>588.91</v>
      </c>
      <c r="V56" s="460">
        <f t="shared" ca="1" si="41"/>
        <v>3.0029821923155992E-3</v>
      </c>
      <c r="W56" s="434">
        <f t="shared" ca="1" si="42"/>
        <v>588.91</v>
      </c>
      <c r="X56" s="460">
        <f t="shared" ca="1" si="43"/>
        <v>7.6812841626453304E-3</v>
      </c>
      <c r="AB56" s="470">
        <v>43025</v>
      </c>
      <c r="AC56" s="426" t="s">
        <v>1851</v>
      </c>
      <c r="AD56" s="426" t="s">
        <v>1852</v>
      </c>
      <c r="AF56" s="476">
        <v>200</v>
      </c>
      <c r="AG56" s="426" t="s">
        <v>1853</v>
      </c>
    </row>
    <row r="57" spans="1:33" hidden="1" x14ac:dyDescent="0.35">
      <c r="G57" s="426" t="s">
        <v>164</v>
      </c>
      <c r="I57" s="461">
        <f>SUMIF(D$591:$D$624,$G57,$E$591:$E$624)</f>
        <v>0</v>
      </c>
      <c r="J57" s="461">
        <f>SUMIF(D$538:$D$590,$G57,$E$538:$E$590)</f>
        <v>0</v>
      </c>
      <c r="K57" s="461">
        <f>SUMIF(D$493:$D$536,$G57,$E$493:$E$536)</f>
        <v>0</v>
      </c>
      <c r="L57" s="461">
        <f>SUMIF($D$455:D$491,$G57,$E$455:$E$491)</f>
        <v>0</v>
      </c>
      <c r="M57" s="432">
        <f ca="1">SUMIF($D$415:E$455,$G57,$E$415:$E$455)</f>
        <v>200</v>
      </c>
      <c r="N57" s="432">
        <f ca="1">SUMIF($D$375:F$413,$G57,$E$375:$E$413)</f>
        <v>0</v>
      </c>
      <c r="O57" s="432">
        <f ca="1">SUMIF($D$348:G$374,$G57,$E$348:$E$374)</f>
        <v>0</v>
      </c>
      <c r="P57" s="432">
        <f ca="1">SUMIF($D$312:H$346,$G57,$E$312:$E$346)</f>
        <v>40</v>
      </c>
      <c r="Q57" s="432">
        <f ca="1">SUMIF($D$251:H$308,$G57,$E$251:$E$308)</f>
        <v>30</v>
      </c>
      <c r="R57" s="432">
        <f ca="1">SUMIF($D$190:G$249,$G57,$E$190:$E$249)</f>
        <v>0</v>
      </c>
      <c r="S57" s="432">
        <f ca="1">SUMIF($D$143:G$188,$G57,$E$143:$E$188)</f>
        <v>20</v>
      </c>
      <c r="T57" s="432">
        <f ca="1">SUMIF($D$95:G$141,$G57,$E$95:$E$141)</f>
        <v>0</v>
      </c>
      <c r="U57" s="432">
        <f t="shared" ca="1" si="40"/>
        <v>290</v>
      </c>
      <c r="V57" s="460">
        <f t="shared" ca="1" si="41"/>
        <v>0</v>
      </c>
      <c r="W57" s="434">
        <f t="shared" ca="1" si="42"/>
        <v>290</v>
      </c>
      <c r="X57" s="460">
        <f t="shared" ca="1" si="43"/>
        <v>3.7825345250838771E-3</v>
      </c>
      <c r="AB57" s="470">
        <v>43027</v>
      </c>
      <c r="AC57" s="426" t="s">
        <v>1854</v>
      </c>
      <c r="AD57" s="426" t="s">
        <v>1855</v>
      </c>
      <c r="AE57" s="478" t="s">
        <v>1856</v>
      </c>
      <c r="AF57" s="476">
        <v>150</v>
      </c>
      <c r="AG57" s="474" t="s">
        <v>1775</v>
      </c>
    </row>
    <row r="58" spans="1:33" hidden="1" x14ac:dyDescent="0.35">
      <c r="G58" s="426" t="s">
        <v>2297</v>
      </c>
      <c r="I58" s="432">
        <f>SUMIF(D$591:$D$624,$G58,$E$591:$E$624)</f>
        <v>0</v>
      </c>
      <c r="J58" s="432">
        <f>SUMIF(D$538:$D$590,$G58,$E$538:$E$590)</f>
        <v>500</v>
      </c>
      <c r="K58" s="432">
        <f>SUMIF(D$493:$D$536,$G58,$E$493:$E$536)</f>
        <v>1330</v>
      </c>
      <c r="L58" s="432">
        <f>SUMIF($D$455:D$491,$G58,$E$455:$E$491)</f>
        <v>364</v>
      </c>
      <c r="M58" s="432">
        <f ca="1">SUMIF($D$415:E$455,$G58,$E$415:$E$455)</f>
        <v>520</v>
      </c>
      <c r="N58" s="432">
        <f ca="1">SUMIF($D$375:F$413,$G58,$E$375:$E$413)</f>
        <v>415</v>
      </c>
      <c r="O58" s="432">
        <f ca="1">SUMIF($D$348:G$374,$G58,$E$348:$E$374)</f>
        <v>0</v>
      </c>
      <c r="P58" s="432">
        <f ca="1">SUMIF($D$312:H$346,$G58,$E$312:$E$346)</f>
        <v>215</v>
      </c>
      <c r="Q58" s="432">
        <f ca="1">SUMIF($D$251:H$308,$G58,$E$251:$E$308)</f>
        <v>297</v>
      </c>
      <c r="R58" s="432">
        <f ca="1">SUMIF($D$190:G$249,$G58,$E$190:$E$249)</f>
        <v>40</v>
      </c>
      <c r="S58" s="432">
        <f ca="1">SUMIF($D$143:G$188,$G58,$E$143:$E$188)</f>
        <v>146</v>
      </c>
      <c r="T58" s="432">
        <f ca="1">SUMIF($D$95:G$141,$G58,$E$95:$E$141)</f>
        <v>630</v>
      </c>
      <c r="U58" s="432">
        <f t="shared" ca="1" si="40"/>
        <v>4457</v>
      </c>
      <c r="V58" s="460">
        <f t="shared" ca="1" si="41"/>
        <v>0.14552913701221751</v>
      </c>
      <c r="W58" s="434">
        <f t="shared" ca="1" si="42"/>
        <v>4457</v>
      </c>
      <c r="X58" s="460">
        <f t="shared" ca="1" si="43"/>
        <v>5.8133642683789101E-2</v>
      </c>
      <c r="AB58" s="470">
        <v>43049</v>
      </c>
      <c r="AC58" s="45" t="s">
        <v>1857</v>
      </c>
      <c r="AD58" s="45" t="s">
        <v>1858</v>
      </c>
      <c r="AE58" s="48" t="s">
        <v>1859</v>
      </c>
      <c r="AF58" s="426">
        <v>200</v>
      </c>
      <c r="AG58" s="474" t="s">
        <v>1775</v>
      </c>
    </row>
    <row r="59" spans="1:33" ht="13.9" hidden="1" customHeight="1" x14ac:dyDescent="0.4">
      <c r="A59" s="480"/>
      <c r="E59" s="481">
        <f>SUM(E33:E57)</f>
        <v>4200</v>
      </c>
      <c r="G59" s="454"/>
      <c r="I59" s="444">
        <f t="shared" ref="I59:U59" si="44">SUM(I52:I58)</f>
        <v>3203.5</v>
      </c>
      <c r="J59" s="444">
        <f t="shared" si="44"/>
        <v>6685</v>
      </c>
      <c r="K59" s="444">
        <f t="shared" si="44"/>
        <v>6242.83</v>
      </c>
      <c r="L59" s="444">
        <f t="shared" si="44"/>
        <v>6063.17</v>
      </c>
      <c r="M59" s="444">
        <f t="shared" ca="1" si="44"/>
        <v>5851.71</v>
      </c>
      <c r="N59" s="444">
        <f t="shared" ca="1" si="44"/>
        <v>5479.93</v>
      </c>
      <c r="O59" s="444">
        <f t="shared" ca="1" si="44"/>
        <v>3603.81</v>
      </c>
      <c r="P59" s="444">
        <f t="shared" ca="1" si="44"/>
        <v>4658.8500000000004</v>
      </c>
      <c r="Q59" s="444">
        <f t="shared" ca="1" si="44"/>
        <v>10821.67</v>
      </c>
      <c r="R59" s="444">
        <f t="shared" ca="1" si="44"/>
        <v>9224.58</v>
      </c>
      <c r="S59" s="444">
        <f t="shared" ca="1" si="44"/>
        <v>10504.09</v>
      </c>
      <c r="T59" s="444">
        <f t="shared" ca="1" si="44"/>
        <v>4329.0300000000007</v>
      </c>
      <c r="U59" s="444">
        <f t="shared" ca="1" si="44"/>
        <v>76668.170000000013</v>
      </c>
      <c r="V59" s="454"/>
      <c r="W59" s="466">
        <f ca="1">SUM(W52:W58)</f>
        <v>76668.170000000013</v>
      </c>
      <c r="AB59" s="470">
        <v>43054</v>
      </c>
      <c r="AC59" s="426" t="s">
        <v>1862</v>
      </c>
      <c r="AD59" s="426" t="s">
        <v>1863</v>
      </c>
      <c r="AE59" s="48" t="s">
        <v>1864</v>
      </c>
      <c r="AF59" s="426">
        <v>200</v>
      </c>
      <c r="AG59" s="474" t="s">
        <v>1775</v>
      </c>
    </row>
    <row r="60" spans="1:33" ht="13.5" hidden="1" customHeight="1" x14ac:dyDescent="0.35">
      <c r="A60" s="480"/>
      <c r="G60" s="454"/>
      <c r="I60" s="434">
        <f t="shared" ref="I60:Q60" si="45">I59-I8</f>
        <v>0</v>
      </c>
      <c r="J60" s="434">
        <f t="shared" si="45"/>
        <v>0</v>
      </c>
      <c r="K60" s="434">
        <f t="shared" si="45"/>
        <v>0</v>
      </c>
      <c r="L60" s="434">
        <f t="shared" si="45"/>
        <v>0</v>
      </c>
      <c r="M60" s="434">
        <f t="shared" ca="1" si="45"/>
        <v>0</v>
      </c>
      <c r="N60" s="434">
        <f t="shared" ca="1" si="45"/>
        <v>0</v>
      </c>
      <c r="O60" s="434">
        <f t="shared" ca="1" si="45"/>
        <v>0</v>
      </c>
      <c r="P60" s="434">
        <f t="shared" ca="1" si="45"/>
        <v>0</v>
      </c>
      <c r="Q60" s="434">
        <f t="shared" ca="1" si="45"/>
        <v>0</v>
      </c>
      <c r="R60" s="434"/>
      <c r="S60" s="434"/>
      <c r="T60" s="434"/>
      <c r="U60" s="434"/>
      <c r="V60" s="454"/>
      <c r="AB60" s="470">
        <v>43057</v>
      </c>
      <c r="AC60" s="45" t="s">
        <v>1865</v>
      </c>
      <c r="AD60" s="45" t="s">
        <v>1866</v>
      </c>
      <c r="AE60" s="48" t="s">
        <v>1867</v>
      </c>
      <c r="AF60" s="426">
        <v>135</v>
      </c>
      <c r="AG60" s="45" t="s">
        <v>1141</v>
      </c>
    </row>
    <row r="61" spans="1:33" ht="13.15" hidden="1" customHeight="1" x14ac:dyDescent="0.4">
      <c r="G61" s="556" t="s">
        <v>168</v>
      </c>
      <c r="I61" s="454"/>
      <c r="J61" s="454"/>
      <c r="K61" s="454"/>
      <c r="L61" s="454"/>
      <c r="M61" s="454"/>
      <c r="N61" s="454"/>
      <c r="O61" s="454"/>
      <c r="P61" s="454"/>
      <c r="Q61" s="454"/>
      <c r="R61" s="454"/>
      <c r="S61" s="454"/>
      <c r="T61" s="454"/>
      <c r="U61" s="454"/>
      <c r="V61" s="454"/>
      <c r="AB61" s="470">
        <v>43066</v>
      </c>
      <c r="AC61" s="426" t="s">
        <v>1868</v>
      </c>
      <c r="AD61" s="426" t="s">
        <v>1869</v>
      </c>
      <c r="AE61" s="48" t="s">
        <v>1870</v>
      </c>
      <c r="AF61" s="426">
        <v>200</v>
      </c>
      <c r="AG61" s="48" t="s">
        <v>1871</v>
      </c>
    </row>
    <row r="62" spans="1:33" ht="13.15" hidden="1" customHeight="1" x14ac:dyDescent="0.4">
      <c r="G62" s="454" t="s">
        <v>159</v>
      </c>
      <c r="I62" s="454">
        <f t="shared" ref="I62:T62" si="46">I52*3.5%</f>
        <v>34.965000000000003</v>
      </c>
      <c r="J62" s="454">
        <f t="shared" si="46"/>
        <v>73.325000000000003</v>
      </c>
      <c r="K62" s="454">
        <f t="shared" si="46"/>
        <v>49.665000000000006</v>
      </c>
      <c r="L62" s="454">
        <f t="shared" si="46"/>
        <v>75.929000000000016</v>
      </c>
      <c r="M62" s="454">
        <f t="shared" ca="1" si="46"/>
        <v>93.756250000000009</v>
      </c>
      <c r="N62" s="454">
        <f t="shared" ca="1" si="46"/>
        <v>43.778000000000006</v>
      </c>
      <c r="O62" s="454">
        <f t="shared" ca="1" si="46"/>
        <v>33.818750000000001</v>
      </c>
      <c r="P62" s="454">
        <f t="shared" ca="1" si="46"/>
        <v>23.975000000000001</v>
      </c>
      <c r="Q62" s="454">
        <f t="shared" ca="1" si="46"/>
        <v>146.03225000000003</v>
      </c>
      <c r="R62" s="454">
        <f t="shared" ca="1" si="46"/>
        <v>79.982000000000014</v>
      </c>
      <c r="S62" s="454">
        <f t="shared" ca="1" si="46"/>
        <v>118.91600000000001</v>
      </c>
      <c r="T62" s="454">
        <f t="shared" ca="1" si="46"/>
        <v>87.624250000000018</v>
      </c>
      <c r="U62" s="432">
        <f t="shared" ref="U62:U67" ca="1" si="47">SUM(I62:T62)</f>
        <v>861.76650000000018</v>
      </c>
      <c r="V62" s="454"/>
      <c r="W62" s="466">
        <f t="shared" ref="W62:W67" ca="1" si="48">U62</f>
        <v>861.76650000000018</v>
      </c>
      <c r="AB62" s="470">
        <v>43066</v>
      </c>
      <c r="AC62" s="426" t="s">
        <v>1872</v>
      </c>
      <c r="AD62" s="426" t="s">
        <v>1873</v>
      </c>
      <c r="AE62" s="48" t="s">
        <v>1874</v>
      </c>
      <c r="AF62" s="426">
        <v>150</v>
      </c>
      <c r="AG62" s="45" t="s">
        <v>1875</v>
      </c>
    </row>
    <row r="63" spans="1:33" ht="13.15" hidden="1" customHeight="1" x14ac:dyDescent="0.4">
      <c r="G63" s="454" t="s">
        <v>2442</v>
      </c>
      <c r="I63" s="454">
        <f t="shared" ref="I63:T63" si="49">I53*3.5%</f>
        <v>18.900000000000002</v>
      </c>
      <c r="J63" s="454">
        <f t="shared" si="49"/>
        <v>32.830000000000005</v>
      </c>
      <c r="K63" s="454">
        <f t="shared" si="49"/>
        <v>23.415000000000003</v>
      </c>
      <c r="L63" s="454">
        <f t="shared" si="49"/>
        <v>8.6800000000000015</v>
      </c>
      <c r="M63" s="454">
        <f t="shared" ca="1" si="49"/>
        <v>26.6</v>
      </c>
      <c r="N63" s="454">
        <f t="shared" ca="1" si="49"/>
        <v>13.090000000000002</v>
      </c>
      <c r="O63" s="454">
        <f t="shared" ca="1" si="49"/>
        <v>1.09935</v>
      </c>
      <c r="P63" s="454">
        <f t="shared" ca="1" si="49"/>
        <v>13.4239</v>
      </c>
      <c r="Q63" s="454">
        <f t="shared" ca="1" si="49"/>
        <v>16.846900000000002</v>
      </c>
      <c r="R63" s="454">
        <f t="shared" ca="1" si="49"/>
        <v>32.844000000000001</v>
      </c>
      <c r="S63" s="454">
        <f t="shared" ca="1" si="49"/>
        <v>8.5046500000000016</v>
      </c>
      <c r="T63" s="454">
        <f t="shared" ca="1" si="49"/>
        <v>5.6000000000000005</v>
      </c>
      <c r="U63" s="432">
        <f t="shared" ca="1" si="47"/>
        <v>201.8338</v>
      </c>
      <c r="V63" s="454"/>
      <c r="W63" s="466">
        <f t="shared" ca="1" si="48"/>
        <v>201.8338</v>
      </c>
      <c r="AB63" s="470">
        <v>43066</v>
      </c>
      <c r="AC63" s="426" t="s">
        <v>1876</v>
      </c>
      <c r="AD63" s="45" t="s">
        <v>1877</v>
      </c>
      <c r="AE63" s="48" t="s">
        <v>1878</v>
      </c>
      <c r="AF63" s="426">
        <v>200</v>
      </c>
      <c r="AG63" s="474" t="s">
        <v>1775</v>
      </c>
    </row>
    <row r="64" spans="1:33" ht="13.15" hidden="1" customHeight="1" x14ac:dyDescent="0.4">
      <c r="G64" s="454" t="s">
        <v>2297</v>
      </c>
      <c r="I64" s="454">
        <f t="shared" ref="I64:T64" si="50">I58*3.5%</f>
        <v>0</v>
      </c>
      <c r="J64" s="454">
        <f t="shared" si="50"/>
        <v>17.5</v>
      </c>
      <c r="K64" s="454">
        <f t="shared" si="50"/>
        <v>46.550000000000004</v>
      </c>
      <c r="L64" s="454">
        <f t="shared" si="50"/>
        <v>12.740000000000002</v>
      </c>
      <c r="M64" s="454">
        <f t="shared" ca="1" si="50"/>
        <v>18.200000000000003</v>
      </c>
      <c r="N64" s="454">
        <f t="shared" ca="1" si="50"/>
        <v>14.525000000000002</v>
      </c>
      <c r="O64" s="454">
        <f t="shared" ca="1" si="50"/>
        <v>0</v>
      </c>
      <c r="P64" s="454">
        <f t="shared" ca="1" si="50"/>
        <v>7.5250000000000004</v>
      </c>
      <c r="Q64" s="454">
        <f t="shared" ca="1" si="50"/>
        <v>10.395000000000001</v>
      </c>
      <c r="R64" s="454">
        <f t="shared" ca="1" si="50"/>
        <v>1.4000000000000001</v>
      </c>
      <c r="S64" s="454">
        <f t="shared" ca="1" si="50"/>
        <v>5.1100000000000003</v>
      </c>
      <c r="T64" s="454">
        <f t="shared" ca="1" si="50"/>
        <v>22.05</v>
      </c>
      <c r="U64" s="432">
        <f t="shared" ca="1" si="47"/>
        <v>155.99500000000006</v>
      </c>
      <c r="V64" s="454"/>
      <c r="W64" s="466">
        <f t="shared" ca="1" si="48"/>
        <v>155.99500000000006</v>
      </c>
      <c r="AB64" s="470">
        <v>43068</v>
      </c>
      <c r="AC64" s="426" t="s">
        <v>1879</v>
      </c>
      <c r="AD64" s="426" t="s">
        <v>1880</v>
      </c>
      <c r="AE64" s="48" t="s">
        <v>1881</v>
      </c>
      <c r="AF64" s="426">
        <v>200</v>
      </c>
      <c r="AG64" s="45" t="s">
        <v>1775</v>
      </c>
    </row>
    <row r="65" spans="7:33" ht="13.15" hidden="1" customHeight="1" x14ac:dyDescent="0.4">
      <c r="G65" s="444" t="s">
        <v>171</v>
      </c>
      <c r="I65" s="444">
        <f t="shared" ref="I65:T65" si="51">SUM(I61:I64)</f>
        <v>53.865000000000009</v>
      </c>
      <c r="J65" s="444">
        <f t="shared" si="51"/>
        <v>123.655</v>
      </c>
      <c r="K65" s="444">
        <f t="shared" si="51"/>
        <v>119.63000000000002</v>
      </c>
      <c r="L65" s="444">
        <f t="shared" si="51"/>
        <v>97.349000000000018</v>
      </c>
      <c r="M65" s="444">
        <f t="shared" ca="1" si="51"/>
        <v>138.55625000000003</v>
      </c>
      <c r="N65" s="444">
        <f t="shared" ca="1" si="51"/>
        <v>71.393000000000015</v>
      </c>
      <c r="O65" s="444">
        <f t="shared" ca="1" si="51"/>
        <v>34.918100000000003</v>
      </c>
      <c r="P65" s="444">
        <f t="shared" ca="1" si="51"/>
        <v>44.923899999999996</v>
      </c>
      <c r="Q65" s="444">
        <f t="shared" ca="1" si="51"/>
        <v>173.27415000000005</v>
      </c>
      <c r="R65" s="444">
        <f t="shared" ca="1" si="51"/>
        <v>114.22600000000003</v>
      </c>
      <c r="S65" s="444">
        <f t="shared" ca="1" si="51"/>
        <v>132.53065000000001</v>
      </c>
      <c r="T65" s="444">
        <f t="shared" ca="1" si="51"/>
        <v>115.27425000000001</v>
      </c>
      <c r="U65" s="432">
        <f t="shared" ca="1" si="47"/>
        <v>1219.5953000000002</v>
      </c>
      <c r="V65" s="454"/>
      <c r="W65" s="466">
        <f t="shared" ca="1" si="48"/>
        <v>1219.5953000000002</v>
      </c>
      <c r="AB65" s="548">
        <v>43069</v>
      </c>
      <c r="AC65" s="426" t="s">
        <v>1882</v>
      </c>
      <c r="AD65" s="426" t="s">
        <v>1883</v>
      </c>
      <c r="AE65" s="48" t="s">
        <v>1884</v>
      </c>
      <c r="AF65" s="426">
        <v>200</v>
      </c>
      <c r="AG65" s="45" t="s">
        <v>1775</v>
      </c>
    </row>
    <row r="66" spans="7:33" ht="13.15" hidden="1" customHeight="1" x14ac:dyDescent="0.4">
      <c r="G66" s="454"/>
      <c r="I66" s="454"/>
      <c r="J66" s="454"/>
      <c r="K66" s="454"/>
      <c r="L66" s="454"/>
      <c r="M66" s="454"/>
      <c r="N66" s="454"/>
      <c r="O66" s="454"/>
      <c r="P66" s="454"/>
      <c r="Q66" s="454"/>
      <c r="R66" s="454"/>
      <c r="S66" s="454"/>
      <c r="T66" s="454"/>
      <c r="U66" s="432">
        <f t="shared" si="47"/>
        <v>0</v>
      </c>
      <c r="V66" s="454"/>
      <c r="W66" s="466">
        <f t="shared" si="48"/>
        <v>0</v>
      </c>
      <c r="AB66" s="470">
        <v>43081</v>
      </c>
      <c r="AC66" s="426" t="s">
        <v>676</v>
      </c>
      <c r="AD66" s="45" t="s">
        <v>1885</v>
      </c>
      <c r="AE66" s="48" t="s">
        <v>1886</v>
      </c>
      <c r="AF66" s="426">
        <v>200</v>
      </c>
      <c r="AG66" s="49" t="s">
        <v>1267</v>
      </c>
    </row>
    <row r="67" spans="7:33" ht="13.15" hidden="1" customHeight="1" x14ac:dyDescent="0.4">
      <c r="G67" s="444" t="s">
        <v>164</v>
      </c>
      <c r="I67" s="444">
        <f t="shared" ref="I67:T67" si="52">I59-I65</f>
        <v>3149.6350000000002</v>
      </c>
      <c r="J67" s="444">
        <f t="shared" si="52"/>
        <v>6561.3450000000003</v>
      </c>
      <c r="K67" s="444">
        <f t="shared" si="52"/>
        <v>6123.2</v>
      </c>
      <c r="L67" s="444">
        <f t="shared" si="52"/>
        <v>5965.8209999999999</v>
      </c>
      <c r="M67" s="444">
        <f t="shared" ca="1" si="52"/>
        <v>5713.1537500000004</v>
      </c>
      <c r="N67" s="444">
        <f t="shared" ca="1" si="52"/>
        <v>5408.5370000000003</v>
      </c>
      <c r="O67" s="444">
        <f t="shared" ca="1" si="52"/>
        <v>3568.8919000000001</v>
      </c>
      <c r="P67" s="444">
        <f t="shared" ca="1" si="52"/>
        <v>4613.9261000000006</v>
      </c>
      <c r="Q67" s="444">
        <f t="shared" ca="1" si="52"/>
        <v>10648.395850000001</v>
      </c>
      <c r="R67" s="444">
        <f t="shared" ca="1" si="52"/>
        <v>9110.3539999999994</v>
      </c>
      <c r="S67" s="444">
        <f t="shared" ca="1" si="52"/>
        <v>10371.55935</v>
      </c>
      <c r="T67" s="444">
        <f t="shared" ca="1" si="52"/>
        <v>4213.7557500000003</v>
      </c>
      <c r="U67" s="554">
        <f t="shared" ca="1" si="47"/>
        <v>75448.574699999997</v>
      </c>
      <c r="V67" s="454"/>
      <c r="W67" s="466">
        <f t="shared" ca="1" si="48"/>
        <v>75448.574699999997</v>
      </c>
      <c r="AB67" s="470">
        <v>43090</v>
      </c>
      <c r="AC67" s="45" t="s">
        <v>1887</v>
      </c>
      <c r="AD67" s="45" t="s">
        <v>1888</v>
      </c>
      <c r="AE67" s="48" t="s">
        <v>1889</v>
      </c>
      <c r="AF67" s="426">
        <v>50</v>
      </c>
      <c r="AG67" s="49" t="s">
        <v>1141</v>
      </c>
    </row>
    <row r="68" spans="7:33" hidden="1" x14ac:dyDescent="0.35">
      <c r="G68" s="454"/>
      <c r="I68" s="454"/>
      <c r="J68" s="454"/>
      <c r="K68" s="454"/>
      <c r="L68" s="454"/>
      <c r="M68" s="454"/>
      <c r="N68" s="454"/>
      <c r="O68" s="454"/>
      <c r="P68" s="454"/>
      <c r="Q68" s="454"/>
      <c r="R68" s="454"/>
      <c r="S68" s="454"/>
      <c r="T68" s="454"/>
      <c r="U68" s="454"/>
      <c r="V68" s="454"/>
      <c r="AB68" s="470">
        <v>42788</v>
      </c>
      <c r="AC68" s="45" t="s">
        <v>1681</v>
      </c>
      <c r="AD68" s="45" t="s">
        <v>1890</v>
      </c>
      <c r="AE68" s="48" t="s">
        <v>1891</v>
      </c>
      <c r="AF68" s="426">
        <v>200</v>
      </c>
      <c r="AG68" s="49" t="s">
        <v>496</v>
      </c>
    </row>
    <row r="69" spans="7:33" hidden="1" x14ac:dyDescent="0.35">
      <c r="I69" s="454"/>
      <c r="J69" s="454"/>
      <c r="K69" s="454"/>
      <c r="L69" s="454"/>
      <c r="M69" s="454"/>
      <c r="N69" s="454"/>
      <c r="O69" s="454"/>
      <c r="P69" s="454"/>
      <c r="Q69" s="454"/>
      <c r="R69" s="454"/>
      <c r="S69" s="454"/>
      <c r="T69" s="454"/>
      <c r="U69" s="454"/>
      <c r="V69" s="454"/>
      <c r="AB69" s="470"/>
      <c r="AD69" s="45"/>
      <c r="AE69" s="48"/>
      <c r="AG69" s="474"/>
    </row>
    <row r="70" spans="7:33" ht="13.15" hidden="1" customHeight="1" x14ac:dyDescent="0.4">
      <c r="G70" s="556" t="s">
        <v>173</v>
      </c>
      <c r="I70" s="423" t="s">
        <v>142</v>
      </c>
      <c r="J70" s="423" t="s">
        <v>143</v>
      </c>
      <c r="K70" s="423" t="s">
        <v>144</v>
      </c>
      <c r="L70" s="423" t="s">
        <v>145</v>
      </c>
      <c r="M70" s="423" t="s">
        <v>146</v>
      </c>
      <c r="N70" s="423" t="s">
        <v>147</v>
      </c>
      <c r="O70" s="423" t="s">
        <v>148</v>
      </c>
      <c r="P70" s="423" t="s">
        <v>149</v>
      </c>
      <c r="Q70" s="423" t="s">
        <v>150</v>
      </c>
      <c r="R70" s="423" t="s">
        <v>151</v>
      </c>
      <c r="S70" s="423" t="s">
        <v>152</v>
      </c>
      <c r="T70" s="423" t="s">
        <v>153</v>
      </c>
      <c r="U70" s="423" t="s">
        <v>19</v>
      </c>
      <c r="V70" s="423" t="s">
        <v>158</v>
      </c>
      <c r="W70" s="423" t="s">
        <v>3252</v>
      </c>
      <c r="X70" s="555" t="s">
        <v>22</v>
      </c>
      <c r="AB70" s="470"/>
      <c r="AD70" s="45"/>
      <c r="AE70" s="48"/>
      <c r="AG70" s="474"/>
    </row>
    <row r="71" spans="7:33" ht="13.15" hidden="1" customHeight="1" x14ac:dyDescent="0.4">
      <c r="G71" s="426" t="s">
        <v>174</v>
      </c>
      <c r="I71" s="432">
        <f t="shared" ref="I71:I77" si="53">SUMIF($G$592:$G$623,$G71,$E$592:$E$623)</f>
        <v>1590</v>
      </c>
      <c r="J71" s="432">
        <f t="shared" ref="J71:J77" si="54">SUMIF($G$538:$G$589,$G71,$E$538:$E$589)</f>
        <v>3635</v>
      </c>
      <c r="K71" s="432">
        <f t="shared" ref="K71:K77" si="55">SUMIF($G$493:$G$535,$G71,$E$493:$E$535)</f>
        <v>2033</v>
      </c>
      <c r="L71" s="432">
        <f t="shared" ref="L71:L77" si="56">SUMIF($G$456:$G$490,$G71,$E$456:$E$490)</f>
        <v>2429</v>
      </c>
      <c r="M71" s="432">
        <f t="shared" ref="M71:M77" si="57">SUMIF($G$415:$G$453,$G71,$E$415:$E$453)</f>
        <v>1737.5</v>
      </c>
      <c r="N71" s="432">
        <f t="shared" ref="N71:N77" si="58">SUMIF($G$376:$G$413,$G71,$E$376:$E$413)</f>
        <v>2903.8</v>
      </c>
      <c r="O71" s="432">
        <f t="shared" ref="O71:O77" si="59">SUMIF($G$349:$G$375,$G71,$E$349:$E$375)</f>
        <v>1026.25</v>
      </c>
      <c r="P71" s="432">
        <f t="shared" ref="P71:P77" si="60">SUMIF($G$312:$G$346,$G71,$E$312:$E$346)</f>
        <v>2620</v>
      </c>
      <c r="Q71" s="432">
        <f t="shared" ref="Q71:Q77" si="61">SUMIF($G$251:$G$310,$G71,$E$251:$E$310)</f>
        <v>4543</v>
      </c>
      <c r="R71" s="432">
        <f t="shared" ref="R71:R77" si="62">SUMIF($G$190:$G$249,$G71,$E$190:$E$249)</f>
        <v>519.25</v>
      </c>
      <c r="S71" s="432">
        <f t="shared" ref="S71:S77" si="63">SUMIF($G$143:$G$188,$G71,$E$143:$E$188)</f>
        <v>2856.5</v>
      </c>
      <c r="T71" s="432">
        <f t="shared" ref="T71:T77" si="64">SUMIF($G$95:$G$141,$G71,$E$95:$E$141)</f>
        <v>1919.55</v>
      </c>
      <c r="U71" s="432">
        <f t="shared" ref="U71:U79" si="65">SUM(I71:T71)</f>
        <v>27812.85</v>
      </c>
      <c r="V71" s="460">
        <f t="shared" ref="V71:V77" si="66">T71/$T$78</f>
        <v>0.44341342055841609</v>
      </c>
      <c r="W71" s="466">
        <f t="shared" ref="W71:W78" si="67">U71</f>
        <v>27812.85</v>
      </c>
      <c r="X71" s="475">
        <f t="shared" ref="X71:X77" si="68">W71/$W$78</f>
        <v>0.36276919091716942</v>
      </c>
      <c r="AB71" s="470"/>
      <c r="AD71" s="45"/>
      <c r="AE71" s="48"/>
      <c r="AF71" s="479">
        <f>SUM(AF37:AF69)</f>
        <v>5526</v>
      </c>
      <c r="AG71" s="474"/>
    </row>
    <row r="72" spans="7:33" ht="13.15" hidden="1" customHeight="1" x14ac:dyDescent="0.4">
      <c r="G72" s="426" t="s">
        <v>175</v>
      </c>
      <c r="I72" s="432">
        <f t="shared" si="53"/>
        <v>1482.5</v>
      </c>
      <c r="J72" s="432">
        <f t="shared" si="54"/>
        <v>2211</v>
      </c>
      <c r="K72" s="432">
        <f t="shared" si="55"/>
        <v>3505.68</v>
      </c>
      <c r="L72" s="432">
        <f t="shared" si="56"/>
        <v>2623.59</v>
      </c>
      <c r="M72" s="432">
        <f t="shared" si="57"/>
        <v>3837.21</v>
      </c>
      <c r="N72" s="432">
        <f t="shared" si="58"/>
        <v>1915.1299999999999</v>
      </c>
      <c r="O72" s="432">
        <f t="shared" si="59"/>
        <v>1645.65</v>
      </c>
      <c r="P72" s="432">
        <f t="shared" si="60"/>
        <v>1771.31</v>
      </c>
      <c r="Q72" s="432">
        <f t="shared" si="61"/>
        <v>4444.18</v>
      </c>
      <c r="R72" s="432">
        <f t="shared" si="62"/>
        <v>3802.88</v>
      </c>
      <c r="S72" s="432">
        <f t="shared" si="63"/>
        <v>6023.6</v>
      </c>
      <c r="T72" s="432">
        <f t="shared" si="64"/>
        <v>2142.48</v>
      </c>
      <c r="U72" s="432">
        <f t="shared" si="65"/>
        <v>35405.210000000006</v>
      </c>
      <c r="V72" s="460">
        <f t="shared" si="66"/>
        <v>0.49490994518402509</v>
      </c>
      <c r="W72" s="466">
        <f t="shared" si="67"/>
        <v>35405.210000000006</v>
      </c>
      <c r="X72" s="475">
        <f t="shared" si="68"/>
        <v>0.46179803169946548</v>
      </c>
      <c r="AB72" s="470"/>
      <c r="AD72" s="45"/>
      <c r="AE72" s="48"/>
      <c r="AG72" s="474"/>
    </row>
    <row r="73" spans="7:33" ht="13.15" hidden="1" customHeight="1" x14ac:dyDescent="0.4">
      <c r="G73" s="426" t="s">
        <v>1311</v>
      </c>
      <c r="I73" s="432">
        <f t="shared" si="53"/>
        <v>0</v>
      </c>
      <c r="J73" s="432">
        <f t="shared" si="54"/>
        <v>465</v>
      </c>
      <c r="K73" s="432">
        <f t="shared" si="55"/>
        <v>235</v>
      </c>
      <c r="L73" s="432">
        <f t="shared" si="56"/>
        <v>580</v>
      </c>
      <c r="M73" s="432">
        <f t="shared" si="57"/>
        <v>35</v>
      </c>
      <c r="N73" s="432">
        <f t="shared" si="58"/>
        <v>465</v>
      </c>
      <c r="O73" s="432">
        <f t="shared" si="59"/>
        <v>545</v>
      </c>
      <c r="P73" s="432">
        <f t="shared" si="60"/>
        <v>200</v>
      </c>
      <c r="Q73" s="432">
        <f t="shared" si="61"/>
        <v>513</v>
      </c>
      <c r="R73" s="432">
        <f t="shared" si="62"/>
        <v>3621</v>
      </c>
      <c r="S73" s="432">
        <f t="shared" si="63"/>
        <v>1545</v>
      </c>
      <c r="T73" s="432">
        <f t="shared" si="64"/>
        <v>195</v>
      </c>
      <c r="U73" s="432">
        <f t="shared" si="65"/>
        <v>8399</v>
      </c>
      <c r="V73" s="460">
        <f t="shared" si="66"/>
        <v>4.5044732884733998E-2</v>
      </c>
      <c r="W73" s="466">
        <f t="shared" si="67"/>
        <v>8399</v>
      </c>
      <c r="X73" s="475">
        <f t="shared" si="68"/>
        <v>0.10955002577992927</v>
      </c>
      <c r="AB73" s="470"/>
      <c r="AD73" s="45"/>
      <c r="AE73" s="48"/>
      <c r="AG73" s="474"/>
    </row>
    <row r="74" spans="7:33" ht="13.15" hidden="1" customHeight="1" x14ac:dyDescent="0.4">
      <c r="G74" s="426" t="s">
        <v>163</v>
      </c>
      <c r="I74" s="432">
        <f t="shared" si="53"/>
        <v>72</v>
      </c>
      <c r="J74" s="432">
        <f t="shared" si="54"/>
        <v>24</v>
      </c>
      <c r="K74" s="432">
        <f t="shared" si="55"/>
        <v>38.910000000000004</v>
      </c>
      <c r="L74" s="432">
        <f t="shared" si="56"/>
        <v>51</v>
      </c>
      <c r="M74" s="432">
        <f t="shared" si="57"/>
        <v>52</v>
      </c>
      <c r="N74" s="432">
        <f t="shared" si="58"/>
        <v>78</v>
      </c>
      <c r="O74" s="432">
        <f t="shared" si="59"/>
        <v>52</v>
      </c>
      <c r="P74" s="432">
        <f t="shared" si="60"/>
        <v>39</v>
      </c>
      <c r="Q74" s="432">
        <f t="shared" si="61"/>
        <v>78</v>
      </c>
      <c r="R74" s="432">
        <f t="shared" si="62"/>
        <v>65</v>
      </c>
      <c r="S74" s="432">
        <f t="shared" si="63"/>
        <v>36</v>
      </c>
      <c r="T74" s="432">
        <f t="shared" si="64"/>
        <v>13</v>
      </c>
      <c r="U74" s="432">
        <f t="shared" si="65"/>
        <v>598.91</v>
      </c>
      <c r="V74" s="460">
        <f t="shared" si="66"/>
        <v>3.0029821923155996E-3</v>
      </c>
      <c r="W74" s="466">
        <f t="shared" si="67"/>
        <v>598.91</v>
      </c>
      <c r="X74" s="475">
        <f t="shared" si="68"/>
        <v>7.811716387648225E-3</v>
      </c>
      <c r="AB74" s="470"/>
      <c r="AD74" s="45"/>
      <c r="AE74" s="48"/>
      <c r="AG74" s="474"/>
    </row>
    <row r="75" spans="7:33" ht="13.15" hidden="1" customHeight="1" x14ac:dyDescent="0.4">
      <c r="G75" s="426" t="s">
        <v>177</v>
      </c>
      <c r="I75" s="432">
        <f t="shared" si="53"/>
        <v>59</v>
      </c>
      <c r="J75" s="432">
        <f t="shared" si="54"/>
        <v>350</v>
      </c>
      <c r="K75" s="432">
        <f t="shared" si="55"/>
        <v>177</v>
      </c>
      <c r="L75" s="432">
        <f t="shared" si="56"/>
        <v>124.4</v>
      </c>
      <c r="M75" s="432">
        <f t="shared" si="57"/>
        <v>190</v>
      </c>
      <c r="N75" s="432">
        <f t="shared" si="58"/>
        <v>118</v>
      </c>
      <c r="O75" s="432">
        <f t="shared" si="59"/>
        <v>240</v>
      </c>
      <c r="P75" s="432">
        <f t="shared" si="60"/>
        <v>20</v>
      </c>
      <c r="Q75" s="432">
        <f t="shared" si="61"/>
        <v>1167.1500000000001</v>
      </c>
      <c r="R75" s="432">
        <f t="shared" si="62"/>
        <v>1014.85</v>
      </c>
      <c r="S75" s="432">
        <f t="shared" si="63"/>
        <v>0</v>
      </c>
      <c r="T75" s="432">
        <f t="shared" si="64"/>
        <v>59</v>
      </c>
      <c r="U75" s="432">
        <f t="shared" si="65"/>
        <v>3519.4</v>
      </c>
      <c r="V75" s="460">
        <f t="shared" si="66"/>
        <v>1.362891918050926E-2</v>
      </c>
      <c r="W75" s="466">
        <f t="shared" si="67"/>
        <v>3519.4</v>
      </c>
      <c r="X75" s="475">
        <f t="shared" si="68"/>
        <v>4.5904317267517931E-2</v>
      </c>
      <c r="AB75" s="470"/>
      <c r="AD75" s="45"/>
      <c r="AE75" s="48"/>
      <c r="AG75" s="474"/>
    </row>
    <row r="76" spans="7:33" ht="13.15" hidden="1" customHeight="1" x14ac:dyDescent="0.4">
      <c r="G76" s="426" t="s">
        <v>3222</v>
      </c>
      <c r="I76" s="432">
        <f t="shared" si="53"/>
        <v>0</v>
      </c>
      <c r="J76" s="432">
        <f t="shared" si="54"/>
        <v>0</v>
      </c>
      <c r="K76" s="432">
        <f t="shared" si="55"/>
        <v>0</v>
      </c>
      <c r="L76" s="432">
        <f t="shared" si="56"/>
        <v>255.18</v>
      </c>
      <c r="M76" s="432">
        <f t="shared" si="57"/>
        <v>0</v>
      </c>
      <c r="N76" s="432">
        <f t="shared" si="58"/>
        <v>0</v>
      </c>
      <c r="O76" s="432">
        <f t="shared" si="59"/>
        <v>31.41</v>
      </c>
      <c r="P76" s="432">
        <f t="shared" si="60"/>
        <v>8.5399999999999991</v>
      </c>
      <c r="Q76" s="432">
        <f t="shared" si="61"/>
        <v>46.34</v>
      </c>
      <c r="R76" s="432">
        <f t="shared" si="62"/>
        <v>0</v>
      </c>
      <c r="S76" s="432">
        <f t="shared" si="63"/>
        <v>42.99</v>
      </c>
      <c r="T76" s="432">
        <f t="shared" si="64"/>
        <v>0</v>
      </c>
      <c r="U76" s="432">
        <f t="shared" si="65"/>
        <v>384.46000000000004</v>
      </c>
      <c r="V76" s="460">
        <f t="shared" si="66"/>
        <v>0</v>
      </c>
      <c r="W76" s="466">
        <f t="shared" si="67"/>
        <v>384.46000000000004</v>
      </c>
      <c r="X76" s="475">
        <f t="shared" si="68"/>
        <v>5.0145973224611992E-3</v>
      </c>
      <c r="AB76" s="470"/>
      <c r="AD76" s="45"/>
      <c r="AE76" s="48"/>
      <c r="AG76" s="474"/>
    </row>
    <row r="77" spans="7:33" ht="13.15" hidden="1" customHeight="1" x14ac:dyDescent="0.4">
      <c r="G77" s="426" t="s">
        <v>181</v>
      </c>
      <c r="I77" s="432">
        <f t="shared" si="53"/>
        <v>0</v>
      </c>
      <c r="J77" s="432">
        <f t="shared" si="54"/>
        <v>0</v>
      </c>
      <c r="K77" s="432">
        <f t="shared" si="55"/>
        <v>253.24</v>
      </c>
      <c r="L77" s="432">
        <f t="shared" si="56"/>
        <v>0</v>
      </c>
      <c r="M77" s="432">
        <f t="shared" si="57"/>
        <v>0</v>
      </c>
      <c r="N77" s="432">
        <f t="shared" si="58"/>
        <v>0</v>
      </c>
      <c r="O77" s="432">
        <f t="shared" si="59"/>
        <v>63.5</v>
      </c>
      <c r="P77" s="432">
        <f t="shared" si="60"/>
        <v>0</v>
      </c>
      <c r="Q77" s="432">
        <f t="shared" si="61"/>
        <v>30</v>
      </c>
      <c r="R77" s="432">
        <f t="shared" si="62"/>
        <v>201.6</v>
      </c>
      <c r="S77" s="432">
        <f t="shared" si="63"/>
        <v>0</v>
      </c>
      <c r="T77" s="432">
        <f t="shared" si="64"/>
        <v>0</v>
      </c>
      <c r="U77" s="432">
        <f t="shared" si="65"/>
        <v>548.34</v>
      </c>
      <c r="V77" s="460">
        <f t="shared" si="66"/>
        <v>0</v>
      </c>
      <c r="W77" s="466">
        <f t="shared" si="67"/>
        <v>548.34</v>
      </c>
      <c r="X77" s="475">
        <f t="shared" si="68"/>
        <v>7.152120625808599E-3</v>
      </c>
      <c r="AB77" s="470"/>
      <c r="AD77" s="45"/>
      <c r="AE77" s="48"/>
      <c r="AG77" s="474"/>
    </row>
    <row r="78" spans="7:33" ht="13.15" hidden="1" customHeight="1" x14ac:dyDescent="0.4">
      <c r="G78" s="454"/>
      <c r="I78" s="444">
        <f t="shared" ref="I78:T78" si="69">SUM(I71:I77)</f>
        <v>3203.5</v>
      </c>
      <c r="J78" s="444">
        <f t="shared" si="69"/>
        <v>6685</v>
      </c>
      <c r="K78" s="444">
        <f t="shared" si="69"/>
        <v>6242.83</v>
      </c>
      <c r="L78" s="444">
        <f t="shared" si="69"/>
        <v>6063.17</v>
      </c>
      <c r="M78" s="444">
        <f t="shared" si="69"/>
        <v>5851.71</v>
      </c>
      <c r="N78" s="444">
        <f t="shared" si="69"/>
        <v>5479.93</v>
      </c>
      <c r="O78" s="444">
        <f t="shared" si="69"/>
        <v>3603.81</v>
      </c>
      <c r="P78" s="444">
        <f t="shared" si="69"/>
        <v>4658.8499999999995</v>
      </c>
      <c r="Q78" s="444">
        <f t="shared" si="69"/>
        <v>10821.67</v>
      </c>
      <c r="R78" s="444">
        <f t="shared" si="69"/>
        <v>9224.58</v>
      </c>
      <c r="S78" s="444">
        <f t="shared" si="69"/>
        <v>10504.09</v>
      </c>
      <c r="T78" s="444">
        <f t="shared" si="69"/>
        <v>4329.03</v>
      </c>
      <c r="U78" s="554">
        <f t="shared" si="65"/>
        <v>76668.17</v>
      </c>
      <c r="V78" s="454"/>
      <c r="W78" s="466">
        <f t="shared" si="67"/>
        <v>76668.17</v>
      </c>
      <c r="AB78" s="470"/>
      <c r="AD78" s="45"/>
      <c r="AE78" s="48"/>
      <c r="AG78" s="474"/>
    </row>
    <row r="79" spans="7:33" x14ac:dyDescent="0.35">
      <c r="H79" s="454"/>
      <c r="I79" s="454">
        <f t="shared" ref="I79:T79" si="70">I59-I78</f>
        <v>0</v>
      </c>
      <c r="J79" s="454">
        <f t="shared" si="70"/>
        <v>0</v>
      </c>
      <c r="K79" s="454">
        <f t="shared" si="70"/>
        <v>0</v>
      </c>
      <c r="L79" s="454">
        <f t="shared" si="70"/>
        <v>0</v>
      </c>
      <c r="M79" s="454">
        <f t="shared" ca="1" si="70"/>
        <v>0</v>
      </c>
      <c r="N79" s="454">
        <f t="shared" ca="1" si="70"/>
        <v>0</v>
      </c>
      <c r="O79" s="454">
        <f t="shared" ca="1" si="70"/>
        <v>0</v>
      </c>
      <c r="P79" s="454">
        <f t="shared" ca="1" si="70"/>
        <v>0</v>
      </c>
      <c r="Q79" s="454">
        <f t="shared" ca="1" si="70"/>
        <v>0</v>
      </c>
      <c r="R79" s="454">
        <f t="shared" ca="1" si="70"/>
        <v>0</v>
      </c>
      <c r="S79" s="454">
        <f t="shared" ca="1" si="70"/>
        <v>0</v>
      </c>
      <c r="T79" s="454">
        <f t="shared" ca="1" si="70"/>
        <v>0</v>
      </c>
      <c r="U79" s="432">
        <f t="shared" ca="1" si="65"/>
        <v>0</v>
      </c>
      <c r="V79" s="454"/>
      <c r="AB79" s="470"/>
      <c r="AD79" s="45"/>
      <c r="AE79" s="48"/>
      <c r="AG79" s="474"/>
    </row>
    <row r="80" spans="7:33" ht="13.15" customHeight="1" x14ac:dyDescent="0.4">
      <c r="G80" s="556" t="s">
        <v>182</v>
      </c>
      <c r="I80" s="423" t="s">
        <v>142</v>
      </c>
      <c r="J80" s="423" t="s">
        <v>143</v>
      </c>
      <c r="K80" s="423" t="s">
        <v>144</v>
      </c>
      <c r="L80" s="423" t="s">
        <v>145</v>
      </c>
      <c r="M80" s="423" t="s">
        <v>146</v>
      </c>
      <c r="N80" s="423" t="s">
        <v>147</v>
      </c>
      <c r="O80" s="423" t="s">
        <v>148</v>
      </c>
      <c r="P80" s="423" t="s">
        <v>149</v>
      </c>
      <c r="Q80" s="423" t="s">
        <v>150</v>
      </c>
      <c r="R80" s="423" t="s">
        <v>151</v>
      </c>
      <c r="S80" s="423" t="s">
        <v>152</v>
      </c>
      <c r="T80" s="423" t="s">
        <v>153</v>
      </c>
      <c r="U80" s="423" t="s">
        <v>19</v>
      </c>
      <c r="V80" s="423" t="s">
        <v>158</v>
      </c>
      <c r="AB80" s="470"/>
      <c r="AD80" s="45"/>
      <c r="AE80" s="48"/>
      <c r="AG80" s="474"/>
    </row>
    <row r="81" spans="1:24" ht="13.15" customHeight="1" x14ac:dyDescent="0.4">
      <c r="G81" s="444" t="s">
        <v>183</v>
      </c>
      <c r="I81" s="454">
        <f t="shared" ref="I81:T81" si="71">SUM(I78-I72)</f>
        <v>1721</v>
      </c>
      <c r="J81" s="454">
        <f t="shared" si="71"/>
        <v>4474</v>
      </c>
      <c r="K81" s="454">
        <f t="shared" si="71"/>
        <v>2737.15</v>
      </c>
      <c r="L81" s="454">
        <f t="shared" si="71"/>
        <v>3439.58</v>
      </c>
      <c r="M81" s="454">
        <f t="shared" si="71"/>
        <v>2014.5</v>
      </c>
      <c r="N81" s="454">
        <f t="shared" si="71"/>
        <v>3564.8</v>
      </c>
      <c r="O81" s="454">
        <f t="shared" si="71"/>
        <v>1958.1599999999999</v>
      </c>
      <c r="P81" s="454">
        <f t="shared" si="71"/>
        <v>2887.5399999999995</v>
      </c>
      <c r="Q81" s="454">
        <f t="shared" si="71"/>
        <v>6377.49</v>
      </c>
      <c r="R81" s="454">
        <f t="shared" si="71"/>
        <v>5421.7</v>
      </c>
      <c r="S81" s="454">
        <f t="shared" si="71"/>
        <v>4480.49</v>
      </c>
      <c r="T81" s="454">
        <f t="shared" si="71"/>
        <v>2186.5499999999997</v>
      </c>
      <c r="U81" s="554">
        <f>SUM(I81:T81)</f>
        <v>41262.959999999999</v>
      </c>
      <c r="V81" s="475">
        <f>T81/$T$78</f>
        <v>0.50509005481597491</v>
      </c>
      <c r="W81" s="466">
        <f>U81</f>
        <v>41262.959999999999</v>
      </c>
      <c r="X81" s="475">
        <f>W81/$W$78</f>
        <v>0.53820196830053468</v>
      </c>
    </row>
    <row r="82" spans="1:24" ht="13.15" customHeight="1" x14ac:dyDescent="0.4">
      <c r="G82" s="444" t="s">
        <v>184</v>
      </c>
      <c r="I82" s="454">
        <f t="shared" ref="I82:T82" si="72">I72</f>
        <v>1482.5</v>
      </c>
      <c r="J82" s="454">
        <f t="shared" si="72"/>
        <v>2211</v>
      </c>
      <c r="K82" s="454">
        <f t="shared" si="72"/>
        <v>3505.68</v>
      </c>
      <c r="L82" s="454">
        <f t="shared" si="72"/>
        <v>2623.59</v>
      </c>
      <c r="M82" s="454">
        <f t="shared" si="72"/>
        <v>3837.21</v>
      </c>
      <c r="N82" s="454">
        <f t="shared" si="72"/>
        <v>1915.1299999999999</v>
      </c>
      <c r="O82" s="454">
        <f t="shared" si="72"/>
        <v>1645.65</v>
      </c>
      <c r="P82" s="454">
        <f t="shared" si="72"/>
        <v>1771.31</v>
      </c>
      <c r="Q82" s="454">
        <f t="shared" si="72"/>
        <v>4444.18</v>
      </c>
      <c r="R82" s="454">
        <f t="shared" si="72"/>
        <v>3802.88</v>
      </c>
      <c r="S82" s="454">
        <f t="shared" si="72"/>
        <v>6023.6</v>
      </c>
      <c r="T82" s="454">
        <f t="shared" si="72"/>
        <v>2142.48</v>
      </c>
      <c r="U82" s="562">
        <f>SUM(I82:T82)</f>
        <v>35405.210000000006</v>
      </c>
      <c r="V82" s="475">
        <f>T82/$T$78</f>
        <v>0.49490994518402509</v>
      </c>
      <c r="W82" s="466">
        <f>U82</f>
        <v>35405.210000000006</v>
      </c>
      <c r="X82" s="475">
        <f>W82/$W$78</f>
        <v>0.46179803169946548</v>
      </c>
    </row>
    <row r="83" spans="1:24" ht="13.15" customHeight="1" x14ac:dyDescent="0.4">
      <c r="G83" s="444"/>
      <c r="I83" s="563">
        <f t="shared" ref="I83:U83" si="73">I81+I82</f>
        <v>3203.5</v>
      </c>
      <c r="J83" s="563">
        <f t="shared" si="73"/>
        <v>6685</v>
      </c>
      <c r="K83" s="563">
        <f t="shared" si="73"/>
        <v>6242.83</v>
      </c>
      <c r="L83" s="563">
        <f t="shared" si="73"/>
        <v>6063.17</v>
      </c>
      <c r="M83" s="563">
        <f t="shared" si="73"/>
        <v>5851.71</v>
      </c>
      <c r="N83" s="563">
        <f t="shared" si="73"/>
        <v>5479.93</v>
      </c>
      <c r="O83" s="563">
        <f t="shared" si="73"/>
        <v>3603.81</v>
      </c>
      <c r="P83" s="563">
        <f t="shared" si="73"/>
        <v>4658.8499999999995</v>
      </c>
      <c r="Q83" s="563">
        <f t="shared" si="73"/>
        <v>10821.67</v>
      </c>
      <c r="R83" s="563">
        <f t="shared" si="73"/>
        <v>9224.58</v>
      </c>
      <c r="S83" s="563">
        <f t="shared" si="73"/>
        <v>10504.09</v>
      </c>
      <c r="T83" s="563">
        <f t="shared" si="73"/>
        <v>4329.03</v>
      </c>
      <c r="U83" s="563">
        <f t="shared" si="73"/>
        <v>76668.170000000013</v>
      </c>
      <c r="V83" s="564"/>
      <c r="W83" s="565"/>
      <c r="X83" s="475"/>
    </row>
    <row r="84" spans="1:24" x14ac:dyDescent="0.35">
      <c r="H84" s="454"/>
      <c r="I84" s="454"/>
      <c r="J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</row>
    <row r="85" spans="1:24" ht="13.15" customHeight="1" x14ac:dyDescent="0.4">
      <c r="G85" s="556" t="s">
        <v>185</v>
      </c>
      <c r="I85" s="423" t="s">
        <v>142</v>
      </c>
      <c r="J85" s="423" t="s">
        <v>143</v>
      </c>
      <c r="K85" s="423" t="s">
        <v>144</v>
      </c>
      <c r="L85" s="423" t="s">
        <v>145</v>
      </c>
      <c r="M85" s="423" t="s">
        <v>146</v>
      </c>
      <c r="N85" s="423" t="s">
        <v>147</v>
      </c>
      <c r="O85" s="423" t="s">
        <v>148</v>
      </c>
      <c r="P85" s="423" t="s">
        <v>149</v>
      </c>
      <c r="Q85" s="423" t="s">
        <v>150</v>
      </c>
      <c r="R85" s="423" t="s">
        <v>151</v>
      </c>
      <c r="S85" s="423" t="s">
        <v>152</v>
      </c>
      <c r="T85" s="423" t="s">
        <v>153</v>
      </c>
      <c r="U85" s="423" t="s">
        <v>19</v>
      </c>
      <c r="V85" s="423" t="s">
        <v>158</v>
      </c>
      <c r="W85" s="423"/>
    </row>
    <row r="86" spans="1:24" ht="13.15" customHeight="1" x14ac:dyDescent="0.4">
      <c r="G86" s="444" t="s">
        <v>183</v>
      </c>
      <c r="I86" s="454">
        <f>COUNTA(G592:G623)-I87</f>
        <v>24</v>
      </c>
      <c r="J86" s="454">
        <f>COUNTA(G538:G589)-J87</f>
        <v>24</v>
      </c>
      <c r="K86" s="454">
        <f>COUNTA(G493:G535)-K87</f>
        <v>21</v>
      </c>
      <c r="L86" s="454">
        <f>COUNTA(G456:G490)-L87</f>
        <v>23</v>
      </c>
      <c r="M86" s="454">
        <f>COUNTA(G415:G453)-M87</f>
        <v>27</v>
      </c>
      <c r="N86" s="454">
        <f>COUNTA(G376:G413)-N87</f>
        <v>22</v>
      </c>
      <c r="O86" s="454">
        <f>COUNTA(G349:G374)-O87</f>
        <v>19</v>
      </c>
      <c r="P86" s="454">
        <f>COUNTA(G315:G346)-P87</f>
        <v>20</v>
      </c>
      <c r="Q86" s="454">
        <f>COUNTA(G251:G308)-Q87</f>
        <v>46</v>
      </c>
      <c r="R86" s="454">
        <f>COUNTA(G190:G249)-R87</f>
        <v>42</v>
      </c>
      <c r="S86" s="454">
        <f>COUNTA(G143:G188)-S87</f>
        <v>35</v>
      </c>
      <c r="T86" s="454">
        <f>COUNTA(G95:G141)-T87</f>
        <v>21</v>
      </c>
      <c r="U86" s="554">
        <f>SUM(I86:T86)</f>
        <v>324</v>
      </c>
      <c r="V86" s="475">
        <f>U86/U88</f>
        <v>0.6506024096385542</v>
      </c>
      <c r="W86" s="466"/>
      <c r="X86" s="475"/>
    </row>
    <row r="87" spans="1:24" ht="13.15" customHeight="1" x14ac:dyDescent="0.4">
      <c r="G87" s="444" t="s">
        <v>184</v>
      </c>
      <c r="I87" s="454">
        <f>COUNTIF(G592:G623,"Existing")</f>
        <v>8</v>
      </c>
      <c r="J87" s="454">
        <f>COUNTIF(G538:G589,"Existing")</f>
        <v>28</v>
      </c>
      <c r="K87" s="454">
        <f>COUNTIF(G493:G535,"Existing")</f>
        <v>22</v>
      </c>
      <c r="L87" s="454">
        <f>COUNTIF(G456:G490,"Existing")</f>
        <v>12</v>
      </c>
      <c r="M87" s="454">
        <f>COUNTIF(G456:G490,"Existing")</f>
        <v>12</v>
      </c>
      <c r="N87" s="454">
        <f>COUNTIF(G376:G413,"Existing")</f>
        <v>16</v>
      </c>
      <c r="O87" s="454">
        <f>COUNTIF(G349:G374,"Existing")</f>
        <v>7</v>
      </c>
      <c r="P87" s="454">
        <f>COUNTIF(G315:G346,"Existing")</f>
        <v>12</v>
      </c>
      <c r="Q87" s="454">
        <f>COUNTIF(G251:G308,"Existing")</f>
        <v>12</v>
      </c>
      <c r="R87" s="454">
        <f>COUNTIF(G190:G249,"Existing")</f>
        <v>18</v>
      </c>
      <c r="S87" s="454">
        <f>COUNTIF(G143:G188,"Existing")</f>
        <v>11</v>
      </c>
      <c r="T87" s="454">
        <f>COUNTIF(G95:G141,"Existing")</f>
        <v>16</v>
      </c>
      <c r="U87" s="554">
        <f>SUM(I87:T87)</f>
        <v>174</v>
      </c>
      <c r="V87" s="475">
        <f>U87/$U$88</f>
        <v>0.3493975903614458</v>
      </c>
      <c r="W87" s="466"/>
      <c r="X87" s="475"/>
    </row>
    <row r="88" spans="1:24" ht="13.15" customHeight="1" x14ac:dyDescent="0.4">
      <c r="H88" s="454"/>
      <c r="I88" s="563">
        <f t="shared" ref="I88:U88" si="74">I86+I87</f>
        <v>32</v>
      </c>
      <c r="J88" s="563">
        <f t="shared" si="74"/>
        <v>52</v>
      </c>
      <c r="K88" s="563">
        <f t="shared" si="74"/>
        <v>43</v>
      </c>
      <c r="L88" s="563">
        <f t="shared" si="74"/>
        <v>35</v>
      </c>
      <c r="M88" s="563">
        <f t="shared" si="74"/>
        <v>39</v>
      </c>
      <c r="N88" s="563">
        <f t="shared" si="74"/>
        <v>38</v>
      </c>
      <c r="O88" s="563">
        <f t="shared" si="74"/>
        <v>26</v>
      </c>
      <c r="P88" s="563">
        <f t="shared" si="74"/>
        <v>32</v>
      </c>
      <c r="Q88" s="563">
        <f t="shared" si="74"/>
        <v>58</v>
      </c>
      <c r="R88" s="563">
        <f t="shared" si="74"/>
        <v>60</v>
      </c>
      <c r="S88" s="563">
        <f t="shared" si="74"/>
        <v>46</v>
      </c>
      <c r="T88" s="563">
        <f t="shared" si="74"/>
        <v>37</v>
      </c>
      <c r="U88" s="563">
        <f t="shared" si="74"/>
        <v>498</v>
      </c>
      <c r="V88" s="564"/>
      <c r="W88" s="565"/>
      <c r="X88" s="475"/>
    </row>
    <row r="89" spans="1:24" ht="13.15" customHeight="1" x14ac:dyDescent="0.4">
      <c r="H89" s="454"/>
      <c r="I89" s="561"/>
      <c r="J89" s="561"/>
      <c r="K89" s="561"/>
      <c r="L89" s="561"/>
      <c r="M89" s="561"/>
      <c r="N89" s="561"/>
      <c r="O89" s="561"/>
      <c r="P89" s="561"/>
      <c r="Q89" s="561"/>
      <c r="R89" s="561"/>
      <c r="S89" s="561"/>
      <c r="T89" s="561"/>
      <c r="U89" s="561"/>
      <c r="V89" s="475"/>
      <c r="W89" s="466"/>
      <c r="X89" s="475"/>
    </row>
    <row r="90" spans="1:24" ht="13.15" customHeight="1" x14ac:dyDescent="0.4">
      <c r="G90" s="556" t="s">
        <v>186</v>
      </c>
      <c r="I90" s="423" t="s">
        <v>142</v>
      </c>
      <c r="J90" s="423" t="s">
        <v>143</v>
      </c>
      <c r="K90" s="423" t="s">
        <v>144</v>
      </c>
      <c r="L90" s="423" t="s">
        <v>145</v>
      </c>
      <c r="M90" s="423" t="s">
        <v>146</v>
      </c>
      <c r="N90" s="423" t="s">
        <v>147</v>
      </c>
      <c r="O90" s="423" t="s">
        <v>148</v>
      </c>
      <c r="P90" s="423" t="s">
        <v>149</v>
      </c>
      <c r="Q90" s="423" t="s">
        <v>150</v>
      </c>
      <c r="R90" s="423" t="s">
        <v>151</v>
      </c>
      <c r="S90" s="423" t="s">
        <v>152</v>
      </c>
      <c r="T90" s="423" t="s">
        <v>153</v>
      </c>
      <c r="U90" s="423" t="s">
        <v>19</v>
      </c>
      <c r="V90" s="423" t="s">
        <v>158</v>
      </c>
      <c r="W90" s="423"/>
      <c r="X90" s="475"/>
    </row>
    <row r="91" spans="1:24" ht="13.15" customHeight="1" x14ac:dyDescent="0.4">
      <c r="G91" s="444" t="s">
        <v>183</v>
      </c>
      <c r="I91" s="454">
        <f t="shared" ref="I91:T91" si="75">I81/I86</f>
        <v>71.708333333333329</v>
      </c>
      <c r="J91" s="454">
        <f t="shared" si="75"/>
        <v>186.41666666666666</v>
      </c>
      <c r="K91" s="454">
        <f t="shared" si="75"/>
        <v>130.34047619047618</v>
      </c>
      <c r="L91" s="454">
        <f t="shared" si="75"/>
        <v>149.54695652173913</v>
      </c>
      <c r="M91" s="454">
        <f t="shared" si="75"/>
        <v>74.611111111111114</v>
      </c>
      <c r="N91" s="454">
        <f t="shared" si="75"/>
        <v>162.03636363636363</v>
      </c>
      <c r="O91" s="454">
        <f t="shared" si="75"/>
        <v>103.06105263157895</v>
      </c>
      <c r="P91" s="454">
        <f t="shared" si="75"/>
        <v>144.37699999999998</v>
      </c>
      <c r="Q91" s="454">
        <f t="shared" si="75"/>
        <v>138.64108695652175</v>
      </c>
      <c r="R91" s="454">
        <f t="shared" si="75"/>
        <v>129.08809523809524</v>
      </c>
      <c r="S91" s="454">
        <f t="shared" si="75"/>
        <v>128.01399999999998</v>
      </c>
      <c r="T91" s="454">
        <f t="shared" si="75"/>
        <v>104.12142857142855</v>
      </c>
      <c r="U91" s="554">
        <f>AVERAGE(I91:T91)</f>
        <v>126.83021423810953</v>
      </c>
      <c r="V91" s="475">
        <f>U91/U93</f>
        <v>0.35815008723197467</v>
      </c>
      <c r="W91" s="466"/>
      <c r="X91" s="475"/>
    </row>
    <row r="92" spans="1:24" ht="13.15" customHeight="1" x14ac:dyDescent="0.4">
      <c r="G92" s="444" t="s">
        <v>184</v>
      </c>
      <c r="I92" s="454">
        <f t="shared" ref="I92:T92" si="76">I82/I87</f>
        <v>185.3125</v>
      </c>
      <c r="J92" s="454">
        <f t="shared" si="76"/>
        <v>78.964285714285708</v>
      </c>
      <c r="K92" s="454">
        <f t="shared" si="76"/>
        <v>159.3490909090909</v>
      </c>
      <c r="L92" s="454">
        <f t="shared" si="76"/>
        <v>218.63250000000002</v>
      </c>
      <c r="M92" s="454">
        <f t="shared" si="76"/>
        <v>319.76749999999998</v>
      </c>
      <c r="N92" s="454">
        <f t="shared" si="76"/>
        <v>119.69562499999999</v>
      </c>
      <c r="O92" s="454">
        <f t="shared" si="76"/>
        <v>235.09285714285716</v>
      </c>
      <c r="P92" s="454">
        <f t="shared" si="76"/>
        <v>147.60916666666665</v>
      </c>
      <c r="Q92" s="454">
        <f t="shared" si="76"/>
        <v>370.34833333333336</v>
      </c>
      <c r="R92" s="454">
        <f t="shared" si="76"/>
        <v>211.27111111111111</v>
      </c>
      <c r="S92" s="454">
        <f t="shared" si="76"/>
        <v>547.6</v>
      </c>
      <c r="T92" s="454">
        <f t="shared" si="76"/>
        <v>133.905</v>
      </c>
      <c r="U92" s="554">
        <f>AVERAGE(I92:T92)</f>
        <v>227.29566415644544</v>
      </c>
      <c r="V92" s="475">
        <f>U92/$U$93</f>
        <v>0.64184991276802528</v>
      </c>
      <c r="W92" s="466"/>
    </row>
    <row r="93" spans="1:24" ht="13.15" customHeight="1" x14ac:dyDescent="0.4">
      <c r="H93" s="454"/>
      <c r="I93" s="563">
        <f t="shared" ref="I93:U93" si="77">I91+I92</f>
        <v>257.02083333333331</v>
      </c>
      <c r="J93" s="563">
        <f t="shared" si="77"/>
        <v>265.38095238095235</v>
      </c>
      <c r="K93" s="563">
        <f t="shared" si="77"/>
        <v>289.68956709956706</v>
      </c>
      <c r="L93" s="563">
        <f t="shared" si="77"/>
        <v>368.17945652173916</v>
      </c>
      <c r="M93" s="563">
        <f t="shared" si="77"/>
        <v>394.37861111111113</v>
      </c>
      <c r="N93" s="563">
        <f t="shared" si="77"/>
        <v>281.73198863636361</v>
      </c>
      <c r="O93" s="563">
        <f t="shared" si="77"/>
        <v>338.1539097744361</v>
      </c>
      <c r="P93" s="563">
        <f t="shared" si="77"/>
        <v>291.98616666666663</v>
      </c>
      <c r="Q93" s="563">
        <f t="shared" si="77"/>
        <v>508.9894202898551</v>
      </c>
      <c r="R93" s="563">
        <f t="shared" si="77"/>
        <v>340.35920634920637</v>
      </c>
      <c r="S93" s="563">
        <f t="shared" si="77"/>
        <v>675.61400000000003</v>
      </c>
      <c r="T93" s="563">
        <f t="shared" si="77"/>
        <v>238.02642857142854</v>
      </c>
      <c r="U93" s="563">
        <f t="shared" si="77"/>
        <v>354.125878394555</v>
      </c>
      <c r="V93" s="564"/>
      <c r="W93" s="565"/>
    </row>
    <row r="94" spans="1:24" ht="13.9" customHeight="1" x14ac:dyDescent="0.4">
      <c r="A94" s="482" t="s">
        <v>187</v>
      </c>
      <c r="B94" s="459" t="s">
        <v>188</v>
      </c>
      <c r="C94" s="459" t="s">
        <v>189</v>
      </c>
      <c r="D94" s="459" t="s">
        <v>190</v>
      </c>
      <c r="E94" s="483" t="s">
        <v>74</v>
      </c>
      <c r="F94" s="459" t="s">
        <v>75</v>
      </c>
      <c r="G94" s="459" t="s">
        <v>191</v>
      </c>
      <c r="H94" s="454"/>
      <c r="I94" s="454"/>
      <c r="J94" s="454"/>
      <c r="K94" s="454"/>
      <c r="L94" s="454"/>
      <c r="M94" s="454"/>
      <c r="N94" s="454"/>
      <c r="O94" s="454"/>
      <c r="P94" s="454"/>
      <c r="Q94" s="454"/>
      <c r="R94" s="454"/>
      <c r="S94" s="454"/>
      <c r="T94" s="454"/>
      <c r="U94" s="454"/>
      <c r="V94" s="454"/>
    </row>
    <row r="105" spans="1:7" ht="13.5" customHeight="1" x14ac:dyDescent="0.35">
      <c r="A105" s="480">
        <v>43096</v>
      </c>
      <c r="B105" s="426" t="s">
        <v>3254</v>
      </c>
      <c r="C105" s="426" t="s">
        <v>2849</v>
      </c>
      <c r="D105" s="45" t="s">
        <v>160</v>
      </c>
      <c r="E105" s="435">
        <v>50</v>
      </c>
      <c r="F105" s="45" t="s">
        <v>1775</v>
      </c>
      <c r="G105" s="45" t="s">
        <v>174</v>
      </c>
    </row>
    <row r="106" spans="1:7" ht="13.5" customHeight="1" x14ac:dyDescent="0.35">
      <c r="A106" s="480">
        <v>43096</v>
      </c>
      <c r="B106" s="426" t="s">
        <v>3255</v>
      </c>
      <c r="C106" s="426" t="s">
        <v>2853</v>
      </c>
      <c r="D106" s="45" t="s">
        <v>159</v>
      </c>
      <c r="E106" s="435">
        <v>150</v>
      </c>
      <c r="F106" s="45" t="s">
        <v>734</v>
      </c>
      <c r="G106" s="45" t="s">
        <v>174</v>
      </c>
    </row>
    <row r="107" spans="1:7" ht="13.5" customHeight="1" x14ac:dyDescent="0.35">
      <c r="A107" s="480">
        <v>43095</v>
      </c>
      <c r="B107" s="426" t="s">
        <v>3256</v>
      </c>
      <c r="C107" s="426" t="s">
        <v>2849</v>
      </c>
      <c r="D107" s="45" t="s">
        <v>159</v>
      </c>
      <c r="E107" s="435">
        <v>30</v>
      </c>
      <c r="F107" s="45" t="s">
        <v>1924</v>
      </c>
      <c r="G107" s="45" t="s">
        <v>174</v>
      </c>
    </row>
    <row r="108" spans="1:7" ht="13.5" customHeight="1" x14ac:dyDescent="0.35">
      <c r="A108" s="480">
        <v>43095</v>
      </c>
      <c r="B108" s="45" t="s">
        <v>3257</v>
      </c>
      <c r="C108" s="426" t="s">
        <v>2849</v>
      </c>
      <c r="D108" s="45" t="s">
        <v>159</v>
      </c>
      <c r="E108" s="435">
        <v>30</v>
      </c>
      <c r="F108" s="45" t="s">
        <v>1924</v>
      </c>
      <c r="G108" s="45" t="s">
        <v>174</v>
      </c>
    </row>
    <row r="109" spans="1:7" ht="13.5" customHeight="1" x14ac:dyDescent="0.35">
      <c r="A109" s="480">
        <v>43095</v>
      </c>
      <c r="B109" s="426" t="s">
        <v>3104</v>
      </c>
      <c r="C109" s="426" t="s">
        <v>2849</v>
      </c>
      <c r="D109" s="45" t="s">
        <v>162</v>
      </c>
      <c r="E109" s="435">
        <v>235</v>
      </c>
      <c r="F109" s="45" t="s">
        <v>2708</v>
      </c>
      <c r="G109" s="45" t="s">
        <v>175</v>
      </c>
    </row>
    <row r="110" spans="1:7" ht="13.5" customHeight="1" x14ac:dyDescent="0.35">
      <c r="A110" s="480">
        <v>43093</v>
      </c>
      <c r="B110" s="426" t="s">
        <v>3258</v>
      </c>
      <c r="C110" s="426" t="s">
        <v>2853</v>
      </c>
      <c r="D110" s="45" t="s">
        <v>159</v>
      </c>
      <c r="E110" s="435">
        <v>50</v>
      </c>
      <c r="F110" s="45" t="s">
        <v>734</v>
      </c>
      <c r="G110" s="45" t="s">
        <v>174</v>
      </c>
    </row>
    <row r="111" spans="1:7" ht="13.5" customHeight="1" x14ac:dyDescent="0.35">
      <c r="A111" s="480">
        <v>43093</v>
      </c>
      <c r="B111" s="426" t="s">
        <v>2874</v>
      </c>
      <c r="C111" s="426" t="s">
        <v>2850</v>
      </c>
      <c r="D111" s="45" t="s">
        <v>159</v>
      </c>
      <c r="E111" s="435">
        <v>59</v>
      </c>
      <c r="F111" s="45" t="s">
        <v>3152</v>
      </c>
      <c r="G111" s="45" t="s">
        <v>177</v>
      </c>
    </row>
    <row r="112" spans="1:7" ht="13.5" customHeight="1" x14ac:dyDescent="0.35">
      <c r="A112" s="480">
        <v>43091</v>
      </c>
      <c r="B112" s="426" t="s">
        <v>3259</v>
      </c>
      <c r="C112" s="426" t="s">
        <v>2849</v>
      </c>
      <c r="D112" s="45" t="s">
        <v>159</v>
      </c>
      <c r="E112" s="435">
        <v>30</v>
      </c>
      <c r="F112" s="45" t="s">
        <v>1924</v>
      </c>
      <c r="G112" s="45" t="s">
        <v>174</v>
      </c>
    </row>
    <row r="113" spans="1:7" ht="13.5" customHeight="1" x14ac:dyDescent="0.35">
      <c r="A113" s="480">
        <v>43090</v>
      </c>
      <c r="B113" s="426" t="s">
        <v>3260</v>
      </c>
      <c r="C113" s="426" t="s">
        <v>2849</v>
      </c>
      <c r="D113" s="45" t="s">
        <v>159</v>
      </c>
      <c r="E113" s="435">
        <v>50</v>
      </c>
      <c r="F113" s="45" t="s">
        <v>3261</v>
      </c>
      <c r="G113" s="45" t="s">
        <v>175</v>
      </c>
    </row>
    <row r="114" spans="1:7" ht="13.5" customHeight="1" x14ac:dyDescent="0.35">
      <c r="A114" s="480">
        <v>43090</v>
      </c>
      <c r="B114" s="426" t="s">
        <v>2933</v>
      </c>
      <c r="C114" s="426" t="s">
        <v>2853</v>
      </c>
      <c r="D114" s="45" t="s">
        <v>159</v>
      </c>
      <c r="E114" s="435">
        <v>50</v>
      </c>
      <c r="F114" s="45" t="s">
        <v>734</v>
      </c>
      <c r="G114" s="45" t="s">
        <v>175</v>
      </c>
    </row>
    <row r="115" spans="1:7" ht="13.5" customHeight="1" x14ac:dyDescent="0.35">
      <c r="A115" s="480">
        <v>43090</v>
      </c>
      <c r="B115" s="426" t="s">
        <v>3262</v>
      </c>
      <c r="C115" s="426" t="s">
        <v>2850</v>
      </c>
      <c r="D115" s="45" t="s">
        <v>159</v>
      </c>
      <c r="E115" s="435">
        <v>176.8</v>
      </c>
      <c r="F115" s="45" t="s">
        <v>3263</v>
      </c>
      <c r="G115" s="45" t="s">
        <v>174</v>
      </c>
    </row>
    <row r="116" spans="1:7" ht="13.5" customHeight="1" x14ac:dyDescent="0.35">
      <c r="A116" s="480">
        <v>43089</v>
      </c>
      <c r="B116" s="426" t="s">
        <v>1414</v>
      </c>
      <c r="C116" s="426" t="s">
        <v>2849</v>
      </c>
      <c r="D116" s="45" t="s">
        <v>160</v>
      </c>
      <c r="E116" s="435">
        <v>30</v>
      </c>
      <c r="F116" s="45" t="s">
        <v>1924</v>
      </c>
      <c r="G116" s="45" t="s">
        <v>175</v>
      </c>
    </row>
    <row r="117" spans="1:7" ht="13.5" customHeight="1" x14ac:dyDescent="0.35">
      <c r="A117" s="480">
        <v>43089</v>
      </c>
      <c r="B117" s="45" t="s">
        <v>3264</v>
      </c>
      <c r="C117" s="426" t="s">
        <v>2849</v>
      </c>
      <c r="D117" s="45" t="s">
        <v>2297</v>
      </c>
      <c r="E117" s="435">
        <v>265</v>
      </c>
      <c r="F117" s="45" t="s">
        <v>1775</v>
      </c>
      <c r="G117" s="45" t="s">
        <v>174</v>
      </c>
    </row>
    <row r="118" spans="1:7" ht="13.5" customHeight="1" x14ac:dyDescent="0.35">
      <c r="A118" s="480">
        <v>43088</v>
      </c>
      <c r="B118" s="45" t="s">
        <v>3265</v>
      </c>
      <c r="C118" s="426" t="s">
        <v>2849</v>
      </c>
      <c r="D118" s="45" t="s">
        <v>159</v>
      </c>
      <c r="E118" s="435">
        <v>30</v>
      </c>
      <c r="F118" s="45" t="s">
        <v>1924</v>
      </c>
      <c r="G118" s="45" t="s">
        <v>174</v>
      </c>
    </row>
    <row r="119" spans="1:7" ht="13.5" customHeight="1" x14ac:dyDescent="0.35">
      <c r="A119" s="480">
        <v>43085</v>
      </c>
      <c r="B119" s="426" t="s">
        <v>3266</v>
      </c>
      <c r="C119" s="426" t="s">
        <v>2853</v>
      </c>
      <c r="D119" s="45" t="s">
        <v>160</v>
      </c>
      <c r="E119" s="435">
        <v>50</v>
      </c>
      <c r="F119" s="45" t="s">
        <v>734</v>
      </c>
      <c r="G119" s="45" t="s">
        <v>175</v>
      </c>
    </row>
    <row r="120" spans="1:7" ht="13.5" customHeight="1" x14ac:dyDescent="0.35">
      <c r="A120" s="480">
        <v>43085</v>
      </c>
      <c r="B120" s="426" t="s">
        <v>3267</v>
      </c>
      <c r="C120" s="426" t="s">
        <v>2853</v>
      </c>
      <c r="D120" s="45" t="s">
        <v>159</v>
      </c>
      <c r="E120" s="435">
        <v>50</v>
      </c>
      <c r="F120" s="45" t="s">
        <v>734</v>
      </c>
      <c r="G120" s="45" t="s">
        <v>175</v>
      </c>
    </row>
    <row r="121" spans="1:7" ht="13.5" customHeight="1" x14ac:dyDescent="0.35">
      <c r="A121" s="480">
        <v>43083</v>
      </c>
      <c r="B121" s="426" t="s">
        <v>3268</v>
      </c>
      <c r="C121" s="426" t="s">
        <v>2853</v>
      </c>
      <c r="D121" s="45" t="s">
        <v>159</v>
      </c>
      <c r="E121" s="435">
        <v>50</v>
      </c>
      <c r="F121" s="45" t="s">
        <v>734</v>
      </c>
      <c r="G121" s="45" t="s">
        <v>175</v>
      </c>
    </row>
    <row r="122" spans="1:7" ht="13.5" customHeight="1" x14ac:dyDescent="0.35">
      <c r="A122" s="480">
        <v>43083</v>
      </c>
      <c r="B122" s="426" t="s">
        <v>3212</v>
      </c>
      <c r="C122" s="426" t="s">
        <v>941</v>
      </c>
      <c r="D122" s="45" t="s">
        <v>159</v>
      </c>
      <c r="E122" s="435">
        <v>195</v>
      </c>
      <c r="F122" s="48" t="s">
        <v>941</v>
      </c>
      <c r="G122" s="45" t="s">
        <v>175</v>
      </c>
    </row>
    <row r="123" spans="1:7" ht="13.5" customHeight="1" x14ac:dyDescent="0.35">
      <c r="A123" s="480">
        <v>43083</v>
      </c>
      <c r="B123" s="45" t="s">
        <v>3269</v>
      </c>
      <c r="C123" s="426" t="s">
        <v>2849</v>
      </c>
      <c r="D123" s="45" t="s">
        <v>2297</v>
      </c>
      <c r="E123" s="435">
        <v>265</v>
      </c>
      <c r="F123" s="45" t="s">
        <v>1775</v>
      </c>
      <c r="G123" s="45" t="s">
        <v>174</v>
      </c>
    </row>
    <row r="124" spans="1:7" ht="13.5" customHeight="1" x14ac:dyDescent="0.35">
      <c r="A124" s="480">
        <v>43082</v>
      </c>
      <c r="B124" s="45" t="s">
        <v>3270</v>
      </c>
      <c r="C124" s="426" t="s">
        <v>2853</v>
      </c>
      <c r="D124" s="45" t="s">
        <v>2297</v>
      </c>
      <c r="E124" s="435">
        <v>100</v>
      </c>
      <c r="F124" s="45" t="s">
        <v>209</v>
      </c>
      <c r="G124" s="45" t="s">
        <v>175</v>
      </c>
    </row>
    <row r="125" spans="1:7" ht="13.5" customHeight="1" x14ac:dyDescent="0.35">
      <c r="A125" s="480">
        <v>43082</v>
      </c>
      <c r="B125" s="426" t="s">
        <v>2999</v>
      </c>
      <c r="C125" s="426" t="s">
        <v>2853</v>
      </c>
      <c r="D125" s="45" t="s">
        <v>159</v>
      </c>
      <c r="E125" s="435">
        <v>30</v>
      </c>
      <c r="F125" s="45" t="s">
        <v>734</v>
      </c>
      <c r="G125" s="45" t="s">
        <v>174</v>
      </c>
    </row>
    <row r="126" spans="1:7" ht="13.5" customHeight="1" x14ac:dyDescent="0.35">
      <c r="A126" s="480">
        <v>43082</v>
      </c>
      <c r="B126" s="426" t="s">
        <v>3212</v>
      </c>
      <c r="C126" s="426" t="s">
        <v>941</v>
      </c>
      <c r="D126" s="45" t="s">
        <v>159</v>
      </c>
      <c r="E126" s="435">
        <v>195</v>
      </c>
      <c r="F126" s="48" t="s">
        <v>941</v>
      </c>
      <c r="G126" s="45" t="s">
        <v>175</v>
      </c>
    </row>
    <row r="127" spans="1:7" ht="13.5" customHeight="1" x14ac:dyDescent="0.35">
      <c r="A127" s="480">
        <v>43082</v>
      </c>
      <c r="B127" s="426" t="s">
        <v>967</v>
      </c>
      <c r="C127" s="426" t="s">
        <v>2853</v>
      </c>
      <c r="D127" s="45" t="s">
        <v>159</v>
      </c>
      <c r="E127" s="435">
        <v>30</v>
      </c>
      <c r="F127" s="45" t="s">
        <v>2980</v>
      </c>
      <c r="G127" s="45" t="s">
        <v>175</v>
      </c>
    </row>
    <row r="128" spans="1:7" ht="13.5" customHeight="1" x14ac:dyDescent="0.35">
      <c r="A128" s="480">
        <v>43081</v>
      </c>
      <c r="B128" s="426" t="s">
        <v>1815</v>
      </c>
      <c r="C128" s="426" t="s">
        <v>2849</v>
      </c>
      <c r="D128" s="45" t="s">
        <v>162</v>
      </c>
      <c r="E128" s="435">
        <v>65</v>
      </c>
      <c r="F128" s="45" t="s">
        <v>1267</v>
      </c>
      <c r="G128" s="45" t="s">
        <v>1311</v>
      </c>
    </row>
    <row r="129" spans="1:7" ht="13.5" customHeight="1" x14ac:dyDescent="0.35">
      <c r="A129" s="480">
        <v>43081</v>
      </c>
      <c r="B129" s="45" t="s">
        <v>3271</v>
      </c>
      <c r="C129" s="426" t="s">
        <v>2849</v>
      </c>
      <c r="D129" s="45" t="s">
        <v>159</v>
      </c>
      <c r="E129" s="435">
        <v>265</v>
      </c>
      <c r="F129" s="45" t="s">
        <v>1775</v>
      </c>
      <c r="G129" s="45" t="s">
        <v>174</v>
      </c>
    </row>
    <row r="130" spans="1:7" ht="13.5" customHeight="1" x14ac:dyDescent="0.35">
      <c r="A130" s="480">
        <v>43080</v>
      </c>
      <c r="B130" s="45" t="s">
        <v>1882</v>
      </c>
      <c r="C130" s="426" t="s">
        <v>2849</v>
      </c>
      <c r="D130" s="45" t="s">
        <v>162</v>
      </c>
      <c r="E130" s="435">
        <v>65</v>
      </c>
      <c r="F130" s="45" t="s">
        <v>1775</v>
      </c>
      <c r="G130" s="45" t="s">
        <v>1311</v>
      </c>
    </row>
    <row r="131" spans="1:7" ht="13.5" customHeight="1" x14ac:dyDescent="0.35">
      <c r="A131" s="480">
        <v>43079</v>
      </c>
      <c r="B131" s="426" t="s">
        <v>3272</v>
      </c>
      <c r="C131" s="426" t="s">
        <v>2853</v>
      </c>
      <c r="D131" s="45" t="s">
        <v>159</v>
      </c>
      <c r="E131" s="435">
        <v>50</v>
      </c>
      <c r="F131" s="45" t="s">
        <v>734</v>
      </c>
      <c r="G131" s="45" t="s">
        <v>174</v>
      </c>
    </row>
    <row r="132" spans="1:7" ht="13.5" customHeight="1" x14ac:dyDescent="0.35">
      <c r="A132" s="480">
        <v>43078</v>
      </c>
      <c r="B132" s="45" t="s">
        <v>3273</v>
      </c>
      <c r="C132" s="426" t="s">
        <v>2853</v>
      </c>
      <c r="D132" s="45" t="s">
        <v>160</v>
      </c>
      <c r="E132" s="435">
        <v>30</v>
      </c>
      <c r="F132" s="45" t="s">
        <v>2980</v>
      </c>
      <c r="G132" s="45" t="s">
        <v>175</v>
      </c>
    </row>
    <row r="133" spans="1:7" ht="13.5" customHeight="1" x14ac:dyDescent="0.35">
      <c r="A133" s="480">
        <v>43078</v>
      </c>
      <c r="B133" s="45" t="s">
        <v>3274</v>
      </c>
      <c r="C133" s="426" t="s">
        <v>2849</v>
      </c>
      <c r="D133" s="45" t="s">
        <v>163</v>
      </c>
      <c r="E133" s="435">
        <v>13</v>
      </c>
      <c r="F133" s="45" t="s">
        <v>1924</v>
      </c>
      <c r="G133" s="45" t="s">
        <v>163</v>
      </c>
    </row>
    <row r="134" spans="1:7" ht="13.5" customHeight="1" x14ac:dyDescent="0.35">
      <c r="A134" s="480">
        <v>43078</v>
      </c>
      <c r="B134" s="45" t="s">
        <v>2431</v>
      </c>
      <c r="C134" s="426" t="s">
        <v>2849</v>
      </c>
      <c r="D134" s="45" t="s">
        <v>159</v>
      </c>
      <c r="E134" s="435">
        <v>475</v>
      </c>
      <c r="F134" s="45" t="s">
        <v>3275</v>
      </c>
      <c r="G134" s="45" t="s">
        <v>175</v>
      </c>
    </row>
    <row r="135" spans="1:7" ht="13.5" customHeight="1" x14ac:dyDescent="0.35">
      <c r="A135" s="480">
        <v>43075</v>
      </c>
      <c r="B135" s="426" t="s">
        <v>2944</v>
      </c>
      <c r="C135" s="426" t="s">
        <v>2849</v>
      </c>
      <c r="D135" s="45" t="s">
        <v>159</v>
      </c>
      <c r="E135" s="435">
        <v>235</v>
      </c>
      <c r="F135" s="45" t="s">
        <v>2708</v>
      </c>
      <c r="G135" s="45" t="s">
        <v>175</v>
      </c>
    </row>
    <row r="136" spans="1:7" ht="13.5" customHeight="1" x14ac:dyDescent="0.35">
      <c r="A136" s="480">
        <v>43073</v>
      </c>
      <c r="B136" s="426" t="s">
        <v>3276</v>
      </c>
      <c r="C136" s="426" t="s">
        <v>2853</v>
      </c>
      <c r="D136" s="45" t="s">
        <v>159</v>
      </c>
      <c r="E136" s="435">
        <f>272.75-265</f>
        <v>7.75</v>
      </c>
      <c r="F136" s="45" t="s">
        <v>1775</v>
      </c>
      <c r="G136" s="45" t="s">
        <v>174</v>
      </c>
    </row>
    <row r="137" spans="1:7" ht="13.5" customHeight="1" x14ac:dyDescent="0.35">
      <c r="A137" s="480">
        <v>43073</v>
      </c>
      <c r="B137" s="426" t="s">
        <v>3276</v>
      </c>
      <c r="C137" s="426" t="s">
        <v>2849</v>
      </c>
      <c r="D137" s="45" t="s">
        <v>159</v>
      </c>
      <c r="E137" s="435">
        <v>265</v>
      </c>
      <c r="F137" s="45" t="s">
        <v>1775</v>
      </c>
      <c r="G137" s="45" t="s">
        <v>174</v>
      </c>
    </row>
    <row r="138" spans="1:7" ht="13.5" customHeight="1" x14ac:dyDescent="0.35">
      <c r="A138" s="480">
        <v>43070</v>
      </c>
      <c r="B138" s="426" t="s">
        <v>3277</v>
      </c>
      <c r="C138" s="426" t="s">
        <v>2849</v>
      </c>
      <c r="D138" s="45" t="s">
        <v>162</v>
      </c>
      <c r="E138" s="435">
        <v>225</v>
      </c>
      <c r="F138" s="45" t="s">
        <v>1775</v>
      </c>
      <c r="G138" s="45" t="s">
        <v>174</v>
      </c>
    </row>
    <row r="139" spans="1:7" ht="13.5" customHeight="1" x14ac:dyDescent="0.35">
      <c r="A139" s="480">
        <v>43070</v>
      </c>
      <c r="B139" s="426" t="s">
        <v>1876</v>
      </c>
      <c r="C139" s="426" t="s">
        <v>2849</v>
      </c>
      <c r="D139" s="45" t="s">
        <v>162</v>
      </c>
      <c r="E139" s="435">
        <v>65</v>
      </c>
      <c r="F139" s="45" t="s">
        <v>1775</v>
      </c>
      <c r="G139" s="45" t="s">
        <v>1311</v>
      </c>
    </row>
    <row r="140" spans="1:7" ht="13.5" customHeight="1" x14ac:dyDescent="0.35">
      <c r="A140" s="480">
        <v>43070</v>
      </c>
      <c r="B140" s="45" t="s">
        <v>2565</v>
      </c>
      <c r="C140" s="426" t="s">
        <v>2851</v>
      </c>
      <c r="D140" s="426" t="s">
        <v>161</v>
      </c>
      <c r="E140" s="435">
        <v>307.48</v>
      </c>
      <c r="F140" s="426" t="s">
        <v>1078</v>
      </c>
      <c r="G140" s="426" t="s">
        <v>175</v>
      </c>
    </row>
    <row r="141" spans="1:7" ht="13.5" customHeight="1" x14ac:dyDescent="0.35">
      <c r="A141" s="480">
        <v>43070</v>
      </c>
      <c r="B141" s="45" t="s">
        <v>2566</v>
      </c>
      <c r="C141" s="426" t="s">
        <v>2852</v>
      </c>
      <c r="D141" s="426" t="s">
        <v>161</v>
      </c>
      <c r="E141" s="435">
        <v>60</v>
      </c>
      <c r="F141" s="426" t="s">
        <v>292</v>
      </c>
      <c r="G141" s="426" t="s">
        <v>175</v>
      </c>
    </row>
    <row r="142" spans="1:7" ht="13.5" customHeight="1" x14ac:dyDescent="0.35">
      <c r="A142" s="480"/>
    </row>
    <row r="143" spans="1:7" ht="13.5" customHeight="1" x14ac:dyDescent="0.35">
      <c r="A143" s="480">
        <v>43069</v>
      </c>
      <c r="B143" s="45" t="s">
        <v>3104</v>
      </c>
      <c r="C143" s="426" t="s">
        <v>2849</v>
      </c>
      <c r="D143" s="45" t="s">
        <v>164</v>
      </c>
      <c r="E143" s="435">
        <v>10</v>
      </c>
      <c r="F143" s="45" t="s">
        <v>3278</v>
      </c>
      <c r="G143" s="45" t="s">
        <v>163</v>
      </c>
    </row>
    <row r="144" spans="1:7" ht="13.5" customHeight="1" x14ac:dyDescent="0.35">
      <c r="A144" s="480">
        <v>43069</v>
      </c>
      <c r="B144" s="45" t="s">
        <v>3277</v>
      </c>
      <c r="C144" s="426" t="s">
        <v>2849</v>
      </c>
      <c r="D144" s="45" t="s">
        <v>164</v>
      </c>
      <c r="E144" s="435">
        <v>10</v>
      </c>
      <c r="F144" s="45" t="s">
        <v>3278</v>
      </c>
      <c r="G144" s="45" t="s">
        <v>174</v>
      </c>
    </row>
    <row r="145" spans="1:7" ht="13.5" customHeight="1" x14ac:dyDescent="0.35">
      <c r="A145" s="480">
        <v>43069</v>
      </c>
      <c r="B145" s="426" t="s">
        <v>3021</v>
      </c>
      <c r="C145" s="426" t="s">
        <v>2850</v>
      </c>
      <c r="D145" s="45" t="s">
        <v>159</v>
      </c>
      <c r="E145" s="435">
        <v>66.8</v>
      </c>
      <c r="F145" s="45" t="s">
        <v>3279</v>
      </c>
      <c r="G145" s="45" t="s">
        <v>174</v>
      </c>
    </row>
    <row r="146" spans="1:7" ht="13.5" customHeight="1" x14ac:dyDescent="0.35">
      <c r="A146" s="480">
        <v>43069</v>
      </c>
      <c r="B146" s="426" t="s">
        <v>3280</v>
      </c>
      <c r="C146" s="426" t="s">
        <v>2849</v>
      </c>
      <c r="D146" s="45" t="s">
        <v>159</v>
      </c>
      <c r="E146" s="435">
        <v>165</v>
      </c>
      <c r="F146" s="45" t="s">
        <v>1775</v>
      </c>
      <c r="G146" s="45" t="s">
        <v>174</v>
      </c>
    </row>
    <row r="147" spans="1:7" ht="13.5" customHeight="1" x14ac:dyDescent="0.35">
      <c r="A147" s="480">
        <v>43068</v>
      </c>
      <c r="B147" s="426" t="s">
        <v>1879</v>
      </c>
      <c r="C147" s="426" t="s">
        <v>2849</v>
      </c>
      <c r="D147" s="45" t="s">
        <v>162</v>
      </c>
      <c r="E147" s="435">
        <v>65</v>
      </c>
      <c r="F147" s="45" t="s">
        <v>1775</v>
      </c>
      <c r="G147" s="45" t="s">
        <v>1311</v>
      </c>
    </row>
    <row r="148" spans="1:7" ht="13.5" customHeight="1" x14ac:dyDescent="0.35">
      <c r="A148" s="480">
        <v>43068</v>
      </c>
      <c r="B148" s="45" t="s">
        <v>3281</v>
      </c>
      <c r="C148" s="426" t="s">
        <v>2853</v>
      </c>
      <c r="D148" s="45" t="s">
        <v>2297</v>
      </c>
      <c r="E148" s="435">
        <v>85</v>
      </c>
      <c r="F148" s="45" t="s">
        <v>209</v>
      </c>
      <c r="G148" s="45" t="s">
        <v>174</v>
      </c>
    </row>
    <row r="149" spans="1:7" ht="13.5" customHeight="1" x14ac:dyDescent="0.35">
      <c r="A149" s="480">
        <v>43067</v>
      </c>
      <c r="B149" s="426" t="s">
        <v>2659</v>
      </c>
      <c r="C149" s="426" t="s">
        <v>2849</v>
      </c>
      <c r="D149" s="45" t="s">
        <v>162</v>
      </c>
      <c r="E149" s="435">
        <v>100</v>
      </c>
      <c r="F149" s="45" t="s">
        <v>1775</v>
      </c>
      <c r="G149" s="45" t="s">
        <v>174</v>
      </c>
    </row>
    <row r="150" spans="1:7" ht="13.5" customHeight="1" x14ac:dyDescent="0.35">
      <c r="A150" s="480">
        <v>43067</v>
      </c>
      <c r="B150" s="45" t="s">
        <v>1862</v>
      </c>
      <c r="C150" s="426" t="s">
        <v>2849</v>
      </c>
      <c r="D150" s="45" t="s">
        <v>162</v>
      </c>
      <c r="E150" s="435">
        <v>65</v>
      </c>
      <c r="F150" s="45" t="s">
        <v>1775</v>
      </c>
      <c r="G150" s="45" t="s">
        <v>1311</v>
      </c>
    </row>
    <row r="151" spans="1:7" ht="13.5" customHeight="1" x14ac:dyDescent="0.35">
      <c r="A151" s="480">
        <v>43067</v>
      </c>
      <c r="B151" s="45" t="s">
        <v>3282</v>
      </c>
      <c r="C151" s="426" t="s">
        <v>2850</v>
      </c>
      <c r="D151" s="45" t="s">
        <v>2297</v>
      </c>
      <c r="E151" s="435">
        <v>61</v>
      </c>
      <c r="F151" s="45" t="s">
        <v>3283</v>
      </c>
      <c r="G151" s="45" t="s">
        <v>174</v>
      </c>
    </row>
    <row r="152" spans="1:7" ht="13.5" customHeight="1" x14ac:dyDescent="0.35">
      <c r="A152" s="480">
        <v>43067</v>
      </c>
      <c r="B152" s="426" t="s">
        <v>3284</v>
      </c>
      <c r="C152" s="426" t="s">
        <v>2853</v>
      </c>
      <c r="D152" s="45" t="s">
        <v>160</v>
      </c>
      <c r="E152" s="435">
        <v>40</v>
      </c>
      <c r="F152" s="45" t="s">
        <v>209</v>
      </c>
      <c r="G152" s="45" t="s">
        <v>174</v>
      </c>
    </row>
    <row r="153" spans="1:7" ht="13.5" customHeight="1" x14ac:dyDescent="0.35">
      <c r="A153" s="480">
        <v>43067</v>
      </c>
      <c r="B153" s="45" t="s">
        <v>346</v>
      </c>
      <c r="C153" s="426" t="s">
        <v>2851</v>
      </c>
      <c r="D153" s="45" t="s">
        <v>162</v>
      </c>
      <c r="E153" s="435">
        <v>1623</v>
      </c>
      <c r="F153" s="45" t="s">
        <v>161</v>
      </c>
      <c r="G153" s="45" t="s">
        <v>175</v>
      </c>
    </row>
    <row r="154" spans="1:7" ht="13.5" customHeight="1" x14ac:dyDescent="0.35">
      <c r="A154" s="480">
        <v>43060</v>
      </c>
      <c r="B154" s="426" t="s">
        <v>3285</v>
      </c>
      <c r="C154" s="426" t="s">
        <v>2850</v>
      </c>
      <c r="D154" s="45" t="s">
        <v>159</v>
      </c>
      <c r="E154" s="435">
        <v>695</v>
      </c>
      <c r="F154" s="45" t="s">
        <v>3263</v>
      </c>
      <c r="G154" s="45" t="s">
        <v>174</v>
      </c>
    </row>
    <row r="155" spans="1:7" ht="13.5" customHeight="1" x14ac:dyDescent="0.35">
      <c r="A155" s="480">
        <v>43066</v>
      </c>
      <c r="B155" s="45" t="s">
        <v>346</v>
      </c>
      <c r="C155" s="426" t="s">
        <v>2849</v>
      </c>
      <c r="D155" s="45" t="s">
        <v>159</v>
      </c>
      <c r="E155" s="435">
        <v>50</v>
      </c>
      <c r="F155" s="45" t="s">
        <v>3286</v>
      </c>
      <c r="G155" s="45" t="s">
        <v>175</v>
      </c>
    </row>
    <row r="156" spans="1:7" ht="13.5" customHeight="1" x14ac:dyDescent="0.35">
      <c r="A156" s="480">
        <v>43066</v>
      </c>
      <c r="B156" s="45" t="s">
        <v>3287</v>
      </c>
      <c r="C156" s="426" t="s">
        <v>2849</v>
      </c>
      <c r="D156" s="45" t="s">
        <v>163</v>
      </c>
      <c r="E156" s="435">
        <v>13</v>
      </c>
      <c r="F156" s="45" t="s">
        <v>1924</v>
      </c>
      <c r="G156" s="45" t="s">
        <v>163</v>
      </c>
    </row>
    <row r="157" spans="1:7" ht="13.5" customHeight="1" x14ac:dyDescent="0.35">
      <c r="A157" s="480">
        <v>43066</v>
      </c>
      <c r="B157" s="426" t="s">
        <v>3288</v>
      </c>
      <c r="C157" s="426" t="s">
        <v>2853</v>
      </c>
      <c r="D157" s="45" t="s">
        <v>160</v>
      </c>
      <c r="E157" s="435">
        <v>42.99</v>
      </c>
      <c r="F157" s="45" t="s">
        <v>3289</v>
      </c>
      <c r="G157" s="45" t="s">
        <v>3222</v>
      </c>
    </row>
    <row r="158" spans="1:7" ht="13.5" customHeight="1" x14ac:dyDescent="0.35">
      <c r="A158" s="480">
        <v>43067</v>
      </c>
      <c r="B158" s="426" t="s">
        <v>3290</v>
      </c>
      <c r="C158" s="426" t="s">
        <v>2849</v>
      </c>
      <c r="D158" s="45" t="s">
        <v>162</v>
      </c>
      <c r="E158" s="435">
        <v>200</v>
      </c>
      <c r="F158" s="426" t="s">
        <v>1775</v>
      </c>
      <c r="G158" s="45" t="s">
        <v>1311</v>
      </c>
    </row>
    <row r="159" spans="1:7" ht="13.5" customHeight="1" x14ac:dyDescent="0.35">
      <c r="A159" s="480">
        <v>43067</v>
      </c>
      <c r="B159" s="426" t="s">
        <v>3291</v>
      </c>
      <c r="C159" s="426" t="s">
        <v>2849</v>
      </c>
      <c r="D159" s="45" t="s">
        <v>162</v>
      </c>
      <c r="E159" s="435">
        <v>200</v>
      </c>
      <c r="F159" s="426" t="s">
        <v>1853</v>
      </c>
      <c r="G159" s="45" t="s">
        <v>1311</v>
      </c>
    </row>
    <row r="160" spans="1:7" ht="13.5" customHeight="1" x14ac:dyDescent="0.35">
      <c r="A160" s="480">
        <v>43067</v>
      </c>
      <c r="B160" s="426" t="s">
        <v>3113</v>
      </c>
      <c r="C160" s="426" t="s">
        <v>2849</v>
      </c>
      <c r="D160" s="45" t="s">
        <v>162</v>
      </c>
      <c r="E160" s="435">
        <v>150</v>
      </c>
      <c r="F160" s="426" t="s">
        <v>1775</v>
      </c>
      <c r="G160" s="45" t="s">
        <v>1311</v>
      </c>
    </row>
    <row r="161" spans="1:7" ht="13.5" customHeight="1" x14ac:dyDescent="0.35">
      <c r="A161" s="480">
        <v>43058</v>
      </c>
      <c r="B161" s="426" t="s">
        <v>3292</v>
      </c>
      <c r="C161" s="426" t="s">
        <v>2850</v>
      </c>
      <c r="D161" s="45" t="s">
        <v>159</v>
      </c>
      <c r="E161" s="435">
        <v>66.8</v>
      </c>
      <c r="F161" s="45" t="s">
        <v>1686</v>
      </c>
      <c r="G161" s="45" t="s">
        <v>175</v>
      </c>
    </row>
    <row r="162" spans="1:7" ht="13.5" customHeight="1" x14ac:dyDescent="0.35">
      <c r="A162" s="480">
        <v>43058</v>
      </c>
      <c r="B162" s="45" t="s">
        <v>3280</v>
      </c>
      <c r="C162" s="426" t="s">
        <v>2849</v>
      </c>
      <c r="D162" s="45" t="s">
        <v>159</v>
      </c>
      <c r="E162" s="435">
        <v>100</v>
      </c>
      <c r="F162" s="45" t="s">
        <v>1775</v>
      </c>
      <c r="G162" s="45" t="s">
        <v>174</v>
      </c>
    </row>
    <row r="163" spans="1:7" ht="13.5" customHeight="1" x14ac:dyDescent="0.35">
      <c r="A163" s="480">
        <v>43058</v>
      </c>
      <c r="B163" s="426" t="s">
        <v>3293</v>
      </c>
      <c r="C163" s="426" t="s">
        <v>2850</v>
      </c>
      <c r="D163" s="45" t="s">
        <v>159</v>
      </c>
      <c r="E163" s="435">
        <v>302.39999999999998</v>
      </c>
      <c r="F163" s="45" t="s">
        <v>3294</v>
      </c>
      <c r="G163" s="45" t="s">
        <v>174</v>
      </c>
    </row>
    <row r="164" spans="1:7" ht="13.5" customHeight="1" x14ac:dyDescent="0.35">
      <c r="A164" s="480">
        <v>43055</v>
      </c>
      <c r="B164" s="426" t="s">
        <v>3295</v>
      </c>
      <c r="C164" s="426" t="s">
        <v>2853</v>
      </c>
      <c r="D164" s="45" t="s">
        <v>159</v>
      </c>
      <c r="E164" s="435">
        <v>43.6</v>
      </c>
      <c r="F164" s="45" t="s">
        <v>209</v>
      </c>
      <c r="G164" s="45" t="s">
        <v>175</v>
      </c>
    </row>
    <row r="165" spans="1:7" ht="13.5" customHeight="1" x14ac:dyDescent="0.35">
      <c r="A165" s="480">
        <v>43050</v>
      </c>
      <c r="B165" s="426" t="s">
        <v>3296</v>
      </c>
      <c r="C165" s="426" t="s">
        <v>2850</v>
      </c>
      <c r="D165" s="45" t="s">
        <v>159</v>
      </c>
      <c r="E165" s="435">
        <v>150</v>
      </c>
      <c r="F165" s="45" t="s">
        <v>2906</v>
      </c>
      <c r="G165" s="45" t="s">
        <v>174</v>
      </c>
    </row>
    <row r="166" spans="1:7" ht="13.5" customHeight="1" x14ac:dyDescent="0.35">
      <c r="A166" s="480">
        <v>43051</v>
      </c>
      <c r="B166" s="45" t="s">
        <v>3281</v>
      </c>
      <c r="C166" s="426" t="s">
        <v>2849</v>
      </c>
      <c r="D166" s="45" t="s">
        <v>159</v>
      </c>
      <c r="E166" s="435">
        <v>50</v>
      </c>
      <c r="F166" s="45" t="s">
        <v>2823</v>
      </c>
      <c r="G166" s="45" t="s">
        <v>174</v>
      </c>
    </row>
    <row r="167" spans="1:7" ht="13.5" customHeight="1" x14ac:dyDescent="0.35">
      <c r="A167" s="480">
        <v>43049</v>
      </c>
      <c r="B167" s="426" t="s">
        <v>1500</v>
      </c>
      <c r="C167" s="426" t="s">
        <v>2850</v>
      </c>
      <c r="D167" s="45" t="s">
        <v>159</v>
      </c>
      <c r="E167" s="435">
        <v>482.2</v>
      </c>
      <c r="F167" s="45" t="s">
        <v>1458</v>
      </c>
      <c r="G167" s="45" t="s">
        <v>175</v>
      </c>
    </row>
    <row r="168" spans="1:7" ht="13.5" customHeight="1" x14ac:dyDescent="0.35">
      <c r="A168" s="480">
        <v>43049</v>
      </c>
      <c r="B168" s="45" t="s">
        <v>3297</v>
      </c>
      <c r="C168" s="426" t="s">
        <v>2850</v>
      </c>
      <c r="D168" s="45" t="s">
        <v>162</v>
      </c>
      <c r="E168" s="435">
        <v>33</v>
      </c>
      <c r="F168" s="45" t="s">
        <v>230</v>
      </c>
      <c r="G168" s="45" t="s">
        <v>174</v>
      </c>
    </row>
    <row r="169" spans="1:7" ht="13.5" customHeight="1" x14ac:dyDescent="0.35">
      <c r="A169" s="480">
        <v>43049</v>
      </c>
      <c r="B169" s="45" t="s">
        <v>1857</v>
      </c>
      <c r="C169" s="426" t="s">
        <v>2849</v>
      </c>
      <c r="D169" s="45" t="s">
        <v>162</v>
      </c>
      <c r="E169" s="435">
        <v>65</v>
      </c>
      <c r="F169" s="45" t="s">
        <v>1775</v>
      </c>
      <c r="G169" s="45" t="s">
        <v>1311</v>
      </c>
    </row>
    <row r="170" spans="1:7" ht="13.5" customHeight="1" x14ac:dyDescent="0.35">
      <c r="A170" s="480">
        <v>43049</v>
      </c>
      <c r="B170" s="426" t="s">
        <v>3254</v>
      </c>
      <c r="C170" s="426" t="s">
        <v>2849</v>
      </c>
      <c r="D170" s="45" t="s">
        <v>159</v>
      </c>
      <c r="E170" s="435">
        <v>265</v>
      </c>
      <c r="F170" s="45" t="s">
        <v>1775</v>
      </c>
      <c r="G170" s="45" t="s">
        <v>174</v>
      </c>
    </row>
    <row r="171" spans="1:7" ht="13.5" customHeight="1" x14ac:dyDescent="0.35">
      <c r="A171" s="480">
        <v>43049</v>
      </c>
      <c r="B171" s="426" t="s">
        <v>3298</v>
      </c>
      <c r="C171" s="426" t="s">
        <v>2849</v>
      </c>
      <c r="D171" s="45" t="s">
        <v>162</v>
      </c>
      <c r="E171" s="435">
        <v>200</v>
      </c>
      <c r="F171" s="45" t="s">
        <v>1775</v>
      </c>
      <c r="G171" s="45" t="s">
        <v>1311</v>
      </c>
    </row>
    <row r="172" spans="1:7" ht="13.5" customHeight="1" x14ac:dyDescent="0.35">
      <c r="A172" s="480">
        <v>43049</v>
      </c>
      <c r="B172" s="426" t="s">
        <v>1840</v>
      </c>
      <c r="C172" s="426" t="s">
        <v>2849</v>
      </c>
      <c r="D172" s="45" t="s">
        <v>162</v>
      </c>
      <c r="E172" s="435">
        <v>200</v>
      </c>
      <c r="F172" s="45" t="s">
        <v>1775</v>
      </c>
      <c r="G172" s="45" t="s">
        <v>1311</v>
      </c>
    </row>
    <row r="173" spans="1:7" ht="13.5" customHeight="1" x14ac:dyDescent="0.35">
      <c r="A173" s="480">
        <v>43049</v>
      </c>
      <c r="B173" s="426" t="s">
        <v>1843</v>
      </c>
      <c r="C173" s="426" t="s">
        <v>2849</v>
      </c>
      <c r="D173" s="45" t="s">
        <v>162</v>
      </c>
      <c r="E173" s="435">
        <v>200</v>
      </c>
      <c r="F173" s="45" t="s">
        <v>1775</v>
      </c>
      <c r="G173" s="45" t="s">
        <v>1311</v>
      </c>
    </row>
    <row r="174" spans="1:7" ht="13.5" customHeight="1" x14ac:dyDescent="0.35">
      <c r="A174" s="480">
        <v>43049</v>
      </c>
      <c r="B174" s="426" t="s">
        <v>3299</v>
      </c>
      <c r="C174" s="426" t="s">
        <v>2849</v>
      </c>
      <c r="D174" s="45" t="s">
        <v>162</v>
      </c>
      <c r="E174" s="435">
        <v>200</v>
      </c>
      <c r="F174" s="45" t="s">
        <v>1775</v>
      </c>
      <c r="G174" s="45" t="s">
        <v>1311</v>
      </c>
    </row>
    <row r="175" spans="1:7" ht="13.5" customHeight="1" x14ac:dyDescent="0.35">
      <c r="A175" s="480">
        <v>43048</v>
      </c>
      <c r="B175" s="426" t="s">
        <v>2996</v>
      </c>
      <c r="C175" s="426" t="s">
        <v>2849</v>
      </c>
      <c r="D175" s="45" t="s">
        <v>159</v>
      </c>
      <c r="E175" s="435">
        <v>270</v>
      </c>
      <c r="F175" s="45" t="s">
        <v>3300</v>
      </c>
      <c r="G175" s="45" t="s">
        <v>175</v>
      </c>
    </row>
    <row r="176" spans="1:7" ht="13.5" customHeight="1" x14ac:dyDescent="0.35">
      <c r="A176" s="480">
        <v>43048</v>
      </c>
      <c r="B176" s="45" t="s">
        <v>3301</v>
      </c>
      <c r="C176" s="426" t="s">
        <v>2849</v>
      </c>
      <c r="D176" s="45" t="s">
        <v>159</v>
      </c>
      <c r="E176" s="435">
        <v>135</v>
      </c>
      <c r="F176" s="45" t="s">
        <v>3300</v>
      </c>
      <c r="G176" s="45" t="s">
        <v>174</v>
      </c>
    </row>
    <row r="177" spans="1:7" ht="13.5" customHeight="1" x14ac:dyDescent="0.35">
      <c r="A177" s="480">
        <v>43048</v>
      </c>
      <c r="B177" s="426" t="s">
        <v>2996</v>
      </c>
      <c r="C177" s="426" t="s">
        <v>2849</v>
      </c>
      <c r="D177" s="45" t="s">
        <v>159</v>
      </c>
      <c r="E177" s="435">
        <v>200</v>
      </c>
      <c r="F177" s="45" t="s">
        <v>3300</v>
      </c>
      <c r="G177" s="45" t="s">
        <v>175</v>
      </c>
    </row>
    <row r="178" spans="1:7" ht="13.5" customHeight="1" x14ac:dyDescent="0.35">
      <c r="A178" s="480">
        <v>43048</v>
      </c>
      <c r="B178" s="45" t="s">
        <v>3301</v>
      </c>
      <c r="C178" s="426" t="s">
        <v>2849</v>
      </c>
      <c r="D178" s="45" t="s">
        <v>159</v>
      </c>
      <c r="E178" s="435">
        <v>30</v>
      </c>
      <c r="F178" s="45" t="s">
        <v>1924</v>
      </c>
      <c r="G178" s="45" t="s">
        <v>174</v>
      </c>
    </row>
    <row r="179" spans="1:7" ht="13.5" customHeight="1" x14ac:dyDescent="0.35">
      <c r="A179" s="480">
        <v>43048</v>
      </c>
      <c r="B179" s="45" t="s">
        <v>3301</v>
      </c>
      <c r="C179" s="426" t="s">
        <v>2849</v>
      </c>
      <c r="D179" s="45" t="s">
        <v>159</v>
      </c>
      <c r="E179" s="435">
        <v>100</v>
      </c>
      <c r="F179" s="45" t="s">
        <v>3300</v>
      </c>
      <c r="G179" s="45" t="s">
        <v>174</v>
      </c>
    </row>
    <row r="180" spans="1:7" ht="13.5" customHeight="1" x14ac:dyDescent="0.35">
      <c r="A180" s="480">
        <v>43047</v>
      </c>
      <c r="B180" s="426" t="s">
        <v>2659</v>
      </c>
      <c r="C180" s="426" t="s">
        <v>2849</v>
      </c>
      <c r="D180" s="45" t="s">
        <v>162</v>
      </c>
      <c r="E180" s="435">
        <v>65</v>
      </c>
      <c r="F180" s="45" t="s">
        <v>1775</v>
      </c>
      <c r="G180" s="45" t="s">
        <v>174</v>
      </c>
    </row>
    <row r="181" spans="1:7" ht="13.5" customHeight="1" x14ac:dyDescent="0.35">
      <c r="A181" s="480">
        <v>43047</v>
      </c>
      <c r="B181" s="45" t="s">
        <v>967</v>
      </c>
      <c r="C181" s="426" t="s">
        <v>2849</v>
      </c>
      <c r="D181" s="45" t="s">
        <v>160</v>
      </c>
      <c r="E181" s="435">
        <v>100</v>
      </c>
      <c r="F181" s="45" t="s">
        <v>161</v>
      </c>
      <c r="G181" s="45" t="s">
        <v>175</v>
      </c>
    </row>
    <row r="182" spans="1:7" ht="13.5" customHeight="1" x14ac:dyDescent="0.35">
      <c r="A182" s="480">
        <v>43047</v>
      </c>
      <c r="B182" s="426" t="s">
        <v>2659</v>
      </c>
      <c r="C182" s="426" t="s">
        <v>2850</v>
      </c>
      <c r="D182" s="45" t="s">
        <v>159</v>
      </c>
      <c r="E182" s="435">
        <v>225.8</v>
      </c>
      <c r="F182" s="45" t="s">
        <v>161</v>
      </c>
      <c r="G182" s="45" t="s">
        <v>174</v>
      </c>
    </row>
    <row r="183" spans="1:7" ht="13.5" customHeight="1" x14ac:dyDescent="0.35">
      <c r="A183" s="480">
        <v>43046</v>
      </c>
      <c r="B183" s="45" t="s">
        <v>3302</v>
      </c>
      <c r="C183" s="426" t="s">
        <v>2849</v>
      </c>
      <c r="D183" s="426" t="s">
        <v>163</v>
      </c>
      <c r="E183" s="435">
        <v>13</v>
      </c>
      <c r="F183" s="426" t="s">
        <v>1924</v>
      </c>
      <c r="G183" s="426" t="s">
        <v>163</v>
      </c>
    </row>
    <row r="184" spans="1:7" ht="13.5" customHeight="1" x14ac:dyDescent="0.35">
      <c r="A184" s="480">
        <v>43046</v>
      </c>
      <c r="B184" s="426" t="s">
        <v>3303</v>
      </c>
      <c r="C184" s="426" t="s">
        <v>2849</v>
      </c>
      <c r="D184" s="45" t="s">
        <v>162</v>
      </c>
      <c r="E184" s="435">
        <v>117.5</v>
      </c>
      <c r="F184" s="45" t="s">
        <v>3300</v>
      </c>
      <c r="G184" s="45" t="s">
        <v>174</v>
      </c>
    </row>
    <row r="185" spans="1:7" ht="13.5" customHeight="1" x14ac:dyDescent="0.35">
      <c r="A185" s="480">
        <v>43040</v>
      </c>
      <c r="B185" s="426" t="s">
        <v>3304</v>
      </c>
      <c r="C185" s="426" t="s">
        <v>2849</v>
      </c>
      <c r="D185" s="426" t="s">
        <v>160</v>
      </c>
      <c r="E185" s="435">
        <v>60</v>
      </c>
      <c r="F185" s="426" t="s">
        <v>1924</v>
      </c>
      <c r="G185" s="426" t="s">
        <v>174</v>
      </c>
    </row>
    <row r="186" spans="1:7" ht="13.5" customHeight="1" x14ac:dyDescent="0.35">
      <c r="A186" s="480">
        <v>43040</v>
      </c>
      <c r="B186" s="45" t="s">
        <v>2595</v>
      </c>
      <c r="C186" s="426" t="s">
        <v>2851</v>
      </c>
      <c r="D186" s="426" t="s">
        <v>161</v>
      </c>
      <c r="E186" s="435">
        <v>615</v>
      </c>
      <c r="F186" s="426" t="s">
        <v>1078</v>
      </c>
      <c r="G186" s="426" t="s">
        <v>175</v>
      </c>
    </row>
    <row r="187" spans="1:7" ht="13.5" customHeight="1" x14ac:dyDescent="0.35">
      <c r="A187" s="480">
        <v>43040</v>
      </c>
      <c r="B187" s="45" t="s">
        <v>2596</v>
      </c>
      <c r="C187" s="426" t="s">
        <v>2852</v>
      </c>
      <c r="D187" s="426" t="s">
        <v>161</v>
      </c>
      <c r="E187" s="435">
        <v>80</v>
      </c>
      <c r="F187" s="426" t="s">
        <v>292</v>
      </c>
      <c r="G187" s="426" t="s">
        <v>175</v>
      </c>
    </row>
    <row r="188" spans="1:7" ht="13.5" customHeight="1" x14ac:dyDescent="0.35">
      <c r="A188" s="480">
        <v>43040</v>
      </c>
      <c r="B188" s="426" t="s">
        <v>3305</v>
      </c>
      <c r="C188" s="426" t="s">
        <v>2849</v>
      </c>
      <c r="D188" s="426" t="s">
        <v>162</v>
      </c>
      <c r="E188" s="435">
        <v>2493</v>
      </c>
      <c r="F188" s="426" t="s">
        <v>3306</v>
      </c>
      <c r="G188" s="426" t="s">
        <v>175</v>
      </c>
    </row>
    <row r="189" spans="1:7" ht="13.5" customHeight="1" x14ac:dyDescent="0.35">
      <c r="A189" s="480"/>
    </row>
    <row r="190" spans="1:7" ht="13.5" customHeight="1" x14ac:dyDescent="0.35">
      <c r="A190" s="480">
        <v>43037</v>
      </c>
      <c r="B190" s="426" t="s">
        <v>2871</v>
      </c>
      <c r="C190" s="426" t="s">
        <v>2850</v>
      </c>
      <c r="D190" s="426" t="s">
        <v>159</v>
      </c>
      <c r="E190" s="435">
        <v>66.8</v>
      </c>
      <c r="F190" s="426" t="s">
        <v>501</v>
      </c>
      <c r="G190" s="426" t="s">
        <v>175</v>
      </c>
    </row>
    <row r="191" spans="1:7" ht="13.5" customHeight="1" x14ac:dyDescent="0.35">
      <c r="A191" s="480">
        <v>43035</v>
      </c>
      <c r="B191" s="426" t="s">
        <v>3307</v>
      </c>
      <c r="C191" s="426" t="s">
        <v>2850</v>
      </c>
      <c r="D191" s="426" t="s">
        <v>160</v>
      </c>
      <c r="E191" s="435">
        <v>73.349999999999994</v>
      </c>
      <c r="F191" s="426" t="s">
        <v>1686</v>
      </c>
      <c r="G191" s="426" t="s">
        <v>174</v>
      </c>
    </row>
    <row r="192" spans="1:7" ht="13.5" customHeight="1" x14ac:dyDescent="0.35">
      <c r="A192" s="480">
        <v>43035</v>
      </c>
      <c r="B192" s="426" t="s">
        <v>3308</v>
      </c>
      <c r="C192" s="426" t="s">
        <v>2850</v>
      </c>
      <c r="D192" s="426" t="s">
        <v>160</v>
      </c>
      <c r="E192" s="435">
        <v>100.8</v>
      </c>
      <c r="F192" s="426" t="s">
        <v>177</v>
      </c>
      <c r="G192" s="426" t="s">
        <v>174</v>
      </c>
    </row>
    <row r="193" spans="1:7" ht="13.5" customHeight="1" x14ac:dyDescent="0.35">
      <c r="A193" s="480">
        <v>43035</v>
      </c>
      <c r="B193" s="426" t="s">
        <v>3210</v>
      </c>
      <c r="C193" s="426" t="s">
        <v>2850</v>
      </c>
      <c r="D193" s="426" t="s">
        <v>160</v>
      </c>
      <c r="E193" s="435">
        <v>66.8</v>
      </c>
      <c r="F193" s="426" t="s">
        <v>1638</v>
      </c>
      <c r="G193" s="426" t="s">
        <v>174</v>
      </c>
    </row>
    <row r="194" spans="1:7" ht="13.5" customHeight="1" x14ac:dyDescent="0.35">
      <c r="A194" s="480">
        <v>43035</v>
      </c>
      <c r="B194" s="426" t="s">
        <v>3309</v>
      </c>
      <c r="C194" s="426" t="s">
        <v>2849</v>
      </c>
      <c r="D194" s="426" t="s">
        <v>162</v>
      </c>
      <c r="E194" s="435">
        <v>200</v>
      </c>
      <c r="F194" s="426" t="s">
        <v>1775</v>
      </c>
      <c r="G194" s="426" t="s">
        <v>1311</v>
      </c>
    </row>
    <row r="195" spans="1:7" ht="13.5" customHeight="1" x14ac:dyDescent="0.35">
      <c r="A195" s="480">
        <v>43035</v>
      </c>
      <c r="B195" s="426" t="s">
        <v>3120</v>
      </c>
      <c r="C195" s="426" t="s">
        <v>2849</v>
      </c>
      <c r="D195" s="426" t="s">
        <v>162</v>
      </c>
      <c r="E195" s="435">
        <v>200</v>
      </c>
      <c r="F195" s="426" t="s">
        <v>1775</v>
      </c>
      <c r="G195" s="426" t="s">
        <v>1311</v>
      </c>
    </row>
    <row r="196" spans="1:7" ht="13.5" customHeight="1" x14ac:dyDescent="0.35">
      <c r="A196" s="480">
        <v>43034</v>
      </c>
      <c r="B196" s="426" t="s">
        <v>1828</v>
      </c>
      <c r="C196" s="426" t="s">
        <v>2849</v>
      </c>
      <c r="D196" s="426" t="s">
        <v>162</v>
      </c>
      <c r="E196" s="435">
        <v>200</v>
      </c>
      <c r="F196" s="426" t="s">
        <v>1775</v>
      </c>
      <c r="G196" s="426" t="s">
        <v>1311</v>
      </c>
    </row>
    <row r="197" spans="1:7" ht="13.5" customHeight="1" x14ac:dyDescent="0.35">
      <c r="A197" s="480">
        <v>43032</v>
      </c>
      <c r="B197" s="426" t="s">
        <v>2933</v>
      </c>
      <c r="C197" s="426" t="s">
        <v>2850</v>
      </c>
      <c r="D197" s="426" t="s">
        <v>160</v>
      </c>
      <c r="E197" s="435">
        <v>151.80000000000001</v>
      </c>
      <c r="F197" s="426" t="s">
        <v>177</v>
      </c>
      <c r="G197" s="426" t="s">
        <v>177</v>
      </c>
    </row>
    <row r="198" spans="1:7" ht="13.5" customHeight="1" x14ac:dyDescent="0.35">
      <c r="A198" s="480">
        <v>43031</v>
      </c>
      <c r="B198" s="426" t="s">
        <v>3291</v>
      </c>
      <c r="C198" s="426" t="s">
        <v>2849</v>
      </c>
      <c r="D198" s="426" t="s">
        <v>162</v>
      </c>
      <c r="E198" s="435">
        <v>275</v>
      </c>
      <c r="F198" s="426" t="s">
        <v>2626</v>
      </c>
      <c r="G198" s="426" t="s">
        <v>1311</v>
      </c>
    </row>
    <row r="199" spans="1:7" ht="13.5" customHeight="1" x14ac:dyDescent="0.35">
      <c r="A199" s="480">
        <v>43030</v>
      </c>
      <c r="B199" s="426" t="s">
        <v>3310</v>
      </c>
      <c r="C199" s="426" t="s">
        <v>2849</v>
      </c>
      <c r="D199" s="426" t="s">
        <v>163</v>
      </c>
      <c r="E199" s="435">
        <v>13</v>
      </c>
      <c r="F199" s="426" t="s">
        <v>1924</v>
      </c>
      <c r="G199" s="426" t="s">
        <v>163</v>
      </c>
    </row>
    <row r="200" spans="1:7" ht="13.5" customHeight="1" x14ac:dyDescent="0.35">
      <c r="A200" s="480">
        <v>43030</v>
      </c>
      <c r="B200" s="426" t="s">
        <v>3311</v>
      </c>
      <c r="C200" s="426" t="s">
        <v>2849</v>
      </c>
      <c r="D200" s="426" t="s">
        <v>163</v>
      </c>
      <c r="E200" s="435">
        <v>13</v>
      </c>
      <c r="F200" s="426" t="s">
        <v>1924</v>
      </c>
      <c r="G200" s="426" t="s">
        <v>163</v>
      </c>
    </row>
    <row r="201" spans="1:7" ht="13.5" customHeight="1" x14ac:dyDescent="0.35">
      <c r="A201" s="480">
        <v>43030</v>
      </c>
      <c r="B201" s="426" t="s">
        <v>1854</v>
      </c>
      <c r="C201" s="426" t="s">
        <v>2849</v>
      </c>
      <c r="D201" s="426" t="s">
        <v>162</v>
      </c>
      <c r="E201" s="435">
        <v>380</v>
      </c>
      <c r="F201" s="426" t="s">
        <v>1775</v>
      </c>
      <c r="G201" s="426" t="s">
        <v>1311</v>
      </c>
    </row>
    <row r="202" spans="1:7" ht="13.5" customHeight="1" x14ac:dyDescent="0.35">
      <c r="A202" s="480">
        <v>43027</v>
      </c>
      <c r="B202" s="426" t="s">
        <v>3312</v>
      </c>
      <c r="C202" s="426" t="s">
        <v>2853</v>
      </c>
      <c r="D202" s="426" t="s">
        <v>160</v>
      </c>
      <c r="E202" s="435">
        <v>30</v>
      </c>
      <c r="F202" s="426" t="s">
        <v>2980</v>
      </c>
      <c r="G202" s="426" t="s">
        <v>175</v>
      </c>
    </row>
    <row r="203" spans="1:7" ht="13.5" customHeight="1" x14ac:dyDescent="0.35">
      <c r="A203" s="480">
        <v>43027</v>
      </c>
      <c r="B203" s="426" t="s">
        <v>3303</v>
      </c>
      <c r="C203" s="426" t="s">
        <v>2849</v>
      </c>
      <c r="D203" s="426" t="s">
        <v>162</v>
      </c>
      <c r="E203" s="435">
        <v>117.5</v>
      </c>
      <c r="F203" s="426" t="s">
        <v>1775</v>
      </c>
      <c r="G203" s="426" t="s">
        <v>174</v>
      </c>
    </row>
    <row r="204" spans="1:7" ht="13.5" customHeight="1" x14ac:dyDescent="0.35">
      <c r="A204" s="480">
        <v>43026</v>
      </c>
      <c r="B204" s="426" t="s">
        <v>2431</v>
      </c>
      <c r="C204" s="426" t="s">
        <v>2850</v>
      </c>
      <c r="D204" s="426" t="s">
        <v>159</v>
      </c>
      <c r="E204" s="435">
        <v>151.80000000000001</v>
      </c>
      <c r="F204" s="426" t="s">
        <v>177</v>
      </c>
      <c r="G204" s="426" t="s">
        <v>175</v>
      </c>
    </row>
    <row r="205" spans="1:7" ht="13.5" customHeight="1" x14ac:dyDescent="0.35">
      <c r="A205" s="480">
        <v>43026</v>
      </c>
      <c r="B205" s="426" t="s">
        <v>346</v>
      </c>
      <c r="C205" s="426" t="s">
        <v>2850</v>
      </c>
      <c r="D205" s="426" t="s">
        <v>159</v>
      </c>
      <c r="E205" s="435">
        <v>151.80000000000001</v>
      </c>
      <c r="F205" s="426" t="s">
        <v>177</v>
      </c>
      <c r="G205" s="426" t="s">
        <v>175</v>
      </c>
    </row>
    <row r="206" spans="1:7" ht="13.5" customHeight="1" x14ac:dyDescent="0.35">
      <c r="A206" s="480">
        <v>43026</v>
      </c>
      <c r="B206" s="426" t="s">
        <v>3313</v>
      </c>
      <c r="C206" s="426" t="s">
        <v>2850</v>
      </c>
      <c r="D206" s="426" t="s">
        <v>160</v>
      </c>
      <c r="E206" s="435">
        <v>99</v>
      </c>
      <c r="F206" s="426" t="s">
        <v>177</v>
      </c>
      <c r="G206" s="426" t="s">
        <v>177</v>
      </c>
    </row>
    <row r="207" spans="1:7" ht="13.5" customHeight="1" x14ac:dyDescent="0.35">
      <c r="A207" s="480">
        <v>43026</v>
      </c>
      <c r="B207" s="426" t="s">
        <v>2424</v>
      </c>
      <c r="C207" s="426" t="s">
        <v>2849</v>
      </c>
      <c r="D207" s="426" t="s">
        <v>162</v>
      </c>
      <c r="E207" s="435">
        <v>175</v>
      </c>
      <c r="F207" s="426" t="s">
        <v>291</v>
      </c>
      <c r="G207" s="426" t="s">
        <v>175</v>
      </c>
    </row>
    <row r="208" spans="1:7" ht="13.5" customHeight="1" x14ac:dyDescent="0.35">
      <c r="A208" s="480">
        <v>43026</v>
      </c>
      <c r="B208" s="426" t="s">
        <v>3228</v>
      </c>
      <c r="C208" s="426" t="s">
        <v>2850</v>
      </c>
      <c r="D208" s="426" t="s">
        <v>162</v>
      </c>
      <c r="E208" s="435">
        <v>150</v>
      </c>
      <c r="F208" s="426" t="s">
        <v>177</v>
      </c>
      <c r="G208" s="426" t="s">
        <v>175</v>
      </c>
    </row>
    <row r="209" spans="1:7" ht="13.5" customHeight="1" x14ac:dyDescent="0.35">
      <c r="A209" s="480">
        <v>43026</v>
      </c>
      <c r="B209" s="426" t="s">
        <v>2394</v>
      </c>
      <c r="C209" s="426" t="s">
        <v>2850</v>
      </c>
      <c r="D209" s="426" t="s">
        <v>162</v>
      </c>
      <c r="E209" s="435">
        <v>150</v>
      </c>
      <c r="F209" s="426" t="s">
        <v>177</v>
      </c>
      <c r="G209" s="426" t="s">
        <v>175</v>
      </c>
    </row>
    <row r="210" spans="1:7" ht="13.5" customHeight="1" x14ac:dyDescent="0.35">
      <c r="A210" s="480">
        <v>43025</v>
      </c>
      <c r="B210" s="426" t="s">
        <v>3303</v>
      </c>
      <c r="C210" s="426" t="s">
        <v>2849</v>
      </c>
      <c r="D210" s="426" t="s">
        <v>160</v>
      </c>
      <c r="E210" s="435">
        <v>30</v>
      </c>
      <c r="F210" s="426" t="s">
        <v>1924</v>
      </c>
      <c r="G210" s="426" t="s">
        <v>174</v>
      </c>
    </row>
    <row r="211" spans="1:7" ht="13.5" customHeight="1" x14ac:dyDescent="0.35">
      <c r="A211" s="480">
        <v>43024</v>
      </c>
      <c r="B211" s="426" t="s">
        <v>1843</v>
      </c>
      <c r="C211" s="426" t="s">
        <v>2849</v>
      </c>
      <c r="D211" s="426" t="s">
        <v>162</v>
      </c>
      <c r="E211" s="435">
        <v>65</v>
      </c>
      <c r="F211" s="426" t="s">
        <v>1775</v>
      </c>
      <c r="G211" s="426" t="s">
        <v>1311</v>
      </c>
    </row>
    <row r="212" spans="1:7" ht="13.5" customHeight="1" x14ac:dyDescent="0.35">
      <c r="A212" s="480">
        <v>43024</v>
      </c>
      <c r="B212" s="426" t="s">
        <v>1848</v>
      </c>
      <c r="C212" s="426" t="s">
        <v>2849</v>
      </c>
      <c r="D212" s="426" t="s">
        <v>162</v>
      </c>
      <c r="E212" s="435">
        <v>65</v>
      </c>
      <c r="F212" s="426" t="s">
        <v>1775</v>
      </c>
      <c r="G212" s="426" t="s">
        <v>1311</v>
      </c>
    </row>
    <row r="213" spans="1:7" ht="13.5" customHeight="1" x14ac:dyDescent="0.35">
      <c r="A213" s="480">
        <v>43024</v>
      </c>
      <c r="B213" s="426" t="s">
        <v>3314</v>
      </c>
      <c r="C213" s="426" t="s">
        <v>2850</v>
      </c>
      <c r="D213" s="426" t="s">
        <v>159</v>
      </c>
      <c r="E213" s="435">
        <v>200.4</v>
      </c>
      <c r="F213" s="426" t="s">
        <v>177</v>
      </c>
      <c r="G213" s="426" t="s">
        <v>177</v>
      </c>
    </row>
    <row r="214" spans="1:7" ht="13.5" customHeight="1" x14ac:dyDescent="0.35">
      <c r="A214" s="480">
        <v>43022</v>
      </c>
      <c r="B214" s="426" t="s">
        <v>3315</v>
      </c>
      <c r="C214" s="426" t="s">
        <v>2850</v>
      </c>
      <c r="D214" s="426" t="s">
        <v>159</v>
      </c>
      <c r="E214" s="435">
        <v>100.8</v>
      </c>
      <c r="F214" s="426" t="s">
        <v>177</v>
      </c>
      <c r="G214" s="426" t="s">
        <v>181</v>
      </c>
    </row>
    <row r="215" spans="1:7" ht="13.5" customHeight="1" x14ac:dyDescent="0.35">
      <c r="A215" s="480">
        <v>43022</v>
      </c>
      <c r="B215" s="426" t="s">
        <v>3316</v>
      </c>
      <c r="C215" s="426" t="s">
        <v>2850</v>
      </c>
      <c r="D215" s="426" t="s">
        <v>159</v>
      </c>
      <c r="E215" s="435">
        <v>151.80000000000001</v>
      </c>
      <c r="F215" s="426" t="s">
        <v>177</v>
      </c>
      <c r="G215" s="426" t="s">
        <v>175</v>
      </c>
    </row>
    <row r="216" spans="1:7" ht="13.5" customHeight="1" x14ac:dyDescent="0.35">
      <c r="A216" s="480">
        <v>43020</v>
      </c>
      <c r="B216" s="426" t="s">
        <v>1840</v>
      </c>
      <c r="C216" s="426" t="s">
        <v>2849</v>
      </c>
      <c r="D216" s="426" t="s">
        <v>162</v>
      </c>
      <c r="E216" s="435">
        <v>100</v>
      </c>
      <c r="F216" s="426" t="s">
        <v>1775</v>
      </c>
      <c r="G216" s="426" t="s">
        <v>1311</v>
      </c>
    </row>
    <row r="217" spans="1:7" ht="13.5" customHeight="1" x14ac:dyDescent="0.35">
      <c r="A217" s="480">
        <v>43020</v>
      </c>
      <c r="B217" s="426" t="s">
        <v>1840</v>
      </c>
      <c r="C217" s="426" t="s">
        <v>2849</v>
      </c>
      <c r="D217" s="426" t="s">
        <v>162</v>
      </c>
      <c r="E217" s="435">
        <v>230</v>
      </c>
      <c r="F217" s="426" t="s">
        <v>1775</v>
      </c>
      <c r="G217" s="426" t="s">
        <v>1311</v>
      </c>
    </row>
    <row r="218" spans="1:7" ht="13.5" customHeight="1" x14ac:dyDescent="0.35">
      <c r="A218" s="480">
        <v>43020</v>
      </c>
      <c r="B218" s="426" t="s">
        <v>3226</v>
      </c>
      <c r="C218" s="426" t="s">
        <v>941</v>
      </c>
      <c r="D218" s="426" t="s">
        <v>159</v>
      </c>
      <c r="E218" s="435">
        <v>195</v>
      </c>
      <c r="F218" s="478" t="s">
        <v>3317</v>
      </c>
      <c r="G218" s="426" t="s">
        <v>175</v>
      </c>
    </row>
    <row r="219" spans="1:7" ht="13.5" customHeight="1" x14ac:dyDescent="0.35">
      <c r="A219" s="480">
        <v>43019</v>
      </c>
      <c r="B219" s="426" t="s">
        <v>3318</v>
      </c>
      <c r="C219" s="426" t="s">
        <v>2849</v>
      </c>
      <c r="D219" s="426" t="s">
        <v>163</v>
      </c>
      <c r="E219" s="435">
        <v>13</v>
      </c>
      <c r="F219" s="426" t="s">
        <v>1924</v>
      </c>
      <c r="G219" s="426" t="s">
        <v>163</v>
      </c>
    </row>
    <row r="220" spans="1:7" ht="13.5" customHeight="1" x14ac:dyDescent="0.35">
      <c r="A220" s="480">
        <v>43019</v>
      </c>
      <c r="B220" s="426" t="s">
        <v>3104</v>
      </c>
      <c r="C220" s="426" t="s">
        <v>2849</v>
      </c>
      <c r="D220" s="426" t="s">
        <v>163</v>
      </c>
      <c r="E220" s="435">
        <v>13</v>
      </c>
      <c r="F220" s="426" t="s">
        <v>1924</v>
      </c>
      <c r="G220" s="426" t="s">
        <v>163</v>
      </c>
    </row>
    <row r="221" spans="1:7" ht="13.5" customHeight="1" x14ac:dyDescent="0.35">
      <c r="A221" s="480">
        <v>43019</v>
      </c>
      <c r="B221" s="426" t="s">
        <v>3319</v>
      </c>
      <c r="C221" s="426" t="s">
        <v>2850</v>
      </c>
      <c r="D221" s="426" t="s">
        <v>159</v>
      </c>
      <c r="E221" s="435">
        <v>151.80000000000001</v>
      </c>
      <c r="F221" s="426" t="s">
        <v>177</v>
      </c>
      <c r="G221" s="426" t="s">
        <v>175</v>
      </c>
    </row>
    <row r="222" spans="1:7" ht="13.5" customHeight="1" x14ac:dyDescent="0.35">
      <c r="A222" s="480">
        <v>43018</v>
      </c>
      <c r="B222" s="426" t="s">
        <v>3320</v>
      </c>
      <c r="C222" s="426" t="s">
        <v>2850</v>
      </c>
      <c r="D222" s="426" t="s">
        <v>159</v>
      </c>
      <c r="E222" s="435">
        <v>100.8</v>
      </c>
      <c r="F222" s="426" t="s">
        <v>177</v>
      </c>
      <c r="G222" s="426" t="s">
        <v>181</v>
      </c>
    </row>
    <row r="223" spans="1:7" ht="13.5" customHeight="1" x14ac:dyDescent="0.35">
      <c r="A223" s="480">
        <v>43018</v>
      </c>
      <c r="B223" s="426" t="s">
        <v>3228</v>
      </c>
      <c r="C223" s="426" t="s">
        <v>2850</v>
      </c>
      <c r="D223" s="426" t="s">
        <v>162</v>
      </c>
      <c r="E223" s="435">
        <v>350</v>
      </c>
      <c r="F223" s="426" t="s">
        <v>3321</v>
      </c>
      <c r="G223" s="426" t="s">
        <v>175</v>
      </c>
    </row>
    <row r="224" spans="1:7" ht="13.5" customHeight="1" x14ac:dyDescent="0.35">
      <c r="A224" s="480">
        <v>43018</v>
      </c>
      <c r="B224" s="426" t="s">
        <v>3322</v>
      </c>
      <c r="C224" s="426" t="s">
        <v>2849</v>
      </c>
      <c r="D224" s="426" t="s">
        <v>162</v>
      </c>
      <c r="E224" s="435">
        <v>65</v>
      </c>
      <c r="F224" s="426" t="s">
        <v>1775</v>
      </c>
      <c r="G224" s="426" t="s">
        <v>1311</v>
      </c>
    </row>
    <row r="225" spans="1:7" ht="13.5" customHeight="1" x14ac:dyDescent="0.35">
      <c r="A225" s="480">
        <v>43017</v>
      </c>
      <c r="B225" s="426" t="s">
        <v>3138</v>
      </c>
      <c r="C225" s="426" t="s">
        <v>941</v>
      </c>
      <c r="D225" s="426" t="s">
        <v>159</v>
      </c>
      <c r="E225" s="435">
        <v>50</v>
      </c>
      <c r="F225" s="426" t="s">
        <v>3323</v>
      </c>
      <c r="G225" s="426" t="s">
        <v>175</v>
      </c>
    </row>
    <row r="226" spans="1:7" ht="13.5" customHeight="1" x14ac:dyDescent="0.35">
      <c r="A226" s="480">
        <v>43017</v>
      </c>
      <c r="B226" s="426" t="s">
        <v>732</v>
      </c>
      <c r="C226" s="426" t="s">
        <v>2850</v>
      </c>
      <c r="D226" s="426" t="s">
        <v>159</v>
      </c>
      <c r="E226" s="435">
        <v>166.4</v>
      </c>
      <c r="F226" s="426" t="s">
        <v>3324</v>
      </c>
      <c r="G226" s="426" t="s">
        <v>175</v>
      </c>
    </row>
    <row r="227" spans="1:7" ht="13.5" customHeight="1" x14ac:dyDescent="0.35">
      <c r="A227" s="480">
        <v>43017</v>
      </c>
      <c r="B227" s="426" t="s">
        <v>3325</v>
      </c>
      <c r="C227" s="426" t="s">
        <v>2850</v>
      </c>
      <c r="D227" s="426" t="s">
        <v>2297</v>
      </c>
      <c r="E227" s="435">
        <v>40</v>
      </c>
      <c r="F227" s="426" t="s">
        <v>177</v>
      </c>
      <c r="G227" s="426" t="s">
        <v>177</v>
      </c>
    </row>
    <row r="228" spans="1:7" ht="13.5" customHeight="1" x14ac:dyDescent="0.35">
      <c r="A228" s="480">
        <v>43017</v>
      </c>
      <c r="B228" s="426" t="s">
        <v>3326</v>
      </c>
      <c r="C228" s="426" t="s">
        <v>2850</v>
      </c>
      <c r="D228" s="426" t="s">
        <v>159</v>
      </c>
      <c r="E228" s="435">
        <v>200.4</v>
      </c>
      <c r="F228" s="426" t="s">
        <v>177</v>
      </c>
      <c r="G228" s="426" t="s">
        <v>177</v>
      </c>
    </row>
    <row r="229" spans="1:7" ht="13.5" customHeight="1" x14ac:dyDescent="0.35">
      <c r="A229" s="480">
        <v>43016</v>
      </c>
      <c r="B229" s="426" t="s">
        <v>3277</v>
      </c>
      <c r="C229" s="426" t="s">
        <v>2849</v>
      </c>
      <c r="D229" s="426" t="s">
        <v>159</v>
      </c>
      <c r="E229" s="435">
        <v>30</v>
      </c>
      <c r="F229" s="426" t="s">
        <v>1924</v>
      </c>
      <c r="G229" s="426" t="s">
        <v>174</v>
      </c>
    </row>
    <row r="230" spans="1:7" ht="13.5" customHeight="1" x14ac:dyDescent="0.35">
      <c r="A230" s="480">
        <v>43016</v>
      </c>
      <c r="B230" s="426" t="s">
        <v>2095</v>
      </c>
      <c r="C230" s="426" t="s">
        <v>2849</v>
      </c>
      <c r="D230" s="426" t="s">
        <v>160</v>
      </c>
      <c r="E230" s="435">
        <v>265</v>
      </c>
      <c r="F230" s="426" t="s">
        <v>291</v>
      </c>
      <c r="G230" s="426" t="s">
        <v>175</v>
      </c>
    </row>
    <row r="231" spans="1:7" ht="13.5" customHeight="1" x14ac:dyDescent="0.35">
      <c r="A231" s="480">
        <v>43015</v>
      </c>
      <c r="B231" s="426" t="s">
        <v>3292</v>
      </c>
      <c r="C231" s="426" t="s">
        <v>2849</v>
      </c>
      <c r="D231" s="426" t="s">
        <v>159</v>
      </c>
      <c r="E231" s="435">
        <v>265</v>
      </c>
      <c r="F231" s="426" t="s">
        <v>1775</v>
      </c>
      <c r="G231" s="426" t="s">
        <v>175</v>
      </c>
    </row>
    <row r="232" spans="1:7" ht="13.5" customHeight="1" x14ac:dyDescent="0.35">
      <c r="A232" s="480">
        <v>43015</v>
      </c>
      <c r="B232" s="426" t="s">
        <v>3327</v>
      </c>
      <c r="C232" s="426" t="s">
        <v>2850</v>
      </c>
      <c r="D232" s="426" t="s">
        <v>159</v>
      </c>
      <c r="E232" s="426">
        <v>302.39999999999998</v>
      </c>
      <c r="F232" s="426" t="s">
        <v>177</v>
      </c>
      <c r="G232" s="426" t="s">
        <v>177</v>
      </c>
    </row>
    <row r="233" spans="1:7" ht="13.5" customHeight="1" x14ac:dyDescent="0.35">
      <c r="A233" s="480">
        <v>43012</v>
      </c>
      <c r="B233" s="426" t="s">
        <v>3328</v>
      </c>
      <c r="C233" s="426" t="s">
        <v>2849</v>
      </c>
      <c r="D233" s="426" t="s">
        <v>162</v>
      </c>
      <c r="E233" s="435">
        <v>200</v>
      </c>
      <c r="F233" s="426" t="s">
        <v>1775</v>
      </c>
      <c r="G233" s="426" t="s">
        <v>1311</v>
      </c>
    </row>
    <row r="234" spans="1:7" ht="13.5" customHeight="1" x14ac:dyDescent="0.35">
      <c r="A234" s="480">
        <v>43012</v>
      </c>
      <c r="B234" s="426" t="s">
        <v>1811</v>
      </c>
      <c r="C234" s="426" t="s">
        <v>2850</v>
      </c>
      <c r="D234" s="426" t="s">
        <v>162</v>
      </c>
      <c r="E234" s="435">
        <v>135</v>
      </c>
      <c r="F234" s="426" t="s">
        <v>3329</v>
      </c>
      <c r="G234" s="426" t="s">
        <v>1311</v>
      </c>
    </row>
    <row r="235" spans="1:7" ht="13.5" customHeight="1" x14ac:dyDescent="0.35">
      <c r="A235" s="480">
        <v>43012</v>
      </c>
      <c r="B235" s="426" t="s">
        <v>1807</v>
      </c>
      <c r="C235" s="426" t="s">
        <v>2849</v>
      </c>
      <c r="D235" s="426" t="s">
        <v>162</v>
      </c>
      <c r="E235" s="435">
        <v>200</v>
      </c>
      <c r="F235" s="426" t="s">
        <v>1775</v>
      </c>
      <c r="G235" s="426" t="s">
        <v>1311</v>
      </c>
    </row>
    <row r="236" spans="1:7" ht="13.5" customHeight="1" x14ac:dyDescent="0.35">
      <c r="A236" s="480">
        <v>43012</v>
      </c>
      <c r="B236" s="426" t="s">
        <v>1809</v>
      </c>
      <c r="C236" s="426" t="s">
        <v>2849</v>
      </c>
      <c r="D236" s="426" t="s">
        <v>162</v>
      </c>
      <c r="E236" s="435">
        <v>200</v>
      </c>
      <c r="F236" s="426" t="s">
        <v>1775</v>
      </c>
      <c r="G236" s="426" t="s">
        <v>1311</v>
      </c>
    </row>
    <row r="237" spans="1:7" ht="13.5" customHeight="1" x14ac:dyDescent="0.35">
      <c r="A237" s="480">
        <v>43011</v>
      </c>
      <c r="B237" s="426" t="s">
        <v>3330</v>
      </c>
      <c r="C237" s="426" t="s">
        <v>2851</v>
      </c>
      <c r="D237" s="426" t="s">
        <v>162</v>
      </c>
      <c r="E237" s="435">
        <v>1000</v>
      </c>
      <c r="F237" s="426" t="s">
        <v>1031</v>
      </c>
      <c r="G237" s="426" t="s">
        <v>175</v>
      </c>
    </row>
    <row r="238" spans="1:7" ht="13.5" customHeight="1" x14ac:dyDescent="0.35">
      <c r="A238" s="480">
        <v>43011</v>
      </c>
      <c r="B238" s="426" t="s">
        <v>3063</v>
      </c>
      <c r="C238" s="426" t="s">
        <v>2853</v>
      </c>
      <c r="D238" s="426" t="s">
        <v>160</v>
      </c>
      <c r="E238" s="435">
        <v>20.85</v>
      </c>
      <c r="F238" s="426" t="s">
        <v>1254</v>
      </c>
      <c r="G238" s="426" t="s">
        <v>177</v>
      </c>
    </row>
    <row r="239" spans="1:7" ht="13.5" customHeight="1" x14ac:dyDescent="0.35">
      <c r="A239" s="480">
        <v>43011</v>
      </c>
      <c r="B239" s="426" t="s">
        <v>3331</v>
      </c>
      <c r="C239" s="426" t="s">
        <v>2849</v>
      </c>
      <c r="D239" s="426" t="s">
        <v>163</v>
      </c>
      <c r="E239" s="435">
        <v>13</v>
      </c>
      <c r="F239" s="426" t="s">
        <v>1924</v>
      </c>
      <c r="G239" s="426" t="s">
        <v>163</v>
      </c>
    </row>
    <row r="240" spans="1:7" ht="13.5" customHeight="1" x14ac:dyDescent="0.35">
      <c r="A240" s="480">
        <v>43010</v>
      </c>
      <c r="B240" s="426" t="s">
        <v>1813</v>
      </c>
      <c r="C240" s="426" t="s">
        <v>2849</v>
      </c>
      <c r="D240" s="426" t="s">
        <v>162</v>
      </c>
      <c r="E240" s="435">
        <v>200</v>
      </c>
      <c r="F240" s="426" t="s">
        <v>1775</v>
      </c>
      <c r="G240" s="426" t="s">
        <v>1311</v>
      </c>
    </row>
    <row r="241" spans="1:7" ht="13.5" customHeight="1" x14ac:dyDescent="0.35">
      <c r="A241" s="480">
        <v>43010</v>
      </c>
      <c r="B241" s="426" t="s">
        <v>1815</v>
      </c>
      <c r="C241" s="426" t="s">
        <v>2849</v>
      </c>
      <c r="D241" s="426" t="s">
        <v>162</v>
      </c>
      <c r="E241" s="435">
        <v>200</v>
      </c>
      <c r="F241" s="426" t="s">
        <v>1775</v>
      </c>
      <c r="G241" s="426" t="s">
        <v>1311</v>
      </c>
    </row>
    <row r="242" spans="1:7" ht="13.5" customHeight="1" x14ac:dyDescent="0.35">
      <c r="A242" s="480">
        <v>43010</v>
      </c>
      <c r="B242" s="426" t="s">
        <v>1817</v>
      </c>
      <c r="C242" s="426" t="s">
        <v>2849</v>
      </c>
      <c r="D242" s="426" t="s">
        <v>162</v>
      </c>
      <c r="E242" s="435">
        <v>200</v>
      </c>
      <c r="F242" s="426" t="s">
        <v>1819</v>
      </c>
      <c r="G242" s="426" t="s">
        <v>1311</v>
      </c>
    </row>
    <row r="243" spans="1:7" ht="13.5" customHeight="1" x14ac:dyDescent="0.35">
      <c r="A243" s="480">
        <v>43010</v>
      </c>
      <c r="B243" s="426" t="s">
        <v>1820</v>
      </c>
      <c r="C243" s="426" t="s">
        <v>2850</v>
      </c>
      <c r="D243" s="426" t="s">
        <v>162</v>
      </c>
      <c r="E243" s="435">
        <v>65</v>
      </c>
      <c r="F243" s="426" t="s">
        <v>1375</v>
      </c>
      <c r="G243" s="426" t="s">
        <v>1311</v>
      </c>
    </row>
    <row r="244" spans="1:7" ht="13.5" customHeight="1" x14ac:dyDescent="0.35">
      <c r="A244" s="480">
        <v>43010</v>
      </c>
      <c r="B244" s="426" t="s">
        <v>1822</v>
      </c>
      <c r="C244" s="426" t="s">
        <v>2849</v>
      </c>
      <c r="D244" s="426" t="s">
        <v>162</v>
      </c>
      <c r="E244" s="435">
        <v>200</v>
      </c>
      <c r="F244" s="426" t="s">
        <v>1775</v>
      </c>
      <c r="G244" s="426" t="s">
        <v>1311</v>
      </c>
    </row>
    <row r="245" spans="1:7" ht="13.5" customHeight="1" x14ac:dyDescent="0.35">
      <c r="A245" s="480">
        <v>43010</v>
      </c>
      <c r="B245" s="426" t="s">
        <v>1824</v>
      </c>
      <c r="C245" s="426" t="s">
        <v>2849</v>
      </c>
      <c r="D245" s="426" t="s">
        <v>162</v>
      </c>
      <c r="E245" s="435">
        <v>200</v>
      </c>
      <c r="F245" s="426" t="s">
        <v>1775</v>
      </c>
      <c r="G245" s="426" t="s">
        <v>1311</v>
      </c>
    </row>
    <row r="246" spans="1:7" ht="13.5" customHeight="1" x14ac:dyDescent="0.35">
      <c r="A246" s="480">
        <v>43010</v>
      </c>
      <c r="B246" s="426" t="s">
        <v>1826</v>
      </c>
      <c r="C246" s="426" t="s">
        <v>2850</v>
      </c>
      <c r="D246" s="426" t="s">
        <v>162</v>
      </c>
      <c r="E246" s="435">
        <v>41</v>
      </c>
      <c r="F246" s="426" t="s">
        <v>1375</v>
      </c>
      <c r="G246" s="426" t="s">
        <v>1311</v>
      </c>
    </row>
    <row r="247" spans="1:7" ht="13.5" customHeight="1" x14ac:dyDescent="0.35">
      <c r="A247" s="480">
        <v>43009</v>
      </c>
      <c r="B247" s="426" t="s">
        <v>2611</v>
      </c>
      <c r="C247" s="426" t="s">
        <v>2851</v>
      </c>
      <c r="D247" s="426" t="s">
        <v>161</v>
      </c>
      <c r="E247" s="435">
        <v>232.48</v>
      </c>
      <c r="F247" s="426" t="s">
        <v>1078</v>
      </c>
      <c r="G247" s="426" t="s">
        <v>175</v>
      </c>
    </row>
    <row r="248" spans="1:7" ht="13.5" customHeight="1" x14ac:dyDescent="0.35">
      <c r="A248" s="480">
        <v>43009</v>
      </c>
      <c r="B248" s="426" t="s">
        <v>2612</v>
      </c>
      <c r="C248" s="426" t="s">
        <v>2852</v>
      </c>
      <c r="D248" s="426" t="s">
        <v>161</v>
      </c>
      <c r="E248" s="435">
        <v>100</v>
      </c>
      <c r="F248" s="426" t="s">
        <v>292</v>
      </c>
      <c r="G248" s="426" t="s">
        <v>175</v>
      </c>
    </row>
    <row r="249" spans="1:7" ht="13.5" customHeight="1" x14ac:dyDescent="0.35">
      <c r="A249" s="480">
        <v>43009</v>
      </c>
      <c r="B249" s="426" t="s">
        <v>3332</v>
      </c>
      <c r="C249" s="426" t="s">
        <v>2850</v>
      </c>
      <c r="D249" s="426" t="s">
        <v>160</v>
      </c>
      <c r="E249" s="435">
        <v>100.8</v>
      </c>
      <c r="F249" s="426" t="s">
        <v>177</v>
      </c>
      <c r="G249" s="426" t="s">
        <v>174</v>
      </c>
    </row>
    <row r="250" spans="1:7" ht="13.5" customHeight="1" x14ac:dyDescent="0.35">
      <c r="A250" s="480"/>
    </row>
    <row r="251" spans="1:7" ht="13.5" customHeight="1" x14ac:dyDescent="0.35">
      <c r="A251" s="480">
        <v>43008</v>
      </c>
      <c r="B251" s="426" t="s">
        <v>3171</v>
      </c>
      <c r="C251" s="426" t="s">
        <v>2849</v>
      </c>
      <c r="D251" s="426" t="s">
        <v>2442</v>
      </c>
      <c r="E251" s="435">
        <v>265</v>
      </c>
      <c r="F251" s="426" t="s">
        <v>1775</v>
      </c>
      <c r="G251" s="426" t="s">
        <v>174</v>
      </c>
    </row>
    <row r="252" spans="1:7" ht="13.5" customHeight="1" x14ac:dyDescent="0.35">
      <c r="A252" s="480">
        <v>43007</v>
      </c>
      <c r="B252" s="426" t="s">
        <v>2971</v>
      </c>
      <c r="C252" s="426" t="s">
        <v>2850</v>
      </c>
      <c r="D252" s="426" t="s">
        <v>159</v>
      </c>
      <c r="E252" s="435">
        <v>151.80000000000001</v>
      </c>
      <c r="F252" s="426" t="s">
        <v>177</v>
      </c>
      <c r="G252" s="426" t="s">
        <v>177</v>
      </c>
    </row>
    <row r="253" spans="1:7" ht="13.5" customHeight="1" x14ac:dyDescent="0.35">
      <c r="A253" s="480">
        <v>43006</v>
      </c>
      <c r="B253" s="426" t="s">
        <v>2654</v>
      </c>
      <c r="C253" s="426" t="s">
        <v>2850</v>
      </c>
      <c r="D253" s="426" t="s">
        <v>159</v>
      </c>
      <c r="E253" s="435">
        <v>66.8</v>
      </c>
      <c r="F253" s="426" t="s">
        <v>1638</v>
      </c>
      <c r="G253" s="426" t="s">
        <v>174</v>
      </c>
    </row>
    <row r="254" spans="1:7" ht="13.5" customHeight="1" x14ac:dyDescent="0.35">
      <c r="A254" s="480">
        <v>43006</v>
      </c>
      <c r="B254" s="426" t="s">
        <v>3333</v>
      </c>
      <c r="C254" s="426" t="s">
        <v>2851</v>
      </c>
      <c r="D254" s="426" t="s">
        <v>162</v>
      </c>
      <c r="E254" s="435">
        <v>1000</v>
      </c>
      <c r="F254" s="426" t="s">
        <v>3334</v>
      </c>
      <c r="G254" s="426" t="s">
        <v>174</v>
      </c>
    </row>
    <row r="255" spans="1:7" ht="13.5" customHeight="1" x14ac:dyDescent="0.35">
      <c r="A255" s="480">
        <v>43005</v>
      </c>
      <c r="B255" s="426" t="s">
        <v>1833</v>
      </c>
      <c r="C255" s="426" t="s">
        <v>2849</v>
      </c>
      <c r="D255" s="426" t="s">
        <v>162</v>
      </c>
      <c r="E255" s="435">
        <v>65</v>
      </c>
      <c r="F255" s="426" t="s">
        <v>291</v>
      </c>
      <c r="G255" s="426" t="s">
        <v>1311</v>
      </c>
    </row>
    <row r="256" spans="1:7" ht="13.5" customHeight="1" x14ac:dyDescent="0.35">
      <c r="A256" s="480">
        <v>43005</v>
      </c>
      <c r="B256" s="426" t="s">
        <v>3335</v>
      </c>
      <c r="C256" s="426" t="s">
        <v>2850</v>
      </c>
      <c r="D256" s="426" t="s">
        <v>159</v>
      </c>
      <c r="E256" s="435">
        <v>151.80000000000001</v>
      </c>
      <c r="F256" s="426" t="s">
        <v>2090</v>
      </c>
      <c r="G256" s="426" t="s">
        <v>174</v>
      </c>
    </row>
    <row r="257" spans="1:7" ht="13.5" customHeight="1" x14ac:dyDescent="0.35">
      <c r="A257" s="480">
        <v>43004</v>
      </c>
      <c r="B257" s="426" t="s">
        <v>3336</v>
      </c>
      <c r="C257" s="426" t="s">
        <v>2850</v>
      </c>
      <c r="D257" s="426" t="s">
        <v>2297</v>
      </c>
      <c r="E257" s="435">
        <v>99</v>
      </c>
      <c r="F257" s="426" t="s">
        <v>2090</v>
      </c>
      <c r="G257" s="426" t="s">
        <v>177</v>
      </c>
    </row>
    <row r="258" spans="1:7" ht="13.5" customHeight="1" x14ac:dyDescent="0.35">
      <c r="A258" s="480">
        <v>43003</v>
      </c>
      <c r="B258" s="426" t="s">
        <v>3337</v>
      </c>
      <c r="C258" s="426" t="s">
        <v>2849</v>
      </c>
      <c r="D258" s="426" t="s">
        <v>162</v>
      </c>
      <c r="E258" s="435">
        <v>55</v>
      </c>
      <c r="F258" s="426" t="s">
        <v>1819</v>
      </c>
      <c r="G258" s="426" t="s">
        <v>174</v>
      </c>
    </row>
    <row r="259" spans="1:7" ht="13.5" customHeight="1" x14ac:dyDescent="0.35">
      <c r="A259" s="480">
        <v>43003</v>
      </c>
      <c r="B259" s="426" t="s">
        <v>3337</v>
      </c>
      <c r="C259" s="426" t="s">
        <v>2849</v>
      </c>
      <c r="D259" s="426" t="s">
        <v>159</v>
      </c>
      <c r="E259" s="435">
        <v>135</v>
      </c>
      <c r="F259" s="426" t="s">
        <v>1819</v>
      </c>
      <c r="G259" s="426" t="s">
        <v>174</v>
      </c>
    </row>
    <row r="260" spans="1:7" ht="13.5" customHeight="1" x14ac:dyDescent="0.35">
      <c r="A260" s="480">
        <v>43003</v>
      </c>
      <c r="B260" s="426" t="s">
        <v>3338</v>
      </c>
      <c r="C260" s="426" t="s">
        <v>2849</v>
      </c>
      <c r="D260" s="426" t="s">
        <v>163</v>
      </c>
      <c r="E260" s="435">
        <v>13</v>
      </c>
      <c r="F260" s="426" t="s">
        <v>1924</v>
      </c>
      <c r="G260" s="426" t="s">
        <v>163</v>
      </c>
    </row>
    <row r="261" spans="1:7" ht="13.5" customHeight="1" x14ac:dyDescent="0.35">
      <c r="A261" s="480">
        <v>43002</v>
      </c>
      <c r="B261" s="426" t="s">
        <v>3002</v>
      </c>
      <c r="C261" s="426" t="s">
        <v>2850</v>
      </c>
      <c r="D261" s="426" t="s">
        <v>162</v>
      </c>
      <c r="E261" s="435">
        <v>475</v>
      </c>
      <c r="F261" s="426" t="s">
        <v>3339</v>
      </c>
      <c r="G261" s="426" t="s">
        <v>175</v>
      </c>
    </row>
    <row r="262" spans="1:7" ht="13.5" customHeight="1" x14ac:dyDescent="0.35">
      <c r="A262" s="480">
        <v>43002</v>
      </c>
      <c r="B262" s="426" t="s">
        <v>2920</v>
      </c>
      <c r="C262" s="426" t="s">
        <v>2850</v>
      </c>
      <c r="D262" s="426" t="s">
        <v>159</v>
      </c>
      <c r="E262" s="435">
        <v>476.8</v>
      </c>
      <c r="F262" s="426" t="s">
        <v>3339</v>
      </c>
      <c r="G262" s="426" t="s">
        <v>175</v>
      </c>
    </row>
    <row r="263" spans="1:7" ht="13.5" customHeight="1" x14ac:dyDescent="0.35">
      <c r="A263" s="480">
        <v>43001</v>
      </c>
      <c r="B263" s="426" t="s">
        <v>3120</v>
      </c>
      <c r="C263" s="426" t="s">
        <v>2849</v>
      </c>
      <c r="D263" s="426" t="s">
        <v>162</v>
      </c>
      <c r="E263" s="435">
        <v>65</v>
      </c>
      <c r="F263" s="426" t="s">
        <v>3340</v>
      </c>
      <c r="G263" s="426" t="s">
        <v>1311</v>
      </c>
    </row>
    <row r="264" spans="1:7" ht="13.5" customHeight="1" x14ac:dyDescent="0.35">
      <c r="A264" s="480">
        <v>43000</v>
      </c>
      <c r="B264" s="426" t="s">
        <v>3341</v>
      </c>
      <c r="C264" s="426" t="s">
        <v>2849</v>
      </c>
      <c r="D264" s="426" t="s">
        <v>163</v>
      </c>
      <c r="E264" s="435">
        <v>13</v>
      </c>
      <c r="F264" s="426" t="s">
        <v>1924</v>
      </c>
      <c r="G264" s="426" t="s">
        <v>163</v>
      </c>
    </row>
    <row r="265" spans="1:7" ht="13.5" customHeight="1" x14ac:dyDescent="0.35">
      <c r="A265" s="480">
        <v>43000</v>
      </c>
      <c r="B265" s="426" t="s">
        <v>3342</v>
      </c>
      <c r="C265" s="426" t="s">
        <v>2849</v>
      </c>
      <c r="D265" s="426" t="s">
        <v>163</v>
      </c>
      <c r="E265" s="435">
        <v>13</v>
      </c>
      <c r="F265" s="426" t="s">
        <v>1924</v>
      </c>
      <c r="G265" s="426" t="s">
        <v>163</v>
      </c>
    </row>
    <row r="266" spans="1:7" ht="13.5" customHeight="1" x14ac:dyDescent="0.35">
      <c r="A266" s="480">
        <v>43000</v>
      </c>
      <c r="B266" s="426" t="s">
        <v>3343</v>
      </c>
      <c r="C266" s="426" t="s">
        <v>2849</v>
      </c>
      <c r="D266" s="426" t="s">
        <v>163</v>
      </c>
      <c r="E266" s="435">
        <v>13</v>
      </c>
      <c r="F266" s="426" t="s">
        <v>1924</v>
      </c>
      <c r="G266" s="426" t="s">
        <v>163</v>
      </c>
    </row>
    <row r="267" spans="1:7" ht="13.5" customHeight="1" x14ac:dyDescent="0.35">
      <c r="A267" s="480">
        <v>43000</v>
      </c>
      <c r="B267" s="426" t="s">
        <v>3344</v>
      </c>
      <c r="C267" s="426" t="s">
        <v>2849</v>
      </c>
      <c r="D267" s="426" t="s">
        <v>163</v>
      </c>
      <c r="E267" s="435">
        <v>13</v>
      </c>
      <c r="F267" s="426" t="s">
        <v>1924</v>
      </c>
      <c r="G267" s="426" t="s">
        <v>163</v>
      </c>
    </row>
    <row r="268" spans="1:7" ht="13.5" customHeight="1" x14ac:dyDescent="0.35">
      <c r="A268" s="480">
        <v>43000</v>
      </c>
      <c r="B268" s="426" t="s">
        <v>3345</v>
      </c>
      <c r="C268" s="426" t="s">
        <v>2853</v>
      </c>
      <c r="D268" s="426" t="s">
        <v>162</v>
      </c>
      <c r="E268" s="435">
        <v>350</v>
      </c>
      <c r="F268" s="426" t="s">
        <v>3233</v>
      </c>
      <c r="G268" s="426" t="s">
        <v>174</v>
      </c>
    </row>
    <row r="269" spans="1:7" ht="13.5" customHeight="1" x14ac:dyDescent="0.35">
      <c r="A269" s="480">
        <v>42999</v>
      </c>
      <c r="B269" s="426" t="s">
        <v>1009</v>
      </c>
      <c r="C269" s="426" t="s">
        <v>2851</v>
      </c>
      <c r="D269" s="426" t="s">
        <v>162</v>
      </c>
      <c r="E269" s="435">
        <v>175</v>
      </c>
      <c r="F269" s="426" t="s">
        <v>3346</v>
      </c>
      <c r="G269" s="426" t="s">
        <v>175</v>
      </c>
    </row>
    <row r="270" spans="1:7" ht="13.5" customHeight="1" x14ac:dyDescent="0.35">
      <c r="A270" s="480">
        <v>42998</v>
      </c>
      <c r="B270" s="426" t="s">
        <v>3347</v>
      </c>
      <c r="C270" s="426" t="s">
        <v>2850</v>
      </c>
      <c r="D270" s="426" t="s">
        <v>159</v>
      </c>
      <c r="E270" s="435">
        <v>476.8</v>
      </c>
      <c r="F270" s="426" t="s">
        <v>3339</v>
      </c>
      <c r="G270" s="426" t="s">
        <v>174</v>
      </c>
    </row>
    <row r="271" spans="1:7" ht="13.5" customHeight="1" x14ac:dyDescent="0.35">
      <c r="A271" s="480">
        <v>42998</v>
      </c>
      <c r="B271" s="426" t="s">
        <v>2773</v>
      </c>
      <c r="C271" s="426" t="s">
        <v>2850</v>
      </c>
      <c r="D271" s="426" t="s">
        <v>159</v>
      </c>
      <c r="E271" s="435">
        <v>151.80000000000001</v>
      </c>
      <c r="F271" s="426" t="s">
        <v>2090</v>
      </c>
      <c r="G271" s="426" t="s">
        <v>174</v>
      </c>
    </row>
    <row r="272" spans="1:7" ht="13.5" customHeight="1" x14ac:dyDescent="0.35">
      <c r="A272" s="480">
        <v>42997</v>
      </c>
      <c r="B272" s="426" t="s">
        <v>3348</v>
      </c>
      <c r="C272" s="426" t="s">
        <v>2849</v>
      </c>
      <c r="D272" s="426" t="s">
        <v>159</v>
      </c>
      <c r="E272" s="435">
        <v>30</v>
      </c>
      <c r="F272" s="426" t="s">
        <v>1924</v>
      </c>
      <c r="G272" s="426" t="s">
        <v>174</v>
      </c>
    </row>
    <row r="273" spans="1:7" ht="13.5" customHeight="1" x14ac:dyDescent="0.35">
      <c r="A273" s="480">
        <v>42997</v>
      </c>
      <c r="B273" s="426" t="s">
        <v>3349</v>
      </c>
      <c r="C273" s="426" t="s">
        <v>2849</v>
      </c>
      <c r="D273" s="426" t="s">
        <v>159</v>
      </c>
      <c r="E273" s="435">
        <v>30</v>
      </c>
      <c r="F273" s="426" t="s">
        <v>1924</v>
      </c>
      <c r="G273" s="426" t="s">
        <v>181</v>
      </c>
    </row>
    <row r="274" spans="1:7" ht="13.5" customHeight="1" x14ac:dyDescent="0.35">
      <c r="A274" s="480">
        <v>42997</v>
      </c>
      <c r="B274" s="426" t="s">
        <v>3350</v>
      </c>
      <c r="C274" s="426" t="s">
        <v>2849</v>
      </c>
      <c r="D274" s="426" t="s">
        <v>162</v>
      </c>
      <c r="E274" s="435">
        <v>165</v>
      </c>
      <c r="F274" s="426" t="s">
        <v>291</v>
      </c>
      <c r="G274" s="426" t="s">
        <v>175</v>
      </c>
    </row>
    <row r="275" spans="1:7" ht="13.5" customHeight="1" x14ac:dyDescent="0.35">
      <c r="A275" s="480">
        <v>42996</v>
      </c>
      <c r="B275" s="426" t="s">
        <v>3351</v>
      </c>
      <c r="C275" s="426" t="s">
        <v>2850</v>
      </c>
      <c r="D275" s="426" t="s">
        <v>159</v>
      </c>
      <c r="E275" s="435">
        <v>150</v>
      </c>
      <c r="F275" s="426" t="s">
        <v>2090</v>
      </c>
      <c r="G275" s="426" t="s">
        <v>177</v>
      </c>
    </row>
    <row r="276" spans="1:7" ht="13.5" customHeight="1" x14ac:dyDescent="0.35">
      <c r="A276" s="480">
        <v>42996</v>
      </c>
      <c r="B276" s="426" t="s">
        <v>3352</v>
      </c>
      <c r="C276" s="426" t="s">
        <v>2849</v>
      </c>
      <c r="D276" s="426" t="s">
        <v>163</v>
      </c>
      <c r="E276" s="435">
        <v>13</v>
      </c>
      <c r="F276" s="426" t="s">
        <v>1924</v>
      </c>
      <c r="G276" s="426" t="s">
        <v>163</v>
      </c>
    </row>
    <row r="277" spans="1:7" ht="13.5" customHeight="1" x14ac:dyDescent="0.35">
      <c r="A277" s="480">
        <v>42996</v>
      </c>
      <c r="B277" s="426" t="s">
        <v>1898</v>
      </c>
      <c r="C277" s="426" t="s">
        <v>2850</v>
      </c>
      <c r="D277" s="426" t="s">
        <v>162</v>
      </c>
      <c r="E277" s="435">
        <v>48</v>
      </c>
      <c r="F277" s="426" t="s">
        <v>2464</v>
      </c>
      <c r="G277" s="426" t="s">
        <v>1311</v>
      </c>
    </row>
    <row r="278" spans="1:7" ht="13.5" customHeight="1" x14ac:dyDescent="0.35">
      <c r="A278" s="480">
        <v>42996</v>
      </c>
      <c r="B278" s="426" t="s">
        <v>3202</v>
      </c>
      <c r="C278" s="426" t="s">
        <v>2853</v>
      </c>
      <c r="D278" s="426" t="s">
        <v>159</v>
      </c>
      <c r="E278" s="435">
        <v>7.75</v>
      </c>
      <c r="F278" s="426" t="s">
        <v>1419</v>
      </c>
      <c r="G278" s="426" t="s">
        <v>177</v>
      </c>
    </row>
    <row r="279" spans="1:7" ht="13.5" customHeight="1" x14ac:dyDescent="0.35">
      <c r="A279" s="480">
        <v>42996</v>
      </c>
      <c r="B279" s="426" t="s">
        <v>3202</v>
      </c>
      <c r="C279" s="426" t="s">
        <v>2850</v>
      </c>
      <c r="D279" s="426" t="s">
        <v>159</v>
      </c>
      <c r="E279" s="435">
        <v>200.4</v>
      </c>
      <c r="F279" s="426" t="s">
        <v>2090</v>
      </c>
      <c r="G279" s="426" t="s">
        <v>177</v>
      </c>
    </row>
    <row r="280" spans="1:7" ht="13.5" customHeight="1" x14ac:dyDescent="0.35">
      <c r="A280" s="480">
        <v>42996</v>
      </c>
      <c r="B280" s="426" t="s">
        <v>3353</v>
      </c>
      <c r="C280" s="426" t="s">
        <v>2850</v>
      </c>
      <c r="D280" s="426" t="s">
        <v>162</v>
      </c>
      <c r="E280" s="435">
        <v>39</v>
      </c>
      <c r="F280" s="426" t="s">
        <v>3152</v>
      </c>
      <c r="G280" s="426" t="s">
        <v>174</v>
      </c>
    </row>
    <row r="281" spans="1:7" ht="13.5" customHeight="1" x14ac:dyDescent="0.35">
      <c r="A281" s="480">
        <v>42996</v>
      </c>
      <c r="B281" s="426" t="s">
        <v>3354</v>
      </c>
      <c r="C281" s="426" t="s">
        <v>941</v>
      </c>
      <c r="D281" s="426" t="s">
        <v>159</v>
      </c>
      <c r="E281" s="435">
        <v>85</v>
      </c>
      <c r="F281" s="426" t="s">
        <v>3355</v>
      </c>
      <c r="G281" s="426" t="s">
        <v>174</v>
      </c>
    </row>
    <row r="282" spans="1:7" ht="13.5" customHeight="1" x14ac:dyDescent="0.35">
      <c r="A282" s="480">
        <v>42996</v>
      </c>
      <c r="B282" s="426" t="s">
        <v>3306</v>
      </c>
      <c r="C282" s="426" t="s">
        <v>2849</v>
      </c>
      <c r="D282" s="426" t="s">
        <v>162</v>
      </c>
      <c r="E282" s="435">
        <v>2493</v>
      </c>
      <c r="F282" s="426" t="s">
        <v>3356</v>
      </c>
      <c r="G282" s="426" t="s">
        <v>175</v>
      </c>
    </row>
    <row r="283" spans="1:7" ht="13.5" customHeight="1" x14ac:dyDescent="0.35">
      <c r="A283" s="480">
        <v>42995</v>
      </c>
      <c r="B283" s="426" t="s">
        <v>3357</v>
      </c>
      <c r="C283" s="426" t="s">
        <v>2853</v>
      </c>
      <c r="D283" s="426" t="s">
        <v>164</v>
      </c>
      <c r="E283" s="435">
        <v>30</v>
      </c>
      <c r="F283" s="426" t="s">
        <v>3358</v>
      </c>
      <c r="G283" s="426" t="s">
        <v>175</v>
      </c>
    </row>
    <row r="284" spans="1:7" ht="13.5" customHeight="1" x14ac:dyDescent="0.35">
      <c r="A284" s="480">
        <v>42995</v>
      </c>
      <c r="B284" s="426" t="s">
        <v>3357</v>
      </c>
      <c r="C284" s="426" t="s">
        <v>2849</v>
      </c>
      <c r="D284" s="426" t="s">
        <v>159</v>
      </c>
      <c r="E284" s="435">
        <v>50</v>
      </c>
      <c r="F284" s="426" t="s">
        <v>2823</v>
      </c>
      <c r="G284" s="426" t="s">
        <v>175</v>
      </c>
    </row>
    <row r="285" spans="1:7" ht="13.5" customHeight="1" x14ac:dyDescent="0.35">
      <c r="A285" s="480">
        <v>42994</v>
      </c>
      <c r="B285" s="426" t="s">
        <v>3359</v>
      </c>
      <c r="C285" s="426" t="s">
        <v>2849</v>
      </c>
      <c r="D285" s="426" t="s">
        <v>159</v>
      </c>
      <c r="E285" s="435">
        <v>50</v>
      </c>
      <c r="F285" s="426" t="s">
        <v>2823</v>
      </c>
      <c r="G285" s="426" t="s">
        <v>174</v>
      </c>
    </row>
    <row r="286" spans="1:7" ht="13.5" customHeight="1" x14ac:dyDescent="0.35">
      <c r="A286" s="480">
        <v>42992</v>
      </c>
      <c r="B286" s="426" t="s">
        <v>346</v>
      </c>
      <c r="C286" s="426" t="s">
        <v>2852</v>
      </c>
      <c r="D286" s="426" t="s">
        <v>2442</v>
      </c>
      <c r="E286" s="435">
        <v>20</v>
      </c>
      <c r="F286" s="426" t="s">
        <v>292</v>
      </c>
      <c r="G286" s="426" t="s">
        <v>175</v>
      </c>
    </row>
    <row r="287" spans="1:7" ht="13.5" customHeight="1" x14ac:dyDescent="0.35">
      <c r="A287" s="480">
        <v>42991</v>
      </c>
      <c r="B287" s="426" t="s">
        <v>346</v>
      </c>
      <c r="C287" s="426" t="s">
        <v>2850</v>
      </c>
      <c r="D287" s="426" t="s">
        <v>159</v>
      </c>
      <c r="E287" s="435">
        <v>200.4</v>
      </c>
      <c r="F287" s="426" t="s">
        <v>2090</v>
      </c>
      <c r="G287" s="426" t="s">
        <v>177</v>
      </c>
    </row>
    <row r="288" spans="1:7" ht="13.5" customHeight="1" x14ac:dyDescent="0.35">
      <c r="A288" s="480">
        <v>42991</v>
      </c>
      <c r="B288" s="426" t="s">
        <v>3360</v>
      </c>
      <c r="C288" s="426" t="s">
        <v>2850</v>
      </c>
      <c r="D288" s="426" t="s">
        <v>2297</v>
      </c>
      <c r="E288" s="435">
        <v>99</v>
      </c>
      <c r="F288" s="426" t="s">
        <v>2090</v>
      </c>
      <c r="G288" s="426" t="s">
        <v>177</v>
      </c>
    </row>
    <row r="289" spans="1:7" ht="13.5" customHeight="1" x14ac:dyDescent="0.35">
      <c r="A289" s="480">
        <v>42990</v>
      </c>
      <c r="B289" s="426" t="s">
        <v>3361</v>
      </c>
      <c r="C289" s="426" t="s">
        <v>2849</v>
      </c>
      <c r="D289" s="426" t="s">
        <v>162</v>
      </c>
      <c r="E289" s="435">
        <v>65</v>
      </c>
      <c r="F289" s="426" t="s">
        <v>1775</v>
      </c>
      <c r="G289" s="426" t="s">
        <v>1311</v>
      </c>
    </row>
    <row r="290" spans="1:7" ht="13.5" customHeight="1" x14ac:dyDescent="0.35">
      <c r="A290" s="480">
        <v>42990</v>
      </c>
      <c r="B290" s="426" t="s">
        <v>3362</v>
      </c>
      <c r="C290" s="426" t="s">
        <v>2850</v>
      </c>
      <c r="D290" s="426" t="s">
        <v>2297</v>
      </c>
      <c r="E290" s="435">
        <v>99</v>
      </c>
      <c r="F290" s="426" t="s">
        <v>2090</v>
      </c>
      <c r="G290" s="426" t="s">
        <v>177</v>
      </c>
    </row>
    <row r="291" spans="1:7" ht="13.5" customHeight="1" x14ac:dyDescent="0.35">
      <c r="A291" s="480">
        <v>42989</v>
      </c>
      <c r="B291" s="426" t="s">
        <v>3363</v>
      </c>
      <c r="C291" s="426" t="s">
        <v>2853</v>
      </c>
      <c r="D291" s="426" t="s">
        <v>159</v>
      </c>
      <c r="E291" s="435">
        <v>22.4</v>
      </c>
      <c r="F291" s="426" t="s">
        <v>209</v>
      </c>
      <c r="G291" s="426" t="s">
        <v>175</v>
      </c>
    </row>
    <row r="292" spans="1:7" ht="13.5" customHeight="1" x14ac:dyDescent="0.35">
      <c r="A292" s="480">
        <v>42988</v>
      </c>
      <c r="B292" s="426" t="s">
        <v>3364</v>
      </c>
      <c r="C292" s="426" t="s">
        <v>2850</v>
      </c>
      <c r="D292" s="426" t="s">
        <v>159</v>
      </c>
      <c r="E292" s="435">
        <v>100.8</v>
      </c>
      <c r="F292" s="426" t="s">
        <v>2090</v>
      </c>
      <c r="G292" s="426" t="s">
        <v>177</v>
      </c>
    </row>
    <row r="293" spans="1:7" ht="13.5" customHeight="1" x14ac:dyDescent="0.35">
      <c r="A293" s="480">
        <v>42986</v>
      </c>
      <c r="B293" s="426" t="s">
        <v>3365</v>
      </c>
      <c r="C293" s="426" t="s">
        <v>2849</v>
      </c>
      <c r="D293" s="426" t="s">
        <v>2442</v>
      </c>
      <c r="E293" s="435">
        <v>30</v>
      </c>
      <c r="F293" s="426" t="s">
        <v>1924</v>
      </c>
      <c r="G293" s="426" t="s">
        <v>174</v>
      </c>
    </row>
    <row r="294" spans="1:7" ht="13.5" customHeight="1" x14ac:dyDescent="0.35">
      <c r="A294" s="480">
        <v>42986</v>
      </c>
      <c r="B294" s="426" t="s">
        <v>3366</v>
      </c>
      <c r="C294" s="426" t="s">
        <v>2850</v>
      </c>
      <c r="D294" s="426" t="s">
        <v>159</v>
      </c>
      <c r="E294" s="435">
        <v>696.8</v>
      </c>
      <c r="F294" s="426" t="s">
        <v>1000</v>
      </c>
      <c r="G294" s="426" t="s">
        <v>174</v>
      </c>
    </row>
    <row r="295" spans="1:7" ht="13.5" customHeight="1" x14ac:dyDescent="0.35">
      <c r="A295" s="480">
        <v>42985</v>
      </c>
      <c r="B295" s="426" t="s">
        <v>2223</v>
      </c>
      <c r="C295" s="426" t="s">
        <v>2850</v>
      </c>
      <c r="D295" s="426" t="s">
        <v>159</v>
      </c>
      <c r="E295" s="435">
        <v>59</v>
      </c>
      <c r="F295" s="426" t="s">
        <v>3152</v>
      </c>
      <c r="G295" s="426" t="s">
        <v>177</v>
      </c>
    </row>
    <row r="296" spans="1:7" ht="13.5" customHeight="1" x14ac:dyDescent="0.35">
      <c r="A296" s="480">
        <v>42984</v>
      </c>
      <c r="B296" s="426" t="s">
        <v>3367</v>
      </c>
      <c r="C296" s="426" t="s">
        <v>2849</v>
      </c>
      <c r="D296" s="426" t="s">
        <v>159</v>
      </c>
      <c r="E296" s="435">
        <v>145</v>
      </c>
      <c r="F296" s="426" t="s">
        <v>3368</v>
      </c>
      <c r="G296" s="426" t="s">
        <v>174</v>
      </c>
    </row>
    <row r="297" spans="1:7" ht="13.5" customHeight="1" x14ac:dyDescent="0.35">
      <c r="A297" s="480">
        <v>42983</v>
      </c>
      <c r="B297" s="426" t="s">
        <v>3369</v>
      </c>
      <c r="C297" s="426" t="s">
        <v>2849</v>
      </c>
      <c r="D297" s="426" t="s">
        <v>159</v>
      </c>
      <c r="E297" s="435">
        <v>265</v>
      </c>
      <c r="F297" s="426" t="s">
        <v>1775</v>
      </c>
      <c r="G297" s="426" t="s">
        <v>174</v>
      </c>
    </row>
    <row r="298" spans="1:7" ht="13.5" customHeight="1" x14ac:dyDescent="0.35">
      <c r="A298" s="480">
        <v>42982</v>
      </c>
      <c r="B298" s="426" t="s">
        <v>3333</v>
      </c>
      <c r="C298" s="426" t="s">
        <v>941</v>
      </c>
      <c r="D298" s="426" t="s">
        <v>2442</v>
      </c>
      <c r="E298" s="435">
        <v>120</v>
      </c>
      <c r="F298" s="478" t="s">
        <v>941</v>
      </c>
      <c r="G298" s="426" t="s">
        <v>174</v>
      </c>
    </row>
    <row r="299" spans="1:7" ht="13.5" customHeight="1" x14ac:dyDescent="0.35">
      <c r="A299" s="480">
        <v>42982</v>
      </c>
      <c r="B299" s="426" t="s">
        <v>1811</v>
      </c>
      <c r="C299" s="426" t="s">
        <v>2850</v>
      </c>
      <c r="D299" s="426" t="s">
        <v>162</v>
      </c>
      <c r="E299" s="435">
        <v>65</v>
      </c>
      <c r="F299" s="426" t="s">
        <v>2464</v>
      </c>
      <c r="G299" s="426" t="s">
        <v>1311</v>
      </c>
    </row>
    <row r="300" spans="1:7" ht="13.5" customHeight="1" x14ac:dyDescent="0.35">
      <c r="A300" s="480">
        <v>42982</v>
      </c>
      <c r="B300" s="426" t="s">
        <v>3370</v>
      </c>
      <c r="C300" s="426" t="s">
        <v>2850</v>
      </c>
      <c r="D300" s="426" t="s">
        <v>162</v>
      </c>
      <c r="E300" s="435">
        <v>75</v>
      </c>
      <c r="F300" s="426" t="s">
        <v>2464</v>
      </c>
      <c r="G300" s="426" t="s">
        <v>1311</v>
      </c>
    </row>
    <row r="301" spans="1:7" ht="13.5" customHeight="1" x14ac:dyDescent="0.35">
      <c r="A301" s="480">
        <v>42982</v>
      </c>
      <c r="B301" s="426" t="s">
        <v>3226</v>
      </c>
      <c r="C301" s="426" t="s">
        <v>941</v>
      </c>
      <c r="D301" s="426" t="s">
        <v>159</v>
      </c>
      <c r="E301" s="435">
        <v>195</v>
      </c>
      <c r="F301" s="426" t="s">
        <v>2699</v>
      </c>
      <c r="G301" s="426" t="s">
        <v>174</v>
      </c>
    </row>
    <row r="302" spans="1:7" ht="13.5" customHeight="1" x14ac:dyDescent="0.35">
      <c r="A302" s="480">
        <v>42982</v>
      </c>
      <c r="B302" s="426" t="s">
        <v>3371</v>
      </c>
      <c r="C302" s="426" t="s">
        <v>2849</v>
      </c>
      <c r="D302" s="426" t="s">
        <v>159</v>
      </c>
      <c r="E302" s="435">
        <v>235</v>
      </c>
      <c r="F302" s="426" t="s">
        <v>2708</v>
      </c>
      <c r="G302" s="426" t="s">
        <v>174</v>
      </c>
    </row>
    <row r="303" spans="1:7" ht="13.5" customHeight="1" x14ac:dyDescent="0.35">
      <c r="A303" s="480">
        <v>42982</v>
      </c>
      <c r="B303" s="426" t="s">
        <v>3372</v>
      </c>
      <c r="C303" s="426" t="s">
        <v>2849</v>
      </c>
      <c r="D303" s="426" t="s">
        <v>162</v>
      </c>
      <c r="E303" s="435">
        <v>65</v>
      </c>
      <c r="F303" s="426" t="s">
        <v>1775</v>
      </c>
      <c r="G303" s="426" t="s">
        <v>1311</v>
      </c>
    </row>
    <row r="304" spans="1:7" ht="13.5" customHeight="1" x14ac:dyDescent="0.35">
      <c r="A304" s="480">
        <v>42982</v>
      </c>
      <c r="B304" s="426" t="s">
        <v>1901</v>
      </c>
      <c r="C304" s="426" t="s">
        <v>2849</v>
      </c>
      <c r="D304" s="426" t="s">
        <v>162</v>
      </c>
      <c r="E304" s="435">
        <v>65</v>
      </c>
      <c r="F304" s="426" t="s">
        <v>1775</v>
      </c>
      <c r="G304" s="426" t="s">
        <v>1311</v>
      </c>
    </row>
    <row r="305" spans="1:7" ht="13.5" customHeight="1" x14ac:dyDescent="0.35">
      <c r="A305" s="480">
        <v>42982</v>
      </c>
      <c r="B305" s="426" t="s">
        <v>3373</v>
      </c>
      <c r="C305" s="426" t="s">
        <v>2853</v>
      </c>
      <c r="D305" s="426" t="s">
        <v>2442</v>
      </c>
      <c r="E305" s="435">
        <v>46.34</v>
      </c>
      <c r="F305" s="426" t="s">
        <v>284</v>
      </c>
      <c r="G305" s="426" t="s">
        <v>3222</v>
      </c>
    </row>
    <row r="306" spans="1:7" ht="13.5" customHeight="1" x14ac:dyDescent="0.35">
      <c r="A306" s="480">
        <v>42979</v>
      </c>
      <c r="B306" s="426" t="s">
        <v>3374</v>
      </c>
      <c r="C306" s="426" t="s">
        <v>2849</v>
      </c>
      <c r="D306" s="426" t="s">
        <v>159</v>
      </c>
      <c r="E306" s="435">
        <v>39</v>
      </c>
      <c r="F306" s="426" t="s">
        <v>3375</v>
      </c>
      <c r="G306" s="426" t="s">
        <v>175</v>
      </c>
    </row>
    <row r="307" spans="1:7" ht="13.5" customHeight="1" x14ac:dyDescent="0.35">
      <c r="A307" s="480">
        <v>42979</v>
      </c>
      <c r="B307" s="426" t="s">
        <v>2637</v>
      </c>
      <c r="C307" s="426" t="s">
        <v>2851</v>
      </c>
      <c r="D307" s="426" t="s">
        <v>161</v>
      </c>
      <c r="E307" s="435">
        <v>357.98</v>
      </c>
      <c r="F307" s="426" t="s">
        <v>1078</v>
      </c>
      <c r="G307" s="426" t="s">
        <v>175</v>
      </c>
    </row>
    <row r="308" spans="1:7" ht="13.5" customHeight="1" x14ac:dyDescent="0.35">
      <c r="A308" s="480">
        <v>42979</v>
      </c>
      <c r="B308" s="426" t="s">
        <v>2638</v>
      </c>
      <c r="C308" s="426" t="s">
        <v>2852</v>
      </c>
      <c r="D308" s="426" t="s">
        <v>161</v>
      </c>
      <c r="E308" s="435">
        <v>140</v>
      </c>
      <c r="F308" s="426" t="s">
        <v>292</v>
      </c>
      <c r="G308" s="426" t="s">
        <v>175</v>
      </c>
    </row>
    <row r="309" spans="1:7" x14ac:dyDescent="0.35">
      <c r="E309" s="426"/>
    </row>
    <row r="310" spans="1:7" ht="13.9" customHeight="1" x14ac:dyDescent="0.4">
      <c r="A310" s="480"/>
      <c r="E310" s="481"/>
    </row>
    <row r="311" spans="1:7" ht="13.9" customHeight="1" x14ac:dyDescent="0.4">
      <c r="A311" s="480"/>
      <c r="E311" s="481"/>
    </row>
    <row r="312" spans="1:7" ht="13.9" customHeight="1" x14ac:dyDescent="0.4">
      <c r="A312" s="480"/>
      <c r="E312" s="481"/>
    </row>
    <row r="315" spans="1:7" ht="13.5" customHeight="1" x14ac:dyDescent="0.35">
      <c r="A315" s="480">
        <v>42978</v>
      </c>
      <c r="B315" s="426" t="s">
        <v>3376</v>
      </c>
      <c r="C315" s="426" t="s">
        <v>2849</v>
      </c>
      <c r="D315" s="426" t="s">
        <v>162</v>
      </c>
      <c r="E315" s="435">
        <v>35</v>
      </c>
      <c r="F315" s="426" t="s">
        <v>1775</v>
      </c>
      <c r="G315" s="426" t="s">
        <v>1311</v>
      </c>
    </row>
    <row r="316" spans="1:7" ht="13.5" customHeight="1" x14ac:dyDescent="0.35">
      <c r="A316" s="480">
        <v>42977</v>
      </c>
      <c r="B316" s="426" t="s">
        <v>3001</v>
      </c>
      <c r="C316" s="426" t="s">
        <v>181</v>
      </c>
      <c r="D316" s="426" t="s">
        <v>159</v>
      </c>
      <c r="E316" s="435">
        <v>30</v>
      </c>
      <c r="F316" s="426" t="s">
        <v>2980</v>
      </c>
      <c r="G316" s="426" t="s">
        <v>175</v>
      </c>
    </row>
    <row r="317" spans="1:7" ht="13.5" customHeight="1" x14ac:dyDescent="0.35">
      <c r="A317" s="480">
        <v>42976</v>
      </c>
      <c r="B317" s="426" t="s">
        <v>3337</v>
      </c>
      <c r="C317" s="426" t="s">
        <v>2849</v>
      </c>
      <c r="D317" s="426" t="s">
        <v>164</v>
      </c>
      <c r="E317" s="435">
        <v>10</v>
      </c>
      <c r="F317" s="426" t="s">
        <v>3377</v>
      </c>
      <c r="G317" s="426" t="s">
        <v>174</v>
      </c>
    </row>
    <row r="318" spans="1:7" ht="13.5" customHeight="1" x14ac:dyDescent="0.35">
      <c r="A318" s="480">
        <v>42976</v>
      </c>
      <c r="B318" s="426" t="s">
        <v>676</v>
      </c>
      <c r="C318" s="426" t="s">
        <v>2849</v>
      </c>
      <c r="D318" s="426" t="s">
        <v>162</v>
      </c>
      <c r="E318" s="435">
        <v>65</v>
      </c>
      <c r="F318" s="426" t="s">
        <v>1775</v>
      </c>
      <c r="G318" s="426" t="s">
        <v>1311</v>
      </c>
    </row>
    <row r="319" spans="1:7" ht="13.5" customHeight="1" x14ac:dyDescent="0.35">
      <c r="A319" s="480">
        <v>42973</v>
      </c>
      <c r="B319" s="426" t="s">
        <v>2394</v>
      </c>
      <c r="C319" s="426" t="s">
        <v>2849</v>
      </c>
      <c r="D319" s="426" t="s">
        <v>162</v>
      </c>
      <c r="E319" s="435">
        <v>35</v>
      </c>
      <c r="F319" s="426" t="s">
        <v>2823</v>
      </c>
      <c r="G319" s="426" t="s">
        <v>175</v>
      </c>
    </row>
    <row r="320" spans="1:7" ht="13.5" customHeight="1" x14ac:dyDescent="0.35">
      <c r="A320" s="480">
        <v>42973</v>
      </c>
      <c r="B320" s="426" t="s">
        <v>1500</v>
      </c>
      <c r="C320" s="426" t="s">
        <v>2850</v>
      </c>
      <c r="D320" s="426" t="s">
        <v>162</v>
      </c>
      <c r="E320" s="435">
        <v>995</v>
      </c>
      <c r="F320" s="426" t="s">
        <v>1000</v>
      </c>
      <c r="G320" s="426" t="s">
        <v>174</v>
      </c>
    </row>
    <row r="321" spans="1:7" ht="13.5" customHeight="1" x14ac:dyDescent="0.35">
      <c r="A321" s="480">
        <v>42973</v>
      </c>
      <c r="B321" s="426" t="s">
        <v>3378</v>
      </c>
      <c r="C321" s="426" t="s">
        <v>2849</v>
      </c>
      <c r="D321" s="426" t="s">
        <v>160</v>
      </c>
      <c r="E321" s="435">
        <v>25</v>
      </c>
      <c r="F321" s="426" t="s">
        <v>1924</v>
      </c>
      <c r="G321" s="426" t="s">
        <v>174</v>
      </c>
    </row>
    <row r="322" spans="1:7" ht="13.5" customHeight="1" x14ac:dyDescent="0.35">
      <c r="A322" s="480">
        <v>42973</v>
      </c>
      <c r="B322" s="426" t="s">
        <v>3379</v>
      </c>
      <c r="C322" s="426" t="s">
        <v>2849</v>
      </c>
      <c r="D322" s="426" t="s">
        <v>163</v>
      </c>
      <c r="E322" s="435">
        <v>13</v>
      </c>
      <c r="F322" s="426" t="s">
        <v>1924</v>
      </c>
      <c r="G322" s="426" t="s">
        <v>163</v>
      </c>
    </row>
    <row r="323" spans="1:7" ht="13.5" customHeight="1" x14ac:dyDescent="0.35">
      <c r="A323" s="480">
        <v>42972</v>
      </c>
      <c r="B323" s="426" t="s">
        <v>3350</v>
      </c>
      <c r="C323" s="426" t="s">
        <v>2849</v>
      </c>
      <c r="D323" s="426" t="s">
        <v>159</v>
      </c>
      <c r="E323" s="435">
        <v>100</v>
      </c>
      <c r="F323" s="426" t="s">
        <v>291</v>
      </c>
      <c r="G323" s="426" t="s">
        <v>175</v>
      </c>
    </row>
    <row r="324" spans="1:7" ht="13.5" customHeight="1" x14ac:dyDescent="0.35">
      <c r="A324" s="480">
        <v>42973</v>
      </c>
      <c r="B324" s="426" t="s">
        <v>3380</v>
      </c>
      <c r="C324" s="426" t="s">
        <v>2852</v>
      </c>
      <c r="D324" s="426" t="s">
        <v>160</v>
      </c>
      <c r="E324" s="435">
        <v>20</v>
      </c>
      <c r="F324" s="426" t="s">
        <v>292</v>
      </c>
      <c r="G324" s="426" t="s">
        <v>174</v>
      </c>
    </row>
    <row r="325" spans="1:7" ht="13.5" customHeight="1" x14ac:dyDescent="0.35">
      <c r="A325" s="480">
        <v>42970</v>
      </c>
      <c r="B325" s="426" t="s">
        <v>3381</v>
      </c>
      <c r="C325" s="426" t="s">
        <v>2849</v>
      </c>
      <c r="D325" s="426" t="s">
        <v>163</v>
      </c>
      <c r="E325" s="435">
        <v>13</v>
      </c>
      <c r="F325" s="426" t="s">
        <v>1924</v>
      </c>
      <c r="G325" s="426" t="s">
        <v>163</v>
      </c>
    </row>
    <row r="326" spans="1:7" ht="13.5" customHeight="1" x14ac:dyDescent="0.35">
      <c r="A326" s="480">
        <v>42970</v>
      </c>
      <c r="B326" s="426" t="s">
        <v>3382</v>
      </c>
      <c r="C326" s="426" t="s">
        <v>2849</v>
      </c>
      <c r="D326" s="426" t="s">
        <v>162</v>
      </c>
      <c r="E326" s="435">
        <v>35</v>
      </c>
      <c r="F326" s="426" t="s">
        <v>3383</v>
      </c>
      <c r="G326" s="426" t="s">
        <v>1311</v>
      </c>
    </row>
    <row r="327" spans="1:7" ht="13.5" customHeight="1" x14ac:dyDescent="0.35">
      <c r="A327" s="480">
        <v>42969</v>
      </c>
      <c r="B327" s="426" t="s">
        <v>3384</v>
      </c>
      <c r="C327" s="426" t="s">
        <v>2849</v>
      </c>
      <c r="D327" s="426" t="s">
        <v>162</v>
      </c>
      <c r="E327" s="435">
        <v>65</v>
      </c>
      <c r="F327" s="426" t="s">
        <v>3385</v>
      </c>
      <c r="G327" s="426" t="s">
        <v>1311</v>
      </c>
    </row>
    <row r="328" spans="1:7" ht="13.5" customHeight="1" x14ac:dyDescent="0.35">
      <c r="A328" s="480">
        <v>42968</v>
      </c>
      <c r="B328" s="426" t="s">
        <v>3386</v>
      </c>
      <c r="C328" s="426" t="s">
        <v>2850</v>
      </c>
      <c r="D328" s="426" t="s">
        <v>2297</v>
      </c>
      <c r="E328" s="435">
        <v>195</v>
      </c>
      <c r="F328" s="426" t="s">
        <v>235</v>
      </c>
      <c r="G328" s="426" t="s">
        <v>174</v>
      </c>
    </row>
    <row r="329" spans="1:7" ht="13.5" customHeight="1" x14ac:dyDescent="0.35">
      <c r="A329" s="480">
        <v>42968</v>
      </c>
      <c r="B329" s="426" t="s">
        <v>3387</v>
      </c>
      <c r="C329" s="426" t="s">
        <v>2850</v>
      </c>
      <c r="D329" s="426" t="s">
        <v>162</v>
      </c>
      <c r="E329" s="435">
        <v>1200</v>
      </c>
      <c r="F329" s="426" t="s">
        <v>2323</v>
      </c>
      <c r="G329" s="426" t="s">
        <v>174</v>
      </c>
    </row>
    <row r="330" spans="1:7" ht="13.5" customHeight="1" x14ac:dyDescent="0.35">
      <c r="A330" s="480">
        <v>42954</v>
      </c>
      <c r="B330" s="426" t="s">
        <v>3388</v>
      </c>
      <c r="C330" s="426" t="s">
        <v>2849</v>
      </c>
      <c r="D330" s="426" t="s">
        <v>163</v>
      </c>
      <c r="E330" s="435">
        <v>13</v>
      </c>
      <c r="F330" s="426" t="s">
        <v>1924</v>
      </c>
      <c r="G330" s="426" t="s">
        <v>163</v>
      </c>
    </row>
    <row r="331" spans="1:7" ht="13.5" customHeight="1" x14ac:dyDescent="0.35">
      <c r="A331" s="480">
        <v>42962</v>
      </c>
      <c r="B331" s="426" t="s">
        <v>3389</v>
      </c>
      <c r="C331" s="426" t="s">
        <v>2853</v>
      </c>
      <c r="D331" s="426" t="s">
        <v>160</v>
      </c>
      <c r="E331" s="435">
        <v>8.5399999999999991</v>
      </c>
      <c r="F331" s="426" t="s">
        <v>3390</v>
      </c>
      <c r="G331" s="426" t="s">
        <v>3222</v>
      </c>
    </row>
    <row r="332" spans="1:7" ht="13.5" customHeight="1" x14ac:dyDescent="0.35">
      <c r="A332" s="480">
        <v>42966</v>
      </c>
      <c r="B332" s="426" t="s">
        <v>2235</v>
      </c>
      <c r="C332" s="426" t="s">
        <v>2851</v>
      </c>
      <c r="D332" s="426" t="s">
        <v>162</v>
      </c>
      <c r="E332" s="435">
        <v>25.2</v>
      </c>
      <c r="F332" s="426" t="s">
        <v>3391</v>
      </c>
      <c r="G332" s="426" t="s">
        <v>175</v>
      </c>
    </row>
    <row r="333" spans="1:7" ht="13.5" customHeight="1" x14ac:dyDescent="0.35">
      <c r="A333" s="480">
        <v>42965</v>
      </c>
      <c r="B333" s="426" t="s">
        <v>3138</v>
      </c>
      <c r="C333" s="426" t="s">
        <v>2853</v>
      </c>
      <c r="D333" s="426" t="s">
        <v>164</v>
      </c>
      <c r="E333" s="435">
        <v>30</v>
      </c>
      <c r="F333" s="426" t="s">
        <v>3358</v>
      </c>
      <c r="G333" s="426" t="s">
        <v>175</v>
      </c>
    </row>
    <row r="334" spans="1:7" ht="13.5" customHeight="1" x14ac:dyDescent="0.35">
      <c r="A334" s="480">
        <v>42965</v>
      </c>
      <c r="B334" s="426" t="s">
        <v>2871</v>
      </c>
      <c r="C334" s="426" t="s">
        <v>2850</v>
      </c>
      <c r="D334" s="426" t="s">
        <v>159</v>
      </c>
      <c r="E334" s="435">
        <v>150</v>
      </c>
      <c r="F334" s="426" t="s">
        <v>3392</v>
      </c>
      <c r="G334" s="426" t="s">
        <v>175</v>
      </c>
    </row>
    <row r="335" spans="1:7" ht="13.5" customHeight="1" x14ac:dyDescent="0.35">
      <c r="A335" s="480">
        <v>42964</v>
      </c>
      <c r="B335" s="426" t="s">
        <v>3393</v>
      </c>
      <c r="C335" s="426" t="s">
        <v>2852</v>
      </c>
      <c r="D335" s="426" t="s">
        <v>160</v>
      </c>
      <c r="E335" s="435">
        <v>200</v>
      </c>
      <c r="F335" s="426" t="s">
        <v>2021</v>
      </c>
      <c r="G335" s="426" t="s">
        <v>175</v>
      </c>
    </row>
    <row r="336" spans="1:7" ht="13.5" customHeight="1" x14ac:dyDescent="0.35">
      <c r="A336" s="480">
        <v>42964</v>
      </c>
      <c r="B336" s="426" t="s">
        <v>3394</v>
      </c>
      <c r="C336" s="426" t="s">
        <v>2849</v>
      </c>
      <c r="D336" s="426" t="s">
        <v>159</v>
      </c>
      <c r="E336" s="435">
        <v>25</v>
      </c>
      <c r="F336" s="426" t="s">
        <v>1924</v>
      </c>
      <c r="G336" s="426" t="s">
        <v>174</v>
      </c>
    </row>
    <row r="337" spans="1:7" ht="13.5" customHeight="1" x14ac:dyDescent="0.35">
      <c r="A337" s="480">
        <v>42964</v>
      </c>
      <c r="B337" s="426" t="s">
        <v>3395</v>
      </c>
      <c r="C337" s="426" t="s">
        <v>2849</v>
      </c>
      <c r="D337" s="426" t="s">
        <v>159</v>
      </c>
      <c r="E337" s="435">
        <v>50</v>
      </c>
      <c r="F337" s="426" t="s">
        <v>3396</v>
      </c>
      <c r="G337" s="426" t="s">
        <v>174</v>
      </c>
    </row>
    <row r="338" spans="1:7" ht="13.5" customHeight="1" x14ac:dyDescent="0.35">
      <c r="A338" s="480">
        <v>42963</v>
      </c>
      <c r="B338" s="426" t="s">
        <v>3397</v>
      </c>
      <c r="C338" s="426" t="s">
        <v>2850</v>
      </c>
      <c r="D338" s="426" t="s">
        <v>2297</v>
      </c>
      <c r="E338" s="435">
        <v>20</v>
      </c>
      <c r="F338" s="426" t="s">
        <v>3392</v>
      </c>
      <c r="G338" s="426" t="s">
        <v>177</v>
      </c>
    </row>
    <row r="339" spans="1:7" ht="13.5" customHeight="1" x14ac:dyDescent="0.35">
      <c r="A339" s="480">
        <v>42962</v>
      </c>
      <c r="B339" s="426" t="s">
        <v>967</v>
      </c>
      <c r="C339" s="426" t="s">
        <v>2849</v>
      </c>
      <c r="D339" s="426" t="s">
        <v>159</v>
      </c>
      <c r="E339" s="435">
        <v>135</v>
      </c>
      <c r="F339" s="426" t="s">
        <v>3398</v>
      </c>
      <c r="G339" s="426" t="s">
        <v>175</v>
      </c>
    </row>
    <row r="340" spans="1:7" ht="13.5" customHeight="1" x14ac:dyDescent="0.35">
      <c r="A340" s="480">
        <v>42961</v>
      </c>
      <c r="B340" s="426" t="s">
        <v>3399</v>
      </c>
      <c r="C340" s="426" t="s">
        <v>2850</v>
      </c>
      <c r="D340" s="426" t="s">
        <v>160</v>
      </c>
      <c r="E340" s="435">
        <v>65</v>
      </c>
      <c r="F340" s="426" t="s">
        <v>2787</v>
      </c>
      <c r="G340" s="426" t="s">
        <v>175</v>
      </c>
    </row>
    <row r="341" spans="1:7" ht="13.5" customHeight="1" x14ac:dyDescent="0.35">
      <c r="A341" s="480">
        <v>42959</v>
      </c>
      <c r="B341" s="426" t="s">
        <v>2223</v>
      </c>
      <c r="C341" s="426" t="s">
        <v>2849</v>
      </c>
      <c r="D341" s="426" t="s">
        <v>159</v>
      </c>
      <c r="E341" s="435">
        <v>25</v>
      </c>
      <c r="F341" s="426" t="s">
        <v>1924</v>
      </c>
      <c r="G341" s="426" t="s">
        <v>174</v>
      </c>
    </row>
    <row r="342" spans="1:7" ht="13.5" customHeight="1" x14ac:dyDescent="0.35">
      <c r="A342" s="480">
        <v>42953</v>
      </c>
      <c r="B342" s="426" t="s">
        <v>1187</v>
      </c>
      <c r="C342" s="426" t="s">
        <v>2850</v>
      </c>
      <c r="D342" s="426" t="s">
        <v>159</v>
      </c>
      <c r="E342" s="435">
        <v>160</v>
      </c>
      <c r="F342" s="426" t="s">
        <v>1375</v>
      </c>
      <c r="G342" s="426" t="s">
        <v>175</v>
      </c>
    </row>
    <row r="343" spans="1:7" ht="13.5" customHeight="1" x14ac:dyDescent="0.35">
      <c r="A343" s="480">
        <v>42950</v>
      </c>
      <c r="B343" s="426" t="s">
        <v>3400</v>
      </c>
      <c r="C343" s="426" t="s">
        <v>2850</v>
      </c>
      <c r="D343" s="426" t="s">
        <v>159</v>
      </c>
      <c r="E343" s="435">
        <v>10</v>
      </c>
      <c r="F343" s="426" t="s">
        <v>3401</v>
      </c>
      <c r="G343" s="426" t="s">
        <v>174</v>
      </c>
    </row>
    <row r="344" spans="1:7" ht="13.5" customHeight="1" x14ac:dyDescent="0.35">
      <c r="A344" s="480">
        <v>42950</v>
      </c>
      <c r="B344" s="426" t="s">
        <v>3402</v>
      </c>
      <c r="C344" s="426" t="s">
        <v>2850</v>
      </c>
      <c r="D344" s="426" t="s">
        <v>160</v>
      </c>
      <c r="E344" s="435">
        <v>65</v>
      </c>
      <c r="F344" s="426" t="s">
        <v>1375</v>
      </c>
      <c r="G344" s="426" t="s">
        <v>174</v>
      </c>
    </row>
    <row r="345" spans="1:7" ht="13.5" customHeight="1" x14ac:dyDescent="0.35">
      <c r="A345" s="480">
        <v>42948</v>
      </c>
      <c r="B345" s="426" t="s">
        <v>2664</v>
      </c>
      <c r="C345" s="426" t="s">
        <v>2851</v>
      </c>
      <c r="D345" s="426" t="s">
        <v>161</v>
      </c>
      <c r="E345" s="435">
        <v>701.11</v>
      </c>
      <c r="F345" s="426" t="s">
        <v>1078</v>
      </c>
      <c r="G345" s="426" t="s">
        <v>175</v>
      </c>
    </row>
    <row r="346" spans="1:7" ht="13.5" customHeight="1" x14ac:dyDescent="0.35">
      <c r="A346" s="480">
        <v>42948</v>
      </c>
      <c r="B346" s="426" t="s">
        <v>2665</v>
      </c>
      <c r="C346" s="426" t="s">
        <v>2852</v>
      </c>
      <c r="D346" s="426" t="s">
        <v>161</v>
      </c>
      <c r="E346" s="435">
        <v>140</v>
      </c>
      <c r="F346" s="426" t="s">
        <v>292</v>
      </c>
      <c r="G346" s="426" t="s">
        <v>175</v>
      </c>
    </row>
    <row r="347" spans="1:7" x14ac:dyDescent="0.35">
      <c r="E347" s="465"/>
    </row>
    <row r="348" spans="1:7" ht="13.5" customHeight="1" x14ac:dyDescent="0.35">
      <c r="A348" s="480"/>
      <c r="E348" s="465"/>
    </row>
    <row r="349" spans="1:7" ht="13.5" customHeight="1" x14ac:dyDescent="0.35">
      <c r="A349" s="480">
        <v>42947</v>
      </c>
      <c r="B349" s="426" t="s">
        <v>3403</v>
      </c>
      <c r="C349" s="426" t="s">
        <v>2849</v>
      </c>
      <c r="D349" s="426" t="s">
        <v>163</v>
      </c>
      <c r="E349" s="435">
        <v>13</v>
      </c>
      <c r="F349" s="426" t="s">
        <v>1924</v>
      </c>
      <c r="G349" s="426" t="s">
        <v>163</v>
      </c>
    </row>
    <row r="350" spans="1:7" ht="13.5" customHeight="1" x14ac:dyDescent="0.35">
      <c r="A350" s="480">
        <v>42947</v>
      </c>
      <c r="B350" s="426" t="s">
        <v>3404</v>
      </c>
      <c r="C350" s="426" t="s">
        <v>2850</v>
      </c>
      <c r="D350" s="426" t="s">
        <v>162</v>
      </c>
      <c r="E350" s="435">
        <v>15</v>
      </c>
      <c r="F350" s="426" t="s">
        <v>1375</v>
      </c>
      <c r="G350" s="426" t="s">
        <v>1311</v>
      </c>
    </row>
    <row r="351" spans="1:7" ht="13.5" customHeight="1" x14ac:dyDescent="0.35">
      <c r="A351" s="480">
        <v>42941</v>
      </c>
      <c r="B351" s="426" t="s">
        <v>3405</v>
      </c>
      <c r="C351" s="426" t="s">
        <v>2849</v>
      </c>
      <c r="D351" s="426" t="s">
        <v>162</v>
      </c>
      <c r="E351" s="435">
        <v>65</v>
      </c>
      <c r="F351" s="426" t="s">
        <v>3406</v>
      </c>
      <c r="G351" s="426" t="s">
        <v>1311</v>
      </c>
    </row>
    <row r="352" spans="1:7" ht="13.5" customHeight="1" x14ac:dyDescent="0.35">
      <c r="A352" s="480">
        <v>42941</v>
      </c>
      <c r="B352" s="426" t="s">
        <v>3407</v>
      </c>
      <c r="C352" s="426" t="s">
        <v>2849</v>
      </c>
      <c r="D352" s="426" t="s">
        <v>162</v>
      </c>
      <c r="E352" s="435">
        <v>63.5</v>
      </c>
      <c r="F352" s="426" t="s">
        <v>1291</v>
      </c>
      <c r="G352" s="426" t="s">
        <v>181</v>
      </c>
    </row>
    <row r="353" spans="1:7" ht="13.5" customHeight="1" x14ac:dyDescent="0.35">
      <c r="A353" s="480">
        <v>42941</v>
      </c>
      <c r="B353" s="426" t="s">
        <v>3408</v>
      </c>
      <c r="C353" s="426" t="s">
        <v>2849</v>
      </c>
      <c r="D353" s="426" t="s">
        <v>162</v>
      </c>
      <c r="E353" s="435">
        <v>200</v>
      </c>
      <c r="F353" s="426" t="s">
        <v>3406</v>
      </c>
      <c r="G353" s="426" t="s">
        <v>1311</v>
      </c>
    </row>
    <row r="354" spans="1:7" ht="13.5" customHeight="1" x14ac:dyDescent="0.35">
      <c r="A354" s="480">
        <v>42941</v>
      </c>
      <c r="B354" s="426" t="s">
        <v>3409</v>
      </c>
      <c r="C354" s="426" t="s">
        <v>2850</v>
      </c>
      <c r="D354" s="426" t="s">
        <v>159</v>
      </c>
      <c r="E354" s="435">
        <v>35</v>
      </c>
      <c r="F354" s="426" t="s">
        <v>2090</v>
      </c>
      <c r="G354" s="426" t="s">
        <v>177</v>
      </c>
    </row>
    <row r="355" spans="1:7" ht="13.5" customHeight="1" x14ac:dyDescent="0.35">
      <c r="A355" s="480">
        <v>42940</v>
      </c>
      <c r="B355" s="426" t="s">
        <v>3410</v>
      </c>
      <c r="C355" s="426" t="s">
        <v>2849</v>
      </c>
      <c r="D355" s="426" t="s">
        <v>163</v>
      </c>
      <c r="E355" s="435">
        <v>13</v>
      </c>
      <c r="F355" s="426" t="s">
        <v>1924</v>
      </c>
      <c r="G355" s="426" t="s">
        <v>163</v>
      </c>
    </row>
    <row r="356" spans="1:7" ht="13.5" customHeight="1" x14ac:dyDescent="0.35">
      <c r="A356" s="480">
        <v>42939</v>
      </c>
      <c r="B356" s="426" t="s">
        <v>3411</v>
      </c>
      <c r="C356" s="426" t="s">
        <v>2850</v>
      </c>
      <c r="D356" s="426" t="s">
        <v>159</v>
      </c>
      <c r="E356" s="435">
        <v>450</v>
      </c>
      <c r="F356" s="426" t="s">
        <v>504</v>
      </c>
      <c r="G356" s="426" t="s">
        <v>174</v>
      </c>
    </row>
    <row r="357" spans="1:7" ht="13.5" customHeight="1" x14ac:dyDescent="0.35">
      <c r="A357" s="480">
        <v>42939</v>
      </c>
      <c r="B357" s="426" t="s">
        <v>3412</v>
      </c>
      <c r="C357" s="426" t="s">
        <v>2849</v>
      </c>
      <c r="D357" s="426" t="s">
        <v>162</v>
      </c>
      <c r="E357" s="435">
        <v>75</v>
      </c>
      <c r="F357" s="426" t="s">
        <v>3413</v>
      </c>
      <c r="G357" s="426" t="s">
        <v>174</v>
      </c>
    </row>
    <row r="358" spans="1:7" ht="13.5" customHeight="1" x14ac:dyDescent="0.35">
      <c r="A358" s="480">
        <v>42937</v>
      </c>
      <c r="B358" s="426" t="s">
        <v>2461</v>
      </c>
      <c r="C358" s="426" t="s">
        <v>2849</v>
      </c>
      <c r="D358" s="426" t="s">
        <v>159</v>
      </c>
      <c r="E358" s="435">
        <v>35</v>
      </c>
      <c r="F358" s="426" t="s">
        <v>3414</v>
      </c>
      <c r="G358" s="426" t="s">
        <v>175</v>
      </c>
    </row>
    <row r="359" spans="1:7" ht="13.5" customHeight="1" x14ac:dyDescent="0.35">
      <c r="A359" s="480">
        <v>42937</v>
      </c>
      <c r="B359" s="426" t="s">
        <v>3415</v>
      </c>
      <c r="C359" s="426" t="s">
        <v>2849</v>
      </c>
      <c r="D359" s="426" t="s">
        <v>162</v>
      </c>
      <c r="E359" s="435">
        <v>65</v>
      </c>
      <c r="F359" s="426" t="s">
        <v>3406</v>
      </c>
      <c r="G359" s="426" t="s">
        <v>1311</v>
      </c>
    </row>
    <row r="360" spans="1:7" ht="13.5" customHeight="1" x14ac:dyDescent="0.35">
      <c r="A360" s="480">
        <v>42937</v>
      </c>
      <c r="B360" s="426" t="s">
        <v>3416</v>
      </c>
      <c r="C360" s="426" t="s">
        <v>2849</v>
      </c>
      <c r="D360" s="426" t="s">
        <v>162</v>
      </c>
      <c r="E360" s="435">
        <v>200</v>
      </c>
      <c r="F360" s="426" t="s">
        <v>1938</v>
      </c>
      <c r="G360" s="426" t="s">
        <v>1311</v>
      </c>
    </row>
    <row r="361" spans="1:7" ht="13.5" customHeight="1" x14ac:dyDescent="0.35">
      <c r="A361" s="480">
        <v>42934</v>
      </c>
      <c r="B361" s="426" t="s">
        <v>3417</v>
      </c>
      <c r="C361" s="426" t="s">
        <v>2850</v>
      </c>
      <c r="D361" s="426" t="s">
        <v>159</v>
      </c>
      <c r="E361" s="435">
        <v>55</v>
      </c>
      <c r="F361" s="426" t="s">
        <v>2090</v>
      </c>
      <c r="G361" s="426" t="s">
        <v>177</v>
      </c>
    </row>
    <row r="362" spans="1:7" ht="13.5" customHeight="1" x14ac:dyDescent="0.35">
      <c r="A362" s="480">
        <v>42934</v>
      </c>
      <c r="B362" s="426" t="s">
        <v>3184</v>
      </c>
      <c r="C362" s="426" t="s">
        <v>2850</v>
      </c>
      <c r="D362" s="426" t="s">
        <v>162</v>
      </c>
      <c r="E362" s="435">
        <v>325</v>
      </c>
      <c r="F362" s="426" t="s">
        <v>504</v>
      </c>
      <c r="G362" s="426" t="s">
        <v>174</v>
      </c>
    </row>
    <row r="363" spans="1:7" ht="13.5" customHeight="1" x14ac:dyDescent="0.35">
      <c r="A363" s="480">
        <v>42934</v>
      </c>
      <c r="B363" s="426" t="s">
        <v>3418</v>
      </c>
      <c r="C363" s="426" t="s">
        <v>2850</v>
      </c>
      <c r="D363" s="426" t="s">
        <v>162</v>
      </c>
      <c r="E363" s="435">
        <v>625</v>
      </c>
      <c r="F363" s="426" t="s">
        <v>504</v>
      </c>
      <c r="G363" s="426" t="s">
        <v>175</v>
      </c>
    </row>
    <row r="364" spans="1:7" ht="13.5" customHeight="1" x14ac:dyDescent="0.35">
      <c r="A364" s="480">
        <v>42933</v>
      </c>
      <c r="B364" s="426" t="s">
        <v>3419</v>
      </c>
      <c r="C364" s="426" t="s">
        <v>2849</v>
      </c>
      <c r="D364" s="426" t="s">
        <v>163</v>
      </c>
      <c r="E364" s="435">
        <v>13</v>
      </c>
      <c r="F364" s="426" t="s">
        <v>1924</v>
      </c>
      <c r="G364" s="426" t="s">
        <v>163</v>
      </c>
    </row>
    <row r="365" spans="1:7" ht="13.5" customHeight="1" x14ac:dyDescent="0.35">
      <c r="A365" s="480">
        <v>42932</v>
      </c>
      <c r="B365" s="426" t="s">
        <v>3420</v>
      </c>
      <c r="C365" s="426" t="s">
        <v>2850</v>
      </c>
      <c r="D365" s="426" t="s">
        <v>159</v>
      </c>
      <c r="E365" s="435">
        <v>65</v>
      </c>
      <c r="F365" s="426" t="s">
        <v>2217</v>
      </c>
      <c r="G365" s="426" t="s">
        <v>175</v>
      </c>
    </row>
    <row r="366" spans="1:7" ht="13.5" customHeight="1" x14ac:dyDescent="0.35">
      <c r="A366" s="480">
        <v>42930</v>
      </c>
      <c r="B366" s="426" t="s">
        <v>161</v>
      </c>
      <c r="C366" s="426" t="s">
        <v>2853</v>
      </c>
      <c r="D366" s="426" t="s">
        <v>160</v>
      </c>
      <c r="E366" s="435">
        <v>31.41</v>
      </c>
      <c r="F366" s="426" t="s">
        <v>3421</v>
      </c>
      <c r="G366" s="426" t="s">
        <v>3222</v>
      </c>
    </row>
    <row r="367" spans="1:7" ht="13.5" customHeight="1" x14ac:dyDescent="0.35">
      <c r="A367" s="480">
        <v>42922</v>
      </c>
      <c r="B367" s="426" t="s">
        <v>3422</v>
      </c>
      <c r="C367" s="426" t="s">
        <v>2849</v>
      </c>
      <c r="D367" s="426" t="s">
        <v>163</v>
      </c>
      <c r="E367" s="435">
        <v>13</v>
      </c>
      <c r="F367" s="426" t="s">
        <v>1924</v>
      </c>
      <c r="G367" s="426" t="s">
        <v>163</v>
      </c>
    </row>
    <row r="368" spans="1:7" ht="13.5" customHeight="1" x14ac:dyDescent="0.35">
      <c r="A368" s="480">
        <v>42922</v>
      </c>
      <c r="B368" s="426" t="s">
        <v>3337</v>
      </c>
      <c r="C368" s="426" t="s">
        <v>2849</v>
      </c>
      <c r="D368" s="426" t="s">
        <v>159</v>
      </c>
      <c r="E368" s="435">
        <v>30</v>
      </c>
      <c r="F368" s="426" t="s">
        <v>1924</v>
      </c>
      <c r="G368" s="426" t="s">
        <v>174</v>
      </c>
    </row>
    <row r="369" spans="1:7" ht="13.5" customHeight="1" x14ac:dyDescent="0.35">
      <c r="A369" s="480">
        <v>42920</v>
      </c>
      <c r="B369" s="426" t="s">
        <v>3423</v>
      </c>
      <c r="C369" s="426" t="s">
        <v>2851</v>
      </c>
      <c r="D369" s="426" t="s">
        <v>162</v>
      </c>
      <c r="E369" s="435">
        <v>31</v>
      </c>
      <c r="F369" s="426" t="s">
        <v>291</v>
      </c>
      <c r="G369" s="426" t="s">
        <v>175</v>
      </c>
    </row>
    <row r="370" spans="1:7" ht="13.5" customHeight="1" x14ac:dyDescent="0.35">
      <c r="A370" s="480">
        <v>42920</v>
      </c>
      <c r="B370" s="426" t="s">
        <v>2445</v>
      </c>
      <c r="C370" s="426" t="s">
        <v>2850</v>
      </c>
      <c r="D370" s="426" t="s">
        <v>159</v>
      </c>
      <c r="E370" s="435">
        <v>150</v>
      </c>
      <c r="F370" s="426" t="s">
        <v>2090</v>
      </c>
      <c r="G370" s="426" t="s">
        <v>177</v>
      </c>
    </row>
    <row r="371" spans="1:7" ht="13.5" customHeight="1" x14ac:dyDescent="0.35">
      <c r="A371" s="480">
        <v>42920</v>
      </c>
      <c r="B371" s="426" t="s">
        <v>3424</v>
      </c>
      <c r="C371" s="426" t="s">
        <v>941</v>
      </c>
      <c r="D371" s="426" t="s">
        <v>159</v>
      </c>
      <c r="E371" s="435">
        <f>195-48.75</f>
        <v>146.25</v>
      </c>
      <c r="F371" s="478" t="s">
        <v>941</v>
      </c>
      <c r="G371" s="426" t="s">
        <v>174</v>
      </c>
    </row>
    <row r="372" spans="1:7" ht="13.5" customHeight="1" x14ac:dyDescent="0.35">
      <c r="A372" s="480">
        <v>42919</v>
      </c>
      <c r="B372" s="426" t="s">
        <v>3423</v>
      </c>
      <c r="C372" s="426" t="s">
        <v>2851</v>
      </c>
      <c r="D372" s="426" t="s">
        <v>162</v>
      </c>
      <c r="E372" s="435">
        <v>204.05</v>
      </c>
      <c r="F372" s="426" t="s">
        <v>291</v>
      </c>
      <c r="G372" s="426" t="s">
        <v>175</v>
      </c>
    </row>
    <row r="373" spans="1:7" ht="13.5" customHeight="1" x14ac:dyDescent="0.35">
      <c r="A373" s="480">
        <v>42917</v>
      </c>
      <c r="B373" s="426" t="s">
        <v>3425</v>
      </c>
      <c r="C373" s="426" t="s">
        <v>2851</v>
      </c>
      <c r="D373" s="426" t="s">
        <v>161</v>
      </c>
      <c r="E373" s="435">
        <v>545.6</v>
      </c>
      <c r="F373" s="426" t="s">
        <v>1078</v>
      </c>
      <c r="G373" s="426" t="s">
        <v>175</v>
      </c>
    </row>
    <row r="374" spans="1:7" ht="13.5" customHeight="1" x14ac:dyDescent="0.35">
      <c r="A374" s="480">
        <v>42917</v>
      </c>
      <c r="B374" s="426" t="s">
        <v>3426</v>
      </c>
      <c r="C374" s="426" t="s">
        <v>2852</v>
      </c>
      <c r="D374" s="426" t="s">
        <v>161</v>
      </c>
      <c r="E374" s="435">
        <v>140</v>
      </c>
      <c r="F374" s="426" t="s">
        <v>292</v>
      </c>
      <c r="G374" s="426" t="s">
        <v>175</v>
      </c>
    </row>
    <row r="375" spans="1:7" x14ac:dyDescent="0.35">
      <c r="E375" s="465"/>
    </row>
    <row r="376" spans="1:7" ht="13.5" customHeight="1" x14ac:dyDescent="0.35">
      <c r="A376" s="480">
        <v>42916</v>
      </c>
      <c r="B376" s="426" t="s">
        <v>2941</v>
      </c>
      <c r="C376" s="426" t="s">
        <v>2853</v>
      </c>
      <c r="D376" s="426" t="s">
        <v>159</v>
      </c>
      <c r="E376" s="435">
        <v>35</v>
      </c>
      <c r="F376" s="426" t="s">
        <v>753</v>
      </c>
      <c r="G376" s="426" t="s">
        <v>175</v>
      </c>
    </row>
    <row r="377" spans="1:7" ht="13.5" customHeight="1" x14ac:dyDescent="0.35">
      <c r="A377" s="480">
        <v>42916</v>
      </c>
      <c r="B377" s="426" t="s">
        <v>967</v>
      </c>
      <c r="C377" s="426" t="s">
        <v>941</v>
      </c>
      <c r="D377" s="426" t="s">
        <v>162</v>
      </c>
      <c r="E377" s="435">
        <v>304.14999999999998</v>
      </c>
      <c r="F377" s="478" t="s">
        <v>941</v>
      </c>
      <c r="G377" s="426" t="s">
        <v>175</v>
      </c>
    </row>
    <row r="378" spans="1:7" ht="13.5" customHeight="1" x14ac:dyDescent="0.35">
      <c r="A378" s="480">
        <v>42916</v>
      </c>
      <c r="B378" s="426" t="s">
        <v>3427</v>
      </c>
      <c r="C378" s="426" t="s">
        <v>2850</v>
      </c>
      <c r="D378" s="426" t="s">
        <v>159</v>
      </c>
      <c r="E378" s="435">
        <v>48</v>
      </c>
      <c r="F378" s="426" t="s">
        <v>3428</v>
      </c>
      <c r="G378" s="426" t="s">
        <v>175</v>
      </c>
    </row>
    <row r="379" spans="1:7" ht="13.5" customHeight="1" x14ac:dyDescent="0.35">
      <c r="A379" s="480">
        <v>42914</v>
      </c>
      <c r="B379" s="426" t="s">
        <v>3429</v>
      </c>
      <c r="C379" s="426" t="s">
        <v>2850</v>
      </c>
      <c r="D379" s="426" t="s">
        <v>160</v>
      </c>
      <c r="E379" s="435">
        <v>60</v>
      </c>
      <c r="F379" s="426" t="s">
        <v>3430</v>
      </c>
      <c r="G379" s="426" t="s">
        <v>175</v>
      </c>
    </row>
    <row r="380" spans="1:7" ht="13.5" customHeight="1" x14ac:dyDescent="0.35">
      <c r="A380" s="480">
        <v>42914</v>
      </c>
      <c r="B380" s="426" t="s">
        <v>1126</v>
      </c>
      <c r="C380" s="426" t="s">
        <v>2853</v>
      </c>
      <c r="D380" s="426" t="s">
        <v>159</v>
      </c>
      <c r="E380" s="435">
        <v>30</v>
      </c>
      <c r="F380" s="426" t="s">
        <v>2980</v>
      </c>
      <c r="G380" s="426" t="s">
        <v>175</v>
      </c>
    </row>
    <row r="381" spans="1:7" ht="13.5" customHeight="1" x14ac:dyDescent="0.35">
      <c r="A381" s="480">
        <v>42909</v>
      </c>
      <c r="B381" s="426" t="s">
        <v>3431</v>
      </c>
      <c r="C381" s="426" t="s">
        <v>2853</v>
      </c>
      <c r="D381" s="426" t="s">
        <v>159</v>
      </c>
      <c r="E381" s="435">
        <v>100</v>
      </c>
      <c r="F381" s="426" t="s">
        <v>209</v>
      </c>
      <c r="G381" s="426" t="s">
        <v>174</v>
      </c>
    </row>
    <row r="382" spans="1:7" ht="13.5" customHeight="1" x14ac:dyDescent="0.35">
      <c r="A382" s="480">
        <v>42908</v>
      </c>
      <c r="B382" s="426" t="s">
        <v>3150</v>
      </c>
      <c r="C382" s="426" t="s">
        <v>2850</v>
      </c>
      <c r="D382" s="426" t="s">
        <v>162</v>
      </c>
      <c r="E382" s="435">
        <v>200</v>
      </c>
      <c r="F382" s="426" t="s">
        <v>3432</v>
      </c>
      <c r="G382" s="426" t="s">
        <v>1311</v>
      </c>
    </row>
    <row r="383" spans="1:7" ht="13.5" customHeight="1" x14ac:dyDescent="0.35">
      <c r="A383" s="480">
        <v>42907</v>
      </c>
      <c r="B383" s="426" t="s">
        <v>2781</v>
      </c>
      <c r="C383" s="426" t="s">
        <v>2850</v>
      </c>
      <c r="D383" s="426" t="s">
        <v>159</v>
      </c>
      <c r="E383" s="435">
        <v>99</v>
      </c>
      <c r="F383" s="426" t="s">
        <v>1319</v>
      </c>
      <c r="G383" s="426" t="s">
        <v>174</v>
      </c>
    </row>
    <row r="384" spans="1:7" ht="13.5" customHeight="1" x14ac:dyDescent="0.35">
      <c r="A384" s="480">
        <v>42907</v>
      </c>
      <c r="B384" s="426" t="s">
        <v>3433</v>
      </c>
      <c r="C384" s="426" t="s">
        <v>2850</v>
      </c>
      <c r="D384" s="426" t="s">
        <v>159</v>
      </c>
      <c r="E384" s="435">
        <v>60</v>
      </c>
      <c r="F384" s="426" t="s">
        <v>3430</v>
      </c>
      <c r="G384" s="426" t="s">
        <v>175</v>
      </c>
    </row>
    <row r="385" spans="1:7" ht="13.5" customHeight="1" x14ac:dyDescent="0.35">
      <c r="A385" s="480">
        <v>42907</v>
      </c>
      <c r="B385" s="426" t="s">
        <v>3434</v>
      </c>
      <c r="C385" s="426" t="s">
        <v>2851</v>
      </c>
      <c r="D385" s="426" t="s">
        <v>162</v>
      </c>
      <c r="E385" s="435">
        <v>394.2</v>
      </c>
      <c r="F385" s="426" t="s">
        <v>3435</v>
      </c>
      <c r="G385" s="426" t="s">
        <v>175</v>
      </c>
    </row>
    <row r="386" spans="1:7" ht="13.5" customHeight="1" x14ac:dyDescent="0.35">
      <c r="A386" s="480">
        <v>42904</v>
      </c>
      <c r="B386" s="426" t="s">
        <v>3436</v>
      </c>
      <c r="C386" s="426" t="s">
        <v>2850</v>
      </c>
      <c r="D386" s="426" t="s">
        <v>159</v>
      </c>
      <c r="E386" s="435">
        <v>59</v>
      </c>
      <c r="F386" s="426" t="s">
        <v>177</v>
      </c>
      <c r="G386" s="426" t="s">
        <v>177</v>
      </c>
    </row>
    <row r="387" spans="1:7" ht="13.5" customHeight="1" x14ac:dyDescent="0.35">
      <c r="A387" s="480">
        <v>42903</v>
      </c>
      <c r="B387" s="426" t="s">
        <v>3437</v>
      </c>
      <c r="C387" s="426" t="s">
        <v>2850</v>
      </c>
      <c r="D387" s="426" t="s">
        <v>160</v>
      </c>
      <c r="E387" s="435">
        <v>59</v>
      </c>
      <c r="F387" s="426" t="s">
        <v>177</v>
      </c>
      <c r="G387" s="426" t="s">
        <v>177</v>
      </c>
    </row>
    <row r="388" spans="1:7" ht="13.5" customHeight="1" x14ac:dyDescent="0.35">
      <c r="A388" s="480">
        <v>42902</v>
      </c>
      <c r="B388" s="426" t="s">
        <v>3053</v>
      </c>
      <c r="C388" s="426" t="s">
        <v>2849</v>
      </c>
      <c r="D388" s="426" t="s">
        <v>160</v>
      </c>
      <c r="E388" s="435">
        <v>175</v>
      </c>
      <c r="F388" s="426" t="s">
        <v>3438</v>
      </c>
      <c r="G388" s="426" t="s">
        <v>175</v>
      </c>
    </row>
    <row r="389" spans="1:7" ht="13.5" customHeight="1" x14ac:dyDescent="0.35">
      <c r="A389" s="480">
        <v>42901</v>
      </c>
      <c r="B389" s="426" t="s">
        <v>3439</v>
      </c>
      <c r="C389" s="426" t="s">
        <v>2849</v>
      </c>
      <c r="D389" s="426" t="s">
        <v>163</v>
      </c>
      <c r="E389" s="435">
        <v>13</v>
      </c>
      <c r="F389" s="426" t="s">
        <v>1924</v>
      </c>
      <c r="G389" s="426" t="s">
        <v>163</v>
      </c>
    </row>
    <row r="390" spans="1:7" ht="13.5" customHeight="1" x14ac:dyDescent="0.35">
      <c r="A390" s="480">
        <v>42900</v>
      </c>
      <c r="B390" s="426" t="s">
        <v>3440</v>
      </c>
      <c r="C390" s="426" t="s">
        <v>2850</v>
      </c>
      <c r="D390" s="426" t="s">
        <v>162</v>
      </c>
      <c r="E390" s="435">
        <v>500</v>
      </c>
      <c r="F390" s="478" t="s">
        <v>1531</v>
      </c>
      <c r="G390" s="426" t="s">
        <v>174</v>
      </c>
    </row>
    <row r="391" spans="1:7" ht="13.5" customHeight="1" x14ac:dyDescent="0.35">
      <c r="A391" s="480">
        <v>42900</v>
      </c>
      <c r="B391" s="426" t="s">
        <v>3440</v>
      </c>
      <c r="C391" s="426" t="s">
        <v>941</v>
      </c>
      <c r="D391" s="426" t="s">
        <v>162</v>
      </c>
      <c r="E391" s="435">
        <v>1300</v>
      </c>
      <c r="F391" s="478" t="s">
        <v>941</v>
      </c>
      <c r="G391" s="426" t="s">
        <v>174</v>
      </c>
    </row>
    <row r="392" spans="1:7" ht="13.5" customHeight="1" x14ac:dyDescent="0.35">
      <c r="A392" s="480">
        <v>42900</v>
      </c>
      <c r="B392" s="426" t="s">
        <v>1681</v>
      </c>
      <c r="C392" s="426" t="s">
        <v>2850</v>
      </c>
      <c r="D392" s="426" t="s">
        <v>159</v>
      </c>
      <c r="E392" s="435">
        <v>60</v>
      </c>
      <c r="F392" s="426" t="s">
        <v>3441</v>
      </c>
      <c r="G392" s="426" t="s">
        <v>175</v>
      </c>
    </row>
    <row r="393" spans="1:7" ht="13.5" customHeight="1" x14ac:dyDescent="0.35">
      <c r="A393" s="480">
        <v>42899</v>
      </c>
      <c r="B393" s="426" t="s">
        <v>3418</v>
      </c>
      <c r="C393" s="426" t="s">
        <v>2850</v>
      </c>
      <c r="D393" s="426" t="s">
        <v>2297</v>
      </c>
      <c r="E393" s="435">
        <v>180</v>
      </c>
      <c r="F393" s="426" t="s">
        <v>3441</v>
      </c>
      <c r="G393" s="426" t="s">
        <v>175</v>
      </c>
    </row>
    <row r="394" spans="1:7" ht="13.5" customHeight="1" x14ac:dyDescent="0.35">
      <c r="A394" s="480">
        <v>42899</v>
      </c>
      <c r="B394" s="426" t="s">
        <v>1126</v>
      </c>
      <c r="C394" s="426" t="s">
        <v>2850</v>
      </c>
      <c r="D394" s="426" t="s">
        <v>159</v>
      </c>
      <c r="E394" s="435">
        <v>60</v>
      </c>
      <c r="F394" s="426" t="s">
        <v>3442</v>
      </c>
      <c r="G394" s="426" t="s">
        <v>175</v>
      </c>
    </row>
    <row r="395" spans="1:7" ht="13.5" customHeight="1" x14ac:dyDescent="0.35">
      <c r="A395" s="480">
        <v>42899</v>
      </c>
      <c r="B395" s="426" t="s">
        <v>3443</v>
      </c>
      <c r="C395" s="426" t="s">
        <v>2850</v>
      </c>
      <c r="D395" s="426" t="s">
        <v>159</v>
      </c>
      <c r="E395" s="435">
        <v>60</v>
      </c>
      <c r="F395" s="426" t="s">
        <v>3444</v>
      </c>
      <c r="G395" s="426" t="s">
        <v>174</v>
      </c>
    </row>
    <row r="396" spans="1:7" ht="13.5" customHeight="1" x14ac:dyDescent="0.35">
      <c r="A396" s="480">
        <v>42898</v>
      </c>
      <c r="B396" s="426" t="s">
        <v>3445</v>
      </c>
      <c r="C396" s="426" t="s">
        <v>2853</v>
      </c>
      <c r="D396" s="426" t="s">
        <v>159</v>
      </c>
      <c r="E396" s="435">
        <v>64.8</v>
      </c>
      <c r="F396" s="426" t="s">
        <v>209</v>
      </c>
      <c r="G396" s="426" t="s">
        <v>174</v>
      </c>
    </row>
    <row r="397" spans="1:7" ht="13.5" customHeight="1" x14ac:dyDescent="0.35">
      <c r="A397" s="480">
        <v>42897</v>
      </c>
      <c r="B397" s="426" t="s">
        <v>2817</v>
      </c>
      <c r="C397" s="426" t="s">
        <v>2853</v>
      </c>
      <c r="D397" s="426" t="s">
        <v>160</v>
      </c>
      <c r="E397" s="435">
        <v>30</v>
      </c>
      <c r="F397" s="426" t="s">
        <v>2980</v>
      </c>
      <c r="G397" s="426" t="s">
        <v>175</v>
      </c>
    </row>
    <row r="398" spans="1:7" ht="13.5" customHeight="1" x14ac:dyDescent="0.35">
      <c r="A398" s="480">
        <v>42896</v>
      </c>
      <c r="B398" s="426" t="s">
        <v>2365</v>
      </c>
      <c r="C398" s="426" t="s">
        <v>2850</v>
      </c>
      <c r="D398" s="426" t="s">
        <v>159</v>
      </c>
      <c r="E398" s="435">
        <v>60</v>
      </c>
      <c r="F398" s="426" t="s">
        <v>3430</v>
      </c>
      <c r="G398" s="426" t="s">
        <v>175</v>
      </c>
    </row>
    <row r="399" spans="1:7" ht="13.5" customHeight="1" x14ac:dyDescent="0.35">
      <c r="A399" s="480">
        <v>42895</v>
      </c>
      <c r="B399" s="426" t="s">
        <v>3446</v>
      </c>
      <c r="C399" s="426" t="s">
        <v>2850</v>
      </c>
      <c r="D399" s="426" t="s">
        <v>159</v>
      </c>
      <c r="E399" s="435">
        <v>425</v>
      </c>
      <c r="F399" s="426" t="s">
        <v>504</v>
      </c>
      <c r="G399" s="426" t="s">
        <v>174</v>
      </c>
    </row>
    <row r="400" spans="1:7" ht="13.5" customHeight="1" x14ac:dyDescent="0.35">
      <c r="A400" s="480">
        <v>42895</v>
      </c>
      <c r="B400" s="426" t="s">
        <v>3447</v>
      </c>
      <c r="C400" s="426" t="s">
        <v>2849</v>
      </c>
      <c r="D400" s="426" t="s">
        <v>162</v>
      </c>
      <c r="E400" s="435">
        <v>200</v>
      </c>
      <c r="F400" s="426" t="s">
        <v>3448</v>
      </c>
      <c r="G400" s="426" t="s">
        <v>1311</v>
      </c>
    </row>
    <row r="401" spans="1:7" ht="13.5" customHeight="1" x14ac:dyDescent="0.35">
      <c r="A401" s="480">
        <v>42894</v>
      </c>
      <c r="B401" s="426" t="s">
        <v>3449</v>
      </c>
      <c r="C401" s="426" t="s">
        <v>2849</v>
      </c>
      <c r="D401" s="426" t="s">
        <v>163</v>
      </c>
      <c r="E401" s="435">
        <v>13</v>
      </c>
      <c r="F401" s="426" t="s">
        <v>1924</v>
      </c>
      <c r="G401" s="426" t="s">
        <v>163</v>
      </c>
    </row>
    <row r="402" spans="1:7" ht="13.5" customHeight="1" x14ac:dyDescent="0.35">
      <c r="A402" s="480">
        <v>42894</v>
      </c>
      <c r="B402" s="426" t="s">
        <v>3450</v>
      </c>
      <c r="C402" s="426" t="s">
        <v>2849</v>
      </c>
      <c r="D402" s="426" t="s">
        <v>163</v>
      </c>
      <c r="E402" s="435">
        <v>13</v>
      </c>
      <c r="F402" s="426" t="s">
        <v>1924</v>
      </c>
      <c r="G402" s="426" t="s">
        <v>163</v>
      </c>
    </row>
    <row r="403" spans="1:7" ht="13.5" customHeight="1" x14ac:dyDescent="0.35">
      <c r="A403" s="480">
        <v>42894</v>
      </c>
      <c r="B403" s="426" t="s">
        <v>3451</v>
      </c>
      <c r="C403" s="426" t="s">
        <v>2850</v>
      </c>
      <c r="D403" s="426" t="s">
        <v>159</v>
      </c>
      <c r="E403" s="435">
        <v>60</v>
      </c>
      <c r="F403" s="426" t="s">
        <v>3430</v>
      </c>
      <c r="G403" s="426" t="s">
        <v>174</v>
      </c>
    </row>
    <row r="404" spans="1:7" ht="13.5" customHeight="1" x14ac:dyDescent="0.35">
      <c r="A404" s="480">
        <v>42893</v>
      </c>
      <c r="B404" s="426" t="s">
        <v>3452</v>
      </c>
      <c r="C404" s="426" t="s">
        <v>2852</v>
      </c>
      <c r="D404" s="426" t="s">
        <v>160</v>
      </c>
      <c r="E404" s="435">
        <v>20</v>
      </c>
      <c r="F404" s="426" t="s">
        <v>3453</v>
      </c>
      <c r="G404" s="426" t="s">
        <v>175</v>
      </c>
    </row>
    <row r="405" spans="1:7" ht="13.5" customHeight="1" x14ac:dyDescent="0.35">
      <c r="A405" s="480">
        <v>42892</v>
      </c>
      <c r="B405" s="426" t="s">
        <v>3454</v>
      </c>
      <c r="C405" s="426" t="s">
        <v>2849</v>
      </c>
      <c r="D405" s="426" t="s">
        <v>162</v>
      </c>
      <c r="E405" s="435">
        <v>65</v>
      </c>
      <c r="F405" s="426" t="s">
        <v>3406</v>
      </c>
      <c r="G405" s="426" t="s">
        <v>1311</v>
      </c>
    </row>
    <row r="406" spans="1:7" ht="13.5" customHeight="1" x14ac:dyDescent="0.35">
      <c r="A406" s="480">
        <v>42892</v>
      </c>
      <c r="B406" s="426" t="s">
        <v>3455</v>
      </c>
      <c r="C406" s="426" t="s">
        <v>2849</v>
      </c>
      <c r="D406" s="426" t="s">
        <v>2297</v>
      </c>
      <c r="E406" s="435">
        <v>235</v>
      </c>
      <c r="F406" s="426" t="s">
        <v>3448</v>
      </c>
      <c r="G406" s="426" t="s">
        <v>174</v>
      </c>
    </row>
    <row r="407" spans="1:7" ht="13.5" customHeight="1" x14ac:dyDescent="0.35">
      <c r="A407" s="480">
        <v>42891</v>
      </c>
      <c r="B407" s="426" t="s">
        <v>3455</v>
      </c>
      <c r="C407" s="426" t="s">
        <v>2849</v>
      </c>
      <c r="D407" s="426" t="s">
        <v>159</v>
      </c>
      <c r="E407" s="435">
        <v>30</v>
      </c>
      <c r="F407" s="426" t="s">
        <v>1924</v>
      </c>
      <c r="G407" s="426" t="s">
        <v>174</v>
      </c>
    </row>
    <row r="408" spans="1:7" ht="13.5" customHeight="1" x14ac:dyDescent="0.35">
      <c r="A408" s="480">
        <v>42889</v>
      </c>
      <c r="B408" s="426" t="s">
        <v>3456</v>
      </c>
      <c r="C408" s="426" t="s">
        <v>2849</v>
      </c>
      <c r="D408" s="426" t="s">
        <v>163</v>
      </c>
      <c r="E408" s="435">
        <v>13</v>
      </c>
      <c r="F408" s="426" t="s">
        <v>1924</v>
      </c>
      <c r="G408" s="426" t="s">
        <v>163</v>
      </c>
    </row>
    <row r="409" spans="1:7" ht="13.5" customHeight="1" x14ac:dyDescent="0.35">
      <c r="A409" s="480">
        <v>42889</v>
      </c>
      <c r="B409" s="426" t="s">
        <v>3457</v>
      </c>
      <c r="C409" s="426" t="s">
        <v>2849</v>
      </c>
      <c r="D409" s="426" t="s">
        <v>163</v>
      </c>
      <c r="E409" s="435">
        <v>13</v>
      </c>
      <c r="F409" s="426" t="s">
        <v>1924</v>
      </c>
      <c r="G409" s="426" t="s">
        <v>163</v>
      </c>
    </row>
    <row r="410" spans="1:7" ht="13.5" customHeight="1" x14ac:dyDescent="0.35">
      <c r="A410" s="480">
        <v>42888</v>
      </c>
      <c r="B410" s="426" t="s">
        <v>3458</v>
      </c>
      <c r="C410" s="426" t="s">
        <v>2849</v>
      </c>
      <c r="D410" s="426" t="s">
        <v>163</v>
      </c>
      <c r="E410" s="435">
        <v>13</v>
      </c>
      <c r="F410" s="426" t="s">
        <v>1924</v>
      </c>
      <c r="G410" s="426" t="s">
        <v>163</v>
      </c>
    </row>
    <row r="411" spans="1:7" ht="13.5" customHeight="1" x14ac:dyDescent="0.35">
      <c r="A411" s="480">
        <v>42887</v>
      </c>
      <c r="B411" s="426" t="s">
        <v>3459</v>
      </c>
      <c r="C411" s="426" t="s">
        <v>2849</v>
      </c>
      <c r="D411" s="426" t="s">
        <v>160</v>
      </c>
      <c r="E411" s="435">
        <v>30</v>
      </c>
      <c r="F411" s="426" t="s">
        <v>1924</v>
      </c>
      <c r="G411" s="426" t="s">
        <v>174</v>
      </c>
    </row>
    <row r="412" spans="1:7" ht="13.5" customHeight="1" x14ac:dyDescent="0.35">
      <c r="A412" s="480">
        <v>42887</v>
      </c>
      <c r="B412" s="426" t="s">
        <v>3028</v>
      </c>
      <c r="C412" s="426" t="s">
        <v>2851</v>
      </c>
      <c r="D412" s="426" t="s">
        <v>161</v>
      </c>
      <c r="E412" s="435">
        <v>296.77999999999997</v>
      </c>
      <c r="F412" s="426" t="s">
        <v>3460</v>
      </c>
      <c r="G412" s="426" t="s">
        <v>175</v>
      </c>
    </row>
    <row r="413" spans="1:7" ht="13.5" customHeight="1" x14ac:dyDescent="0.35">
      <c r="A413" s="480">
        <v>42887</v>
      </c>
      <c r="B413" s="426" t="s">
        <v>3029</v>
      </c>
      <c r="C413" s="426" t="s">
        <v>2852</v>
      </c>
      <c r="D413" s="426" t="s">
        <v>161</v>
      </c>
      <c r="E413" s="435">
        <v>102</v>
      </c>
      <c r="F413" s="426" t="s">
        <v>292</v>
      </c>
      <c r="G413" s="426" t="s">
        <v>175</v>
      </c>
    </row>
    <row r="415" spans="1:7" ht="13.5" customHeight="1" x14ac:dyDescent="0.35">
      <c r="A415" s="480">
        <v>42886</v>
      </c>
      <c r="B415" s="426" t="s">
        <v>3461</v>
      </c>
      <c r="C415" s="426" t="s">
        <v>2853</v>
      </c>
      <c r="D415" s="426" t="s">
        <v>159</v>
      </c>
      <c r="E415" s="435">
        <v>18.75</v>
      </c>
      <c r="F415" s="426" t="s">
        <v>753</v>
      </c>
      <c r="G415" s="426" t="s">
        <v>175</v>
      </c>
    </row>
    <row r="416" spans="1:7" ht="13.5" customHeight="1" x14ac:dyDescent="0.35">
      <c r="A416" s="480">
        <v>42886</v>
      </c>
      <c r="B416" s="426" t="s">
        <v>3462</v>
      </c>
      <c r="C416" s="426" t="s">
        <v>2849</v>
      </c>
      <c r="D416" s="426" t="s">
        <v>159</v>
      </c>
      <c r="E416" s="435">
        <v>273.75</v>
      </c>
      <c r="F416" s="426" t="s">
        <v>3463</v>
      </c>
      <c r="G416" s="426" t="s">
        <v>175</v>
      </c>
    </row>
    <row r="417" spans="1:7" ht="13.5" customHeight="1" x14ac:dyDescent="0.35">
      <c r="A417" s="480">
        <v>42886</v>
      </c>
      <c r="B417" s="426" t="s">
        <v>3217</v>
      </c>
      <c r="C417" s="426" t="s">
        <v>2849</v>
      </c>
      <c r="D417" s="426" t="s">
        <v>159</v>
      </c>
      <c r="E417" s="435">
        <v>198.75</v>
      </c>
      <c r="F417" s="426" t="s">
        <v>1286</v>
      </c>
      <c r="G417" s="426" t="s">
        <v>175</v>
      </c>
    </row>
    <row r="418" spans="1:7" ht="13.5" customHeight="1" x14ac:dyDescent="0.35">
      <c r="A418" s="480">
        <v>42886</v>
      </c>
      <c r="B418" s="426" t="s">
        <v>3464</v>
      </c>
      <c r="C418" s="426" t="s">
        <v>941</v>
      </c>
      <c r="D418" s="426" t="s">
        <v>159</v>
      </c>
      <c r="E418" s="435">
        <v>146.25</v>
      </c>
      <c r="F418" s="478" t="s">
        <v>941</v>
      </c>
      <c r="G418" s="426" t="s">
        <v>175</v>
      </c>
    </row>
    <row r="419" spans="1:7" ht="13.5" customHeight="1" x14ac:dyDescent="0.35">
      <c r="A419" s="480">
        <v>42886</v>
      </c>
      <c r="B419" s="426" t="s">
        <v>1009</v>
      </c>
      <c r="C419" s="426" t="s">
        <v>2850</v>
      </c>
      <c r="D419" s="426" t="s">
        <v>162</v>
      </c>
      <c r="E419" s="435">
        <v>337.5</v>
      </c>
      <c r="F419" s="426" t="s">
        <v>467</v>
      </c>
      <c r="G419" s="426" t="s">
        <v>175</v>
      </c>
    </row>
    <row r="420" spans="1:7" ht="13.5" customHeight="1" x14ac:dyDescent="0.35">
      <c r="A420" s="480">
        <v>42886</v>
      </c>
      <c r="B420" s="426" t="s">
        <v>3465</v>
      </c>
      <c r="C420" s="426" t="s">
        <v>2850</v>
      </c>
      <c r="D420" s="426" t="s">
        <v>2297</v>
      </c>
      <c r="E420" s="435">
        <v>60</v>
      </c>
      <c r="F420" s="426" t="s">
        <v>3430</v>
      </c>
      <c r="G420" s="426" t="s">
        <v>174</v>
      </c>
    </row>
    <row r="421" spans="1:7" ht="13.5" customHeight="1" x14ac:dyDescent="0.35">
      <c r="A421" s="480">
        <v>42886</v>
      </c>
      <c r="B421" s="426" t="s">
        <v>3466</v>
      </c>
      <c r="C421" s="426" t="s">
        <v>2849</v>
      </c>
      <c r="D421" s="426" t="s">
        <v>163</v>
      </c>
      <c r="E421" s="435">
        <v>13</v>
      </c>
      <c r="F421" s="426" t="s">
        <v>1924</v>
      </c>
      <c r="G421" s="426" t="s">
        <v>163</v>
      </c>
    </row>
    <row r="422" spans="1:7" ht="13.5" customHeight="1" x14ac:dyDescent="0.35">
      <c r="A422" s="480">
        <v>42886</v>
      </c>
      <c r="B422" s="426" t="s">
        <v>2394</v>
      </c>
      <c r="C422" s="426" t="s">
        <v>2849</v>
      </c>
      <c r="D422" s="426" t="s">
        <v>162</v>
      </c>
      <c r="E422" s="435">
        <v>37.5</v>
      </c>
      <c r="F422" s="426" t="s">
        <v>2808</v>
      </c>
      <c r="G422" s="426" t="s">
        <v>175</v>
      </c>
    </row>
    <row r="423" spans="1:7" ht="13.5" customHeight="1" x14ac:dyDescent="0.35">
      <c r="A423" s="480">
        <v>42886</v>
      </c>
      <c r="B423" s="426" t="s">
        <v>3467</v>
      </c>
      <c r="C423" s="426" t="s">
        <v>2849</v>
      </c>
      <c r="D423" s="426" t="s">
        <v>162</v>
      </c>
      <c r="E423" s="435">
        <v>176.25</v>
      </c>
      <c r="F423" s="426" t="s">
        <v>3468</v>
      </c>
      <c r="G423" s="426" t="s">
        <v>174</v>
      </c>
    </row>
    <row r="424" spans="1:7" ht="13.5" customHeight="1" x14ac:dyDescent="0.35">
      <c r="A424" s="480">
        <v>42886</v>
      </c>
      <c r="B424" s="426" t="s">
        <v>3469</v>
      </c>
      <c r="C424" s="426" t="s">
        <v>2849</v>
      </c>
      <c r="D424" s="426" t="s">
        <v>163</v>
      </c>
      <c r="E424" s="435">
        <v>13</v>
      </c>
      <c r="F424" s="426" t="s">
        <v>1924</v>
      </c>
      <c r="G424" s="426" t="s">
        <v>163</v>
      </c>
    </row>
    <row r="425" spans="1:7" ht="13.5" customHeight="1" x14ac:dyDescent="0.35">
      <c r="A425" s="480">
        <v>42886</v>
      </c>
      <c r="B425" s="426" t="s">
        <v>3470</v>
      </c>
      <c r="C425" s="426" t="s">
        <v>2849</v>
      </c>
      <c r="D425" s="426" t="s">
        <v>159</v>
      </c>
      <c r="E425" s="435">
        <v>22.5</v>
      </c>
      <c r="F425" s="426" t="s">
        <v>1924</v>
      </c>
      <c r="G425" s="426" t="s">
        <v>174</v>
      </c>
    </row>
    <row r="426" spans="1:7" ht="13.5" customHeight="1" x14ac:dyDescent="0.35">
      <c r="A426" s="480">
        <v>42885</v>
      </c>
      <c r="B426" s="426" t="s">
        <v>3471</v>
      </c>
      <c r="C426" s="426" t="s">
        <v>2850</v>
      </c>
      <c r="D426" s="426" t="s">
        <v>160</v>
      </c>
      <c r="E426" s="435">
        <v>45</v>
      </c>
      <c r="F426" s="426" t="s">
        <v>3430</v>
      </c>
      <c r="G426" s="426" t="s">
        <v>175</v>
      </c>
    </row>
    <row r="427" spans="1:7" ht="13.5" customHeight="1" x14ac:dyDescent="0.35">
      <c r="A427" s="480">
        <v>42885</v>
      </c>
      <c r="B427" s="426" t="s">
        <v>3471</v>
      </c>
      <c r="C427" s="426" t="s">
        <v>2852</v>
      </c>
      <c r="D427" s="426" t="s">
        <v>160</v>
      </c>
      <c r="E427" s="435">
        <v>20</v>
      </c>
      <c r="F427" s="426" t="s">
        <v>293</v>
      </c>
      <c r="G427" s="426" t="s">
        <v>175</v>
      </c>
    </row>
    <row r="428" spans="1:7" ht="13.5" customHeight="1" x14ac:dyDescent="0.35">
      <c r="A428" s="480">
        <v>42885</v>
      </c>
      <c r="B428" s="426" t="s">
        <v>1977</v>
      </c>
      <c r="C428" s="426" t="s">
        <v>2850</v>
      </c>
      <c r="D428" s="426" t="s">
        <v>160</v>
      </c>
      <c r="E428" s="435">
        <v>45</v>
      </c>
      <c r="F428" s="426" t="s">
        <v>3472</v>
      </c>
      <c r="G428" s="426" t="s">
        <v>175</v>
      </c>
    </row>
    <row r="429" spans="1:7" ht="13.5" customHeight="1" x14ac:dyDescent="0.35">
      <c r="A429" s="480">
        <v>42885</v>
      </c>
      <c r="B429" s="426" t="s">
        <v>3473</v>
      </c>
      <c r="C429" s="426" t="s">
        <v>2849</v>
      </c>
      <c r="D429" s="426" t="s">
        <v>159</v>
      </c>
      <c r="E429" s="435">
        <v>198.75</v>
      </c>
      <c r="F429" s="426" t="s">
        <v>3406</v>
      </c>
      <c r="G429" s="426" t="s">
        <v>174</v>
      </c>
    </row>
    <row r="430" spans="1:7" ht="13.5" customHeight="1" x14ac:dyDescent="0.35">
      <c r="A430" s="480">
        <v>42884</v>
      </c>
      <c r="B430" s="426" t="s">
        <v>3474</v>
      </c>
      <c r="C430" s="426" t="s">
        <v>2849</v>
      </c>
      <c r="D430" s="426" t="s">
        <v>160</v>
      </c>
      <c r="E430" s="435">
        <v>60</v>
      </c>
      <c r="F430" s="426" t="s">
        <v>1924</v>
      </c>
      <c r="G430" s="426" t="s">
        <v>174</v>
      </c>
    </row>
    <row r="431" spans="1:7" ht="13.5" customHeight="1" x14ac:dyDescent="0.35">
      <c r="A431" s="480">
        <v>42884</v>
      </c>
      <c r="B431" s="426" t="s">
        <v>3475</v>
      </c>
      <c r="C431" s="426" t="s">
        <v>2850</v>
      </c>
      <c r="D431" s="426" t="s">
        <v>159</v>
      </c>
      <c r="E431" s="435">
        <v>35</v>
      </c>
      <c r="F431" s="426" t="s">
        <v>3080</v>
      </c>
      <c r="G431" s="426" t="s">
        <v>177</v>
      </c>
    </row>
    <row r="432" spans="1:7" ht="13.5" customHeight="1" x14ac:dyDescent="0.35">
      <c r="A432" s="480">
        <v>42883</v>
      </c>
      <c r="B432" s="426" t="s">
        <v>3476</v>
      </c>
      <c r="C432" s="426" t="s">
        <v>2849</v>
      </c>
      <c r="D432" s="426" t="s">
        <v>159</v>
      </c>
      <c r="E432" s="435">
        <v>265</v>
      </c>
      <c r="F432" s="426" t="s">
        <v>3477</v>
      </c>
      <c r="G432" s="426" t="s">
        <v>175</v>
      </c>
    </row>
    <row r="433" spans="1:7" ht="13.5" customHeight="1" x14ac:dyDescent="0.35">
      <c r="A433" s="480">
        <v>42882</v>
      </c>
      <c r="B433" s="426" t="s">
        <v>2431</v>
      </c>
      <c r="C433" s="426" t="s">
        <v>2852</v>
      </c>
      <c r="D433" s="426" t="s">
        <v>159</v>
      </c>
      <c r="E433" s="435">
        <v>600</v>
      </c>
      <c r="F433" s="426" t="s">
        <v>3478</v>
      </c>
      <c r="G433" s="426" t="s">
        <v>175</v>
      </c>
    </row>
    <row r="434" spans="1:7" ht="13.5" customHeight="1" x14ac:dyDescent="0.35">
      <c r="A434" s="480">
        <v>42880</v>
      </c>
      <c r="B434" s="426" t="s">
        <v>3479</v>
      </c>
      <c r="C434" s="426" t="s">
        <v>2849</v>
      </c>
      <c r="D434" s="426" t="s">
        <v>162</v>
      </c>
      <c r="E434" s="435">
        <v>35</v>
      </c>
      <c r="F434" s="426" t="s">
        <v>3468</v>
      </c>
      <c r="G434" s="426" t="s">
        <v>1311</v>
      </c>
    </row>
    <row r="435" spans="1:7" ht="13.5" customHeight="1" x14ac:dyDescent="0.35">
      <c r="A435" s="480">
        <v>42879</v>
      </c>
      <c r="B435" s="426" t="s">
        <v>3184</v>
      </c>
      <c r="C435" s="426" t="s">
        <v>2850</v>
      </c>
      <c r="D435" s="426" t="s">
        <v>159</v>
      </c>
      <c r="E435" s="435">
        <v>100</v>
      </c>
      <c r="F435" s="426" t="s">
        <v>504</v>
      </c>
      <c r="G435" s="426" t="s">
        <v>174</v>
      </c>
    </row>
    <row r="436" spans="1:7" ht="13.5" customHeight="1" x14ac:dyDescent="0.35">
      <c r="A436" s="480">
        <v>42873</v>
      </c>
      <c r="B436" s="426" t="s">
        <v>3429</v>
      </c>
      <c r="C436" s="426" t="s">
        <v>2849</v>
      </c>
      <c r="D436" s="426" t="s">
        <v>160</v>
      </c>
      <c r="E436" s="435">
        <v>265</v>
      </c>
      <c r="F436" s="426" t="s">
        <v>3480</v>
      </c>
      <c r="G436" s="426" t="s">
        <v>175</v>
      </c>
    </row>
    <row r="437" spans="1:7" ht="13.5" customHeight="1" x14ac:dyDescent="0.35">
      <c r="A437" s="480">
        <v>42872</v>
      </c>
      <c r="B437" s="426" t="s">
        <v>3481</v>
      </c>
      <c r="C437" s="426" t="s">
        <v>2849</v>
      </c>
      <c r="D437" s="426" t="s">
        <v>159</v>
      </c>
      <c r="E437" s="435">
        <v>265</v>
      </c>
      <c r="F437" s="426" t="s">
        <v>3480</v>
      </c>
      <c r="G437" s="426" t="s">
        <v>174</v>
      </c>
    </row>
    <row r="438" spans="1:7" ht="13.5" customHeight="1" x14ac:dyDescent="0.35">
      <c r="A438" s="480">
        <v>42871</v>
      </c>
      <c r="B438" s="426" t="s">
        <v>3482</v>
      </c>
      <c r="C438" s="426" t="s">
        <v>2850</v>
      </c>
      <c r="D438" s="426" t="s">
        <v>159</v>
      </c>
      <c r="E438" s="435">
        <v>175</v>
      </c>
      <c r="F438" s="426" t="s">
        <v>3483</v>
      </c>
      <c r="G438" s="426" t="s">
        <v>175</v>
      </c>
    </row>
    <row r="439" spans="1:7" ht="13.5" customHeight="1" x14ac:dyDescent="0.35">
      <c r="A439" s="480">
        <v>42870</v>
      </c>
      <c r="B439" s="426" t="s">
        <v>3484</v>
      </c>
      <c r="C439" s="426" t="s">
        <v>2851</v>
      </c>
      <c r="D439" s="426" t="s">
        <v>162</v>
      </c>
      <c r="E439" s="435">
        <v>175</v>
      </c>
      <c r="F439" s="426" t="s">
        <v>3485</v>
      </c>
      <c r="G439" s="426" t="s">
        <v>175</v>
      </c>
    </row>
    <row r="440" spans="1:7" ht="13.5" customHeight="1" x14ac:dyDescent="0.35">
      <c r="A440" s="480">
        <v>42870</v>
      </c>
      <c r="B440" s="426" t="s">
        <v>3486</v>
      </c>
      <c r="C440" s="426" t="s">
        <v>941</v>
      </c>
      <c r="D440" s="426" t="s">
        <v>164</v>
      </c>
      <c r="E440" s="435">
        <v>100</v>
      </c>
      <c r="F440" s="478" t="s">
        <v>941</v>
      </c>
      <c r="G440" s="426" t="s">
        <v>177</v>
      </c>
    </row>
    <row r="441" spans="1:7" ht="13.5" customHeight="1" x14ac:dyDescent="0.35">
      <c r="A441" s="480">
        <v>42870</v>
      </c>
      <c r="B441" s="426" t="s">
        <v>3487</v>
      </c>
      <c r="C441" s="426" t="s">
        <v>941</v>
      </c>
      <c r="D441" s="426" t="s">
        <v>2297</v>
      </c>
      <c r="E441" s="435">
        <v>195</v>
      </c>
      <c r="F441" s="478" t="s">
        <v>941</v>
      </c>
      <c r="G441" s="426" t="s">
        <v>175</v>
      </c>
    </row>
    <row r="442" spans="1:7" ht="13.5" customHeight="1" x14ac:dyDescent="0.35">
      <c r="A442" s="480">
        <v>42866</v>
      </c>
      <c r="B442" s="426" t="s">
        <v>2817</v>
      </c>
      <c r="C442" s="426" t="s">
        <v>2849</v>
      </c>
      <c r="D442" s="426" t="s">
        <v>2297</v>
      </c>
      <c r="E442" s="435">
        <v>265</v>
      </c>
      <c r="F442" s="426" t="s">
        <v>3480</v>
      </c>
      <c r="G442" s="426" t="s">
        <v>174</v>
      </c>
    </row>
    <row r="443" spans="1:7" ht="13.5" customHeight="1" x14ac:dyDescent="0.35">
      <c r="A443" s="480">
        <v>42865</v>
      </c>
      <c r="B443" s="426" t="s">
        <v>3488</v>
      </c>
      <c r="C443" s="426" t="s">
        <v>2850</v>
      </c>
      <c r="D443" s="426" t="s">
        <v>159</v>
      </c>
      <c r="E443" s="435">
        <v>35</v>
      </c>
      <c r="F443" s="426" t="s">
        <v>3080</v>
      </c>
      <c r="G443" s="426" t="s">
        <v>177</v>
      </c>
    </row>
    <row r="444" spans="1:7" ht="13.5" customHeight="1" x14ac:dyDescent="0.35">
      <c r="A444" s="480">
        <v>42864</v>
      </c>
      <c r="B444" s="426" t="s">
        <v>3489</v>
      </c>
      <c r="C444" s="426" t="s">
        <v>2850</v>
      </c>
      <c r="D444" s="426" t="s">
        <v>159</v>
      </c>
      <c r="E444" s="435">
        <v>20</v>
      </c>
      <c r="F444" s="426" t="s">
        <v>3080</v>
      </c>
      <c r="G444" s="426" t="s">
        <v>177</v>
      </c>
    </row>
    <row r="445" spans="1:7" ht="13.5" customHeight="1" x14ac:dyDescent="0.35">
      <c r="A445" s="480">
        <v>42863</v>
      </c>
      <c r="B445" s="426" t="s">
        <v>3490</v>
      </c>
      <c r="C445" s="426" t="s">
        <v>2853</v>
      </c>
      <c r="D445" s="426" t="s">
        <v>164</v>
      </c>
      <c r="E445" s="435">
        <v>100</v>
      </c>
      <c r="F445" s="426" t="s">
        <v>284</v>
      </c>
      <c r="G445" s="426" t="s">
        <v>175</v>
      </c>
    </row>
    <row r="446" spans="1:7" ht="13.5" customHeight="1" x14ac:dyDescent="0.35">
      <c r="A446" s="480">
        <v>42863</v>
      </c>
      <c r="B446" s="426" t="s">
        <v>3491</v>
      </c>
      <c r="C446" s="426" t="s">
        <v>2849</v>
      </c>
      <c r="D446" s="426" t="s">
        <v>160</v>
      </c>
      <c r="E446" s="435">
        <v>265</v>
      </c>
      <c r="F446" s="426" t="s">
        <v>3492</v>
      </c>
      <c r="G446" s="426" t="s">
        <v>174</v>
      </c>
    </row>
    <row r="447" spans="1:7" ht="13.5" customHeight="1" x14ac:dyDescent="0.35">
      <c r="A447" s="480">
        <v>42863</v>
      </c>
      <c r="B447" s="426" t="s">
        <v>3493</v>
      </c>
      <c r="C447" s="426" t="s">
        <v>2849</v>
      </c>
      <c r="D447" s="426" t="s">
        <v>163</v>
      </c>
      <c r="E447" s="435">
        <v>13</v>
      </c>
      <c r="F447" s="426" t="s">
        <v>1924</v>
      </c>
      <c r="G447" s="426" t="s">
        <v>163</v>
      </c>
    </row>
    <row r="448" spans="1:7" ht="13.5" customHeight="1" x14ac:dyDescent="0.35">
      <c r="A448" s="480">
        <v>42862</v>
      </c>
      <c r="B448" s="426" t="s">
        <v>2345</v>
      </c>
      <c r="C448" s="426" t="s">
        <v>2849</v>
      </c>
      <c r="D448" s="426" t="s">
        <v>159</v>
      </c>
      <c r="E448" s="435">
        <v>265</v>
      </c>
      <c r="F448" s="426" t="s">
        <v>3480</v>
      </c>
      <c r="G448" s="426" t="s">
        <v>174</v>
      </c>
    </row>
    <row r="449" spans="1:7" ht="13.5" customHeight="1" x14ac:dyDescent="0.35">
      <c r="A449" s="480">
        <v>42861</v>
      </c>
      <c r="B449" s="426" t="s">
        <v>1126</v>
      </c>
      <c r="C449" s="426" t="s">
        <v>2850</v>
      </c>
      <c r="D449" s="426" t="s">
        <v>159</v>
      </c>
      <c r="E449" s="435">
        <v>60</v>
      </c>
      <c r="F449" s="426" t="s">
        <v>2464</v>
      </c>
      <c r="G449" s="426" t="s">
        <v>175</v>
      </c>
    </row>
    <row r="450" spans="1:7" ht="13.5" customHeight="1" x14ac:dyDescent="0.35">
      <c r="A450" s="480">
        <v>42861</v>
      </c>
      <c r="B450" s="426" t="s">
        <v>3188</v>
      </c>
      <c r="C450" s="426" t="s">
        <v>2849</v>
      </c>
      <c r="D450" s="426" t="s">
        <v>160</v>
      </c>
      <c r="E450" s="435">
        <v>60</v>
      </c>
      <c r="F450" s="426" t="s">
        <v>1924</v>
      </c>
      <c r="G450" s="426" t="s">
        <v>174</v>
      </c>
    </row>
    <row r="451" spans="1:7" ht="13.5" customHeight="1" x14ac:dyDescent="0.35">
      <c r="A451" s="480">
        <v>42861</v>
      </c>
      <c r="B451" s="426" t="s">
        <v>3494</v>
      </c>
      <c r="C451" s="426" t="s">
        <v>2849</v>
      </c>
      <c r="D451" s="426" t="s">
        <v>163</v>
      </c>
      <c r="E451" s="435">
        <v>13</v>
      </c>
      <c r="F451" s="426" t="s">
        <v>1924</v>
      </c>
      <c r="G451" s="426" t="s">
        <v>163</v>
      </c>
    </row>
    <row r="452" spans="1:7" ht="13.5" customHeight="1" x14ac:dyDescent="0.35">
      <c r="A452" s="480">
        <v>42856</v>
      </c>
      <c r="B452" s="426" t="s">
        <v>3495</v>
      </c>
      <c r="C452" s="426" t="s">
        <v>2852</v>
      </c>
      <c r="D452" s="426" t="s">
        <v>161</v>
      </c>
      <c r="E452" s="435">
        <v>100</v>
      </c>
      <c r="F452" s="426" t="s">
        <v>3496</v>
      </c>
      <c r="G452" s="426" t="s">
        <v>175</v>
      </c>
    </row>
    <row r="453" spans="1:7" ht="13.5" customHeight="1" x14ac:dyDescent="0.35">
      <c r="A453" s="480">
        <v>42856</v>
      </c>
      <c r="B453" s="426" t="s">
        <v>3497</v>
      </c>
      <c r="C453" s="426" t="s">
        <v>2851</v>
      </c>
      <c r="D453" s="426" t="s">
        <v>161</v>
      </c>
      <c r="E453" s="435">
        <v>779.71</v>
      </c>
      <c r="F453" s="426" t="s">
        <v>3485</v>
      </c>
      <c r="G453" s="426" t="s">
        <v>175</v>
      </c>
    </row>
    <row r="454" spans="1:7" x14ac:dyDescent="0.35">
      <c r="E454" s="465"/>
    </row>
    <row r="455" spans="1:7" ht="13.5" customHeight="1" x14ac:dyDescent="0.35">
      <c r="A455" s="480"/>
      <c r="E455" s="465"/>
    </row>
    <row r="456" spans="1:7" ht="13.5" customHeight="1" x14ac:dyDescent="0.35">
      <c r="A456" s="480">
        <v>42855</v>
      </c>
      <c r="B456" s="426" t="s">
        <v>3498</v>
      </c>
      <c r="C456" s="426" t="s">
        <v>2853</v>
      </c>
      <c r="D456" s="426" t="s">
        <v>162</v>
      </c>
      <c r="E456" s="435">
        <v>255.18</v>
      </c>
      <c r="F456" s="426" t="s">
        <v>284</v>
      </c>
      <c r="G456" s="426" t="s">
        <v>3222</v>
      </c>
    </row>
    <row r="457" spans="1:7" ht="13.5" customHeight="1" x14ac:dyDescent="0.35">
      <c r="A457" s="480">
        <v>42855</v>
      </c>
      <c r="B457" s="426" t="s">
        <v>3499</v>
      </c>
      <c r="C457" s="426" t="s">
        <v>2849</v>
      </c>
      <c r="D457" s="426" t="s">
        <v>163</v>
      </c>
      <c r="E457" s="435">
        <v>13</v>
      </c>
      <c r="F457" s="426" t="s">
        <v>1924</v>
      </c>
      <c r="G457" s="426" t="s">
        <v>163</v>
      </c>
    </row>
    <row r="458" spans="1:7" ht="13.5" customHeight="1" x14ac:dyDescent="0.35">
      <c r="A458" s="480">
        <v>42855</v>
      </c>
      <c r="B458" s="426" t="s">
        <v>3420</v>
      </c>
      <c r="C458" s="426" t="s">
        <v>2850</v>
      </c>
      <c r="D458" s="426" t="s">
        <v>159</v>
      </c>
      <c r="E458" s="435">
        <v>72</v>
      </c>
      <c r="F458" s="426" t="s">
        <v>3500</v>
      </c>
      <c r="G458" s="426" t="s">
        <v>177</v>
      </c>
    </row>
    <row r="459" spans="1:7" ht="13.5" customHeight="1" x14ac:dyDescent="0.35">
      <c r="A459" s="480">
        <v>42853</v>
      </c>
      <c r="B459" s="426" t="s">
        <v>3501</v>
      </c>
      <c r="C459" s="426" t="s">
        <v>2852</v>
      </c>
      <c r="D459" s="426" t="s">
        <v>160</v>
      </c>
      <c r="E459" s="435">
        <v>20</v>
      </c>
      <c r="F459" s="426" t="s">
        <v>293</v>
      </c>
      <c r="G459" s="426" t="s">
        <v>174</v>
      </c>
    </row>
    <row r="460" spans="1:7" ht="13.5" customHeight="1" x14ac:dyDescent="0.35">
      <c r="A460" s="480">
        <v>42852</v>
      </c>
      <c r="B460" s="426" t="s">
        <v>3502</v>
      </c>
      <c r="C460" s="426" t="s">
        <v>2849</v>
      </c>
      <c r="D460" s="426" t="s">
        <v>163</v>
      </c>
      <c r="E460" s="435">
        <v>13</v>
      </c>
      <c r="F460" s="426" t="s">
        <v>1924</v>
      </c>
      <c r="G460" s="426" t="s">
        <v>163</v>
      </c>
    </row>
    <row r="461" spans="1:7" ht="13.5" customHeight="1" x14ac:dyDescent="0.35">
      <c r="A461" s="480">
        <v>42849</v>
      </c>
      <c r="B461" s="426" t="s">
        <v>2394</v>
      </c>
      <c r="C461" s="426" t="s">
        <v>2850</v>
      </c>
      <c r="D461" s="426" t="s">
        <v>162</v>
      </c>
      <c r="E461" s="435">
        <v>99</v>
      </c>
      <c r="F461" s="426" t="s">
        <v>230</v>
      </c>
      <c r="G461" s="426" t="s">
        <v>175</v>
      </c>
    </row>
    <row r="462" spans="1:7" ht="13.5" customHeight="1" x14ac:dyDescent="0.35">
      <c r="A462" s="480">
        <v>42849</v>
      </c>
      <c r="B462" s="426" t="s">
        <v>3503</v>
      </c>
      <c r="C462" s="426" t="s">
        <v>2849</v>
      </c>
      <c r="D462" s="426" t="s">
        <v>162</v>
      </c>
      <c r="E462" s="435">
        <v>1020</v>
      </c>
      <c r="F462" s="426" t="s">
        <v>3504</v>
      </c>
      <c r="G462" s="426" t="s">
        <v>174</v>
      </c>
    </row>
    <row r="463" spans="1:7" ht="13.5" customHeight="1" x14ac:dyDescent="0.35">
      <c r="A463" s="480">
        <v>42848</v>
      </c>
      <c r="B463" s="426" t="s">
        <v>3505</v>
      </c>
      <c r="C463" s="426" t="s">
        <v>2849</v>
      </c>
      <c r="D463" s="426" t="s">
        <v>2297</v>
      </c>
      <c r="E463" s="435">
        <v>265</v>
      </c>
      <c r="F463" s="426" t="s">
        <v>3406</v>
      </c>
      <c r="G463" s="426" t="s">
        <v>174</v>
      </c>
    </row>
    <row r="464" spans="1:7" ht="13.5" customHeight="1" x14ac:dyDescent="0.35">
      <c r="A464" s="480">
        <v>42845</v>
      </c>
      <c r="B464" s="426" t="s">
        <v>1681</v>
      </c>
      <c r="C464" s="426" t="s">
        <v>2850</v>
      </c>
      <c r="D464" s="426" t="s">
        <v>162</v>
      </c>
      <c r="E464" s="435">
        <v>250</v>
      </c>
      <c r="F464" s="426" t="s">
        <v>3506</v>
      </c>
      <c r="G464" s="426" t="s">
        <v>1311</v>
      </c>
    </row>
    <row r="465" spans="1:7" ht="13.5" customHeight="1" x14ac:dyDescent="0.35">
      <c r="A465" s="480">
        <v>42845</v>
      </c>
      <c r="B465" s="426" t="s">
        <v>3507</v>
      </c>
      <c r="C465" s="426" t="s">
        <v>2849</v>
      </c>
      <c r="D465" s="426" t="s">
        <v>162</v>
      </c>
      <c r="E465" s="435">
        <v>441</v>
      </c>
      <c r="F465" s="426" t="s">
        <v>3508</v>
      </c>
      <c r="G465" s="426" t="s">
        <v>175</v>
      </c>
    </row>
    <row r="466" spans="1:7" ht="13.5" customHeight="1" x14ac:dyDescent="0.35">
      <c r="A466" s="480">
        <v>42845</v>
      </c>
      <c r="B466" s="426" t="s">
        <v>3509</v>
      </c>
      <c r="C466" s="426" t="s">
        <v>2850</v>
      </c>
      <c r="D466" s="426" t="s">
        <v>2297</v>
      </c>
      <c r="E466" s="435">
        <v>99</v>
      </c>
      <c r="F466" s="426" t="s">
        <v>230</v>
      </c>
      <c r="G466" s="426" t="s">
        <v>174</v>
      </c>
    </row>
    <row r="467" spans="1:7" ht="13.5" customHeight="1" x14ac:dyDescent="0.35">
      <c r="A467" s="480">
        <v>42845</v>
      </c>
      <c r="B467" s="426" t="s">
        <v>3510</v>
      </c>
      <c r="C467" s="426" t="s">
        <v>2849</v>
      </c>
      <c r="D467" s="426" t="s">
        <v>163</v>
      </c>
      <c r="E467" s="435">
        <v>13</v>
      </c>
      <c r="F467" s="426" t="s">
        <v>1924</v>
      </c>
      <c r="G467" s="426" t="s">
        <v>163</v>
      </c>
    </row>
    <row r="468" spans="1:7" ht="13.5" customHeight="1" x14ac:dyDescent="0.35">
      <c r="A468" s="480">
        <v>42844</v>
      </c>
      <c r="B468" s="426" t="s">
        <v>2095</v>
      </c>
      <c r="C468" s="426" t="s">
        <v>2853</v>
      </c>
      <c r="D468" s="426" t="s">
        <v>162</v>
      </c>
      <c r="E468" s="435">
        <v>30</v>
      </c>
      <c r="F468" s="426" t="s">
        <v>2980</v>
      </c>
      <c r="G468" s="426" t="s">
        <v>175</v>
      </c>
    </row>
    <row r="469" spans="1:7" ht="13.5" customHeight="1" x14ac:dyDescent="0.35">
      <c r="A469" s="480">
        <v>42844</v>
      </c>
      <c r="B469" s="426" t="s">
        <v>967</v>
      </c>
      <c r="C469" s="426" t="s">
        <v>2850</v>
      </c>
      <c r="D469" s="426" t="s">
        <v>159</v>
      </c>
      <c r="E469" s="435">
        <v>99</v>
      </c>
      <c r="F469" s="426" t="s">
        <v>230</v>
      </c>
      <c r="G469" s="426" t="s">
        <v>174</v>
      </c>
    </row>
    <row r="470" spans="1:7" ht="13.5" customHeight="1" x14ac:dyDescent="0.35">
      <c r="A470" s="480">
        <v>42842</v>
      </c>
      <c r="B470" s="426" t="s">
        <v>3511</v>
      </c>
      <c r="C470" s="426" t="s">
        <v>2849</v>
      </c>
      <c r="D470" s="426" t="s">
        <v>163</v>
      </c>
      <c r="E470" s="435">
        <v>12</v>
      </c>
      <c r="F470" s="426" t="s">
        <v>1924</v>
      </c>
      <c r="G470" s="426" t="s">
        <v>163</v>
      </c>
    </row>
    <row r="471" spans="1:7" ht="13.5" customHeight="1" x14ac:dyDescent="0.35">
      <c r="A471" s="480">
        <v>42842</v>
      </c>
      <c r="B471" s="426" t="s">
        <v>3512</v>
      </c>
      <c r="C471" s="426" t="s">
        <v>2850</v>
      </c>
      <c r="D471" s="426" t="s">
        <v>160</v>
      </c>
      <c r="E471" s="435">
        <v>99</v>
      </c>
      <c r="F471" s="426" t="s">
        <v>230</v>
      </c>
      <c r="G471" s="426" t="s">
        <v>174</v>
      </c>
    </row>
    <row r="472" spans="1:7" ht="13.5" customHeight="1" x14ac:dyDescent="0.35">
      <c r="A472" s="480">
        <v>42842</v>
      </c>
      <c r="B472" s="426" t="s">
        <v>3513</v>
      </c>
      <c r="C472" s="426" t="s">
        <v>2850</v>
      </c>
      <c r="D472" s="426" t="s">
        <v>159</v>
      </c>
      <c r="E472" s="435">
        <v>60</v>
      </c>
      <c r="F472" s="426" t="s">
        <v>3514</v>
      </c>
      <c r="G472" s="426" t="s">
        <v>175</v>
      </c>
    </row>
    <row r="473" spans="1:7" ht="13.5" customHeight="1" x14ac:dyDescent="0.35">
      <c r="A473" s="480">
        <v>42842</v>
      </c>
      <c r="B473" s="426" t="s">
        <v>3515</v>
      </c>
      <c r="C473" s="426" t="s">
        <v>2849</v>
      </c>
      <c r="D473" s="426" t="s">
        <v>159</v>
      </c>
      <c r="E473" s="435">
        <v>265</v>
      </c>
      <c r="F473" s="426" t="s">
        <v>3406</v>
      </c>
      <c r="G473" s="426" t="s">
        <v>174</v>
      </c>
    </row>
    <row r="474" spans="1:7" ht="13.5" customHeight="1" x14ac:dyDescent="0.35">
      <c r="A474" s="480">
        <v>42839</v>
      </c>
      <c r="B474" s="426" t="s">
        <v>3516</v>
      </c>
      <c r="C474" s="426" t="s">
        <v>2850</v>
      </c>
      <c r="D474" s="426" t="s">
        <v>159</v>
      </c>
      <c r="E474" s="435">
        <v>99</v>
      </c>
      <c r="F474" s="426" t="s">
        <v>230</v>
      </c>
      <c r="G474" s="426" t="s">
        <v>174</v>
      </c>
    </row>
    <row r="475" spans="1:7" ht="13.5" customHeight="1" x14ac:dyDescent="0.35">
      <c r="A475" s="480">
        <v>42836</v>
      </c>
      <c r="B475" s="426" t="s">
        <v>3487</v>
      </c>
      <c r="C475" s="426" t="s">
        <v>2850</v>
      </c>
      <c r="D475" s="426" t="s">
        <v>159</v>
      </c>
      <c r="E475" s="435">
        <v>99</v>
      </c>
      <c r="F475" s="426" t="s">
        <v>230</v>
      </c>
      <c r="G475" s="426" t="s">
        <v>174</v>
      </c>
    </row>
    <row r="476" spans="1:7" ht="13.5" customHeight="1" x14ac:dyDescent="0.35">
      <c r="A476" s="480">
        <v>42835</v>
      </c>
      <c r="B476" s="426" t="s">
        <v>3490</v>
      </c>
      <c r="C476" s="426" t="s">
        <v>2850</v>
      </c>
      <c r="D476" s="426" t="s">
        <v>159</v>
      </c>
      <c r="E476" s="435">
        <v>99</v>
      </c>
      <c r="F476" s="426" t="s">
        <v>230</v>
      </c>
      <c r="G476" s="426" t="s">
        <v>175</v>
      </c>
    </row>
    <row r="477" spans="1:7" ht="13.5" customHeight="1" x14ac:dyDescent="0.35">
      <c r="A477" s="480">
        <v>42834</v>
      </c>
      <c r="B477" s="426" t="s">
        <v>3517</v>
      </c>
      <c r="C477" s="426" t="s">
        <v>2850</v>
      </c>
      <c r="D477" s="426" t="s">
        <v>160</v>
      </c>
      <c r="E477" s="435">
        <v>30</v>
      </c>
      <c r="F477" s="426" t="s">
        <v>3080</v>
      </c>
      <c r="G477" s="426" t="s">
        <v>177</v>
      </c>
    </row>
    <row r="478" spans="1:7" ht="13.5" customHeight="1" x14ac:dyDescent="0.35">
      <c r="A478" s="480">
        <v>42834</v>
      </c>
      <c r="B478" s="426" t="s">
        <v>3518</v>
      </c>
      <c r="C478" s="426" t="s">
        <v>2850</v>
      </c>
      <c r="D478" s="426" t="s">
        <v>159</v>
      </c>
      <c r="E478" s="435">
        <v>22.4</v>
      </c>
      <c r="F478" s="426" t="s">
        <v>3519</v>
      </c>
      <c r="G478" s="426" t="s">
        <v>177</v>
      </c>
    </row>
    <row r="479" spans="1:7" ht="13.5" customHeight="1" x14ac:dyDescent="0.35">
      <c r="A479" s="480">
        <v>42834</v>
      </c>
      <c r="B479" s="426" t="s">
        <v>3520</v>
      </c>
      <c r="C479" s="426" t="s">
        <v>2850</v>
      </c>
      <c r="D479" s="426" t="s">
        <v>160</v>
      </c>
      <c r="E479" s="435">
        <v>99</v>
      </c>
      <c r="F479" s="426" t="s">
        <v>230</v>
      </c>
      <c r="G479" s="426" t="s">
        <v>175</v>
      </c>
    </row>
    <row r="480" spans="1:7" ht="13.5" customHeight="1" x14ac:dyDescent="0.35">
      <c r="A480" s="480">
        <v>42834</v>
      </c>
      <c r="B480" s="426" t="s">
        <v>3521</v>
      </c>
      <c r="C480" s="426" t="s">
        <v>2850</v>
      </c>
      <c r="D480" s="426" t="s">
        <v>159</v>
      </c>
      <c r="E480" s="435">
        <v>99</v>
      </c>
      <c r="F480" s="426" t="s">
        <v>230</v>
      </c>
      <c r="G480" s="426" t="s">
        <v>174</v>
      </c>
    </row>
    <row r="481" spans="1:7" ht="13.5" customHeight="1" x14ac:dyDescent="0.35">
      <c r="A481" s="480">
        <v>42832</v>
      </c>
      <c r="B481" s="426" t="s">
        <v>3522</v>
      </c>
      <c r="C481" s="426" t="s">
        <v>2850</v>
      </c>
      <c r="D481" s="426" t="s">
        <v>159</v>
      </c>
      <c r="E481" s="435">
        <v>675</v>
      </c>
      <c r="F481" s="426" t="s">
        <v>504</v>
      </c>
      <c r="G481" s="426" t="s">
        <v>175</v>
      </c>
    </row>
    <row r="482" spans="1:7" ht="13.5" customHeight="1" x14ac:dyDescent="0.35">
      <c r="A482" s="480">
        <v>42832</v>
      </c>
      <c r="B482" s="426" t="s">
        <v>3523</v>
      </c>
      <c r="C482" s="426" t="s">
        <v>2849</v>
      </c>
      <c r="D482" s="426" t="s">
        <v>162</v>
      </c>
      <c r="E482" s="435">
        <v>65</v>
      </c>
      <c r="F482" s="426" t="s">
        <v>3406</v>
      </c>
      <c r="G482" s="426" t="s">
        <v>1311</v>
      </c>
    </row>
    <row r="483" spans="1:7" ht="13.5" customHeight="1" x14ac:dyDescent="0.35">
      <c r="A483" s="480">
        <v>42831</v>
      </c>
      <c r="B483" s="426" t="s">
        <v>3418</v>
      </c>
      <c r="C483" s="426" t="s">
        <v>2850</v>
      </c>
      <c r="D483" s="426" t="s">
        <v>159</v>
      </c>
      <c r="E483" s="435">
        <v>50</v>
      </c>
      <c r="F483" s="426" t="s">
        <v>504</v>
      </c>
      <c r="G483" s="426" t="s">
        <v>175</v>
      </c>
    </row>
    <row r="484" spans="1:7" ht="13.5" customHeight="1" x14ac:dyDescent="0.35">
      <c r="A484" s="480">
        <v>42831</v>
      </c>
      <c r="B484" s="426" t="s">
        <v>3461</v>
      </c>
      <c r="C484" s="426" t="s">
        <v>2849</v>
      </c>
      <c r="D484" s="426" t="s">
        <v>159</v>
      </c>
      <c r="E484" s="435">
        <v>265</v>
      </c>
      <c r="F484" s="426" t="s">
        <v>3406</v>
      </c>
      <c r="G484" s="426" t="s">
        <v>1311</v>
      </c>
    </row>
    <row r="485" spans="1:7" ht="13.5" customHeight="1" x14ac:dyDescent="0.35">
      <c r="A485" s="480">
        <v>42831</v>
      </c>
      <c r="B485" s="426" t="s">
        <v>3135</v>
      </c>
      <c r="C485" s="426" t="s">
        <v>2851</v>
      </c>
      <c r="D485" s="426" t="s">
        <v>162</v>
      </c>
      <c r="E485" s="435">
        <v>47.48</v>
      </c>
      <c r="F485" s="426" t="s">
        <v>3485</v>
      </c>
      <c r="G485" s="426" t="s">
        <v>175</v>
      </c>
    </row>
    <row r="486" spans="1:7" ht="13.5" customHeight="1" x14ac:dyDescent="0.35">
      <c r="A486" s="480">
        <v>42829</v>
      </c>
      <c r="B486" s="426" t="s">
        <v>2394</v>
      </c>
      <c r="C486" s="426" t="s">
        <v>2849</v>
      </c>
      <c r="D486" s="426" t="s">
        <v>162</v>
      </c>
      <c r="E486" s="435">
        <v>475</v>
      </c>
      <c r="F486" s="426" t="s">
        <v>1853</v>
      </c>
      <c r="G486" s="426" t="s">
        <v>175</v>
      </c>
    </row>
    <row r="487" spans="1:7" ht="13.5" customHeight="1" x14ac:dyDescent="0.35">
      <c r="A487" s="480">
        <v>42828</v>
      </c>
      <c r="B487" s="426" t="s">
        <v>3524</v>
      </c>
      <c r="C487" s="426" t="s">
        <v>2849</v>
      </c>
      <c r="D487" s="426" t="s">
        <v>159</v>
      </c>
      <c r="E487" s="435">
        <v>235</v>
      </c>
      <c r="F487" s="426" t="s">
        <v>3468</v>
      </c>
      <c r="G487" s="426" t="s">
        <v>174</v>
      </c>
    </row>
    <row r="488" spans="1:7" ht="13.5" customHeight="1" x14ac:dyDescent="0.35">
      <c r="A488" s="480">
        <v>42827</v>
      </c>
      <c r="B488" s="426" t="s">
        <v>3443</v>
      </c>
      <c r="C488" s="426" t="s">
        <v>2849</v>
      </c>
      <c r="D488" s="426" t="s">
        <v>159</v>
      </c>
      <c r="E488" s="435">
        <v>30</v>
      </c>
      <c r="F488" s="426" t="s">
        <v>1924</v>
      </c>
      <c r="G488" s="426" t="s">
        <v>174</v>
      </c>
    </row>
    <row r="489" spans="1:7" ht="13.5" customHeight="1" x14ac:dyDescent="0.35">
      <c r="A489" s="480">
        <v>42826</v>
      </c>
      <c r="B489" s="426" t="s">
        <v>3495</v>
      </c>
      <c r="C489" s="426" t="s">
        <v>2852</v>
      </c>
      <c r="D489" s="426" t="s">
        <v>161</v>
      </c>
      <c r="E489" s="435">
        <v>80</v>
      </c>
      <c r="F489" s="426" t="s">
        <v>3496</v>
      </c>
      <c r="G489" s="426" t="s">
        <v>175</v>
      </c>
    </row>
    <row r="490" spans="1:7" ht="13.5" customHeight="1" x14ac:dyDescent="0.35">
      <c r="A490" s="480">
        <v>42826</v>
      </c>
      <c r="B490" s="426" t="s">
        <v>3497</v>
      </c>
      <c r="C490" s="426" t="s">
        <v>2851</v>
      </c>
      <c r="D490" s="426" t="s">
        <v>161</v>
      </c>
      <c r="E490" s="435">
        <v>468.11</v>
      </c>
      <c r="F490" s="426" t="s">
        <v>3485</v>
      </c>
      <c r="G490" s="426" t="s">
        <v>175</v>
      </c>
    </row>
    <row r="491" spans="1:7" ht="13.5" customHeight="1" x14ac:dyDescent="0.35">
      <c r="A491" s="480"/>
    </row>
    <row r="492" spans="1:7" ht="13.5" customHeight="1" x14ac:dyDescent="0.35">
      <c r="A492" s="480"/>
    </row>
    <row r="493" spans="1:7" ht="13.5" customHeight="1" x14ac:dyDescent="0.35">
      <c r="A493" s="480">
        <v>42824</v>
      </c>
      <c r="B493" s="426" t="s">
        <v>3471</v>
      </c>
      <c r="C493" s="426" t="s">
        <v>2849</v>
      </c>
      <c r="D493" s="426" t="s">
        <v>162</v>
      </c>
      <c r="E493" s="435">
        <v>190</v>
      </c>
      <c r="F493" s="426" t="s">
        <v>3468</v>
      </c>
      <c r="G493" s="426" t="s">
        <v>175</v>
      </c>
    </row>
    <row r="494" spans="1:7" ht="13.5" customHeight="1" x14ac:dyDescent="0.35">
      <c r="A494" s="480">
        <v>42824</v>
      </c>
      <c r="B494" s="426" t="s">
        <v>3525</v>
      </c>
      <c r="C494" s="426" t="s">
        <v>2850</v>
      </c>
      <c r="D494" s="426" t="s">
        <v>159</v>
      </c>
      <c r="E494" s="435">
        <v>59</v>
      </c>
      <c r="F494" s="426" t="s">
        <v>3152</v>
      </c>
      <c r="G494" s="426" t="s">
        <v>177</v>
      </c>
    </row>
    <row r="495" spans="1:7" ht="13.5" customHeight="1" x14ac:dyDescent="0.35">
      <c r="A495" s="480">
        <v>42824</v>
      </c>
      <c r="B495" s="426" t="s">
        <v>3526</v>
      </c>
      <c r="C495" s="426" t="s">
        <v>2850</v>
      </c>
      <c r="D495" s="426" t="s">
        <v>159</v>
      </c>
      <c r="E495" s="435">
        <v>59</v>
      </c>
      <c r="F495" s="426" t="s">
        <v>3152</v>
      </c>
      <c r="G495" s="426" t="s">
        <v>177</v>
      </c>
    </row>
    <row r="496" spans="1:7" ht="13.5" customHeight="1" x14ac:dyDescent="0.35">
      <c r="A496" s="480">
        <v>42824</v>
      </c>
      <c r="B496" s="426" t="s">
        <v>2613</v>
      </c>
      <c r="C496" s="426" t="s">
        <v>2851</v>
      </c>
      <c r="D496" s="426" t="s">
        <v>162</v>
      </c>
      <c r="E496" s="435">
        <v>50</v>
      </c>
      <c r="F496" s="426" t="s">
        <v>3527</v>
      </c>
      <c r="G496" s="426" t="s">
        <v>175</v>
      </c>
    </row>
    <row r="497" spans="1:7" ht="13.5" customHeight="1" x14ac:dyDescent="0.35">
      <c r="A497" s="480">
        <v>42824</v>
      </c>
      <c r="B497" s="426" t="s">
        <v>3528</v>
      </c>
      <c r="C497" s="426" t="s">
        <v>2849</v>
      </c>
      <c r="D497" s="426" t="s">
        <v>162</v>
      </c>
      <c r="E497" s="435">
        <v>190</v>
      </c>
      <c r="F497" s="426" t="s">
        <v>3468</v>
      </c>
      <c r="G497" s="426" t="s">
        <v>174</v>
      </c>
    </row>
    <row r="498" spans="1:7" ht="13.5" customHeight="1" x14ac:dyDescent="0.35">
      <c r="A498" s="480">
        <v>42822</v>
      </c>
      <c r="B498" s="426" t="s">
        <v>3471</v>
      </c>
      <c r="C498" s="426" t="s">
        <v>2849</v>
      </c>
      <c r="D498" s="426" t="s">
        <v>3529</v>
      </c>
      <c r="E498" s="435">
        <v>10</v>
      </c>
      <c r="F498" s="426" t="s">
        <v>3468</v>
      </c>
      <c r="G498" s="426" t="s">
        <v>174</v>
      </c>
    </row>
    <row r="499" spans="1:7" ht="13.5" customHeight="1" x14ac:dyDescent="0.35">
      <c r="A499" s="480">
        <v>42822</v>
      </c>
      <c r="B499" s="426" t="s">
        <v>3528</v>
      </c>
      <c r="C499" s="426" t="s">
        <v>2849</v>
      </c>
      <c r="D499" s="426" t="s">
        <v>3529</v>
      </c>
      <c r="E499" s="435">
        <v>10</v>
      </c>
      <c r="F499" s="426" t="s">
        <v>3468</v>
      </c>
      <c r="G499" s="426" t="s">
        <v>174</v>
      </c>
    </row>
    <row r="500" spans="1:7" ht="13.5" customHeight="1" x14ac:dyDescent="0.35">
      <c r="A500" s="480">
        <v>42822</v>
      </c>
      <c r="B500" s="426" t="s">
        <v>3530</v>
      </c>
      <c r="C500" s="426" t="s">
        <v>941</v>
      </c>
      <c r="D500" s="426" t="s">
        <v>160</v>
      </c>
      <c r="E500" s="435">
        <v>195</v>
      </c>
      <c r="F500" s="426" t="s">
        <v>3531</v>
      </c>
      <c r="G500" s="426" t="s">
        <v>174</v>
      </c>
    </row>
    <row r="501" spans="1:7" ht="13.5" customHeight="1" x14ac:dyDescent="0.35">
      <c r="A501" s="480">
        <v>42821</v>
      </c>
      <c r="B501" s="426" t="s">
        <v>3532</v>
      </c>
      <c r="C501" s="426" t="s">
        <v>2853</v>
      </c>
      <c r="D501" s="426" t="s">
        <v>3529</v>
      </c>
      <c r="E501" s="435">
        <v>30</v>
      </c>
      <c r="F501" s="426" t="s">
        <v>2980</v>
      </c>
      <c r="G501" s="426" t="s">
        <v>175</v>
      </c>
    </row>
    <row r="502" spans="1:7" ht="13.5" customHeight="1" x14ac:dyDescent="0.35">
      <c r="A502" s="480">
        <v>42821</v>
      </c>
      <c r="B502" s="426" t="s">
        <v>3434</v>
      </c>
      <c r="C502" s="426" t="s">
        <v>2853</v>
      </c>
      <c r="D502" s="426" t="s">
        <v>160</v>
      </c>
      <c r="E502" s="435">
        <v>30</v>
      </c>
      <c r="F502" s="426" t="s">
        <v>2980</v>
      </c>
      <c r="G502" s="426" t="s">
        <v>175</v>
      </c>
    </row>
    <row r="503" spans="1:7" ht="13.5" customHeight="1" x14ac:dyDescent="0.35">
      <c r="A503" s="480">
        <v>42820</v>
      </c>
      <c r="B503" s="426" t="s">
        <v>3533</v>
      </c>
      <c r="C503" s="426" t="s">
        <v>2850</v>
      </c>
      <c r="D503" s="426" t="s">
        <v>3529</v>
      </c>
      <c r="E503" s="435">
        <v>99</v>
      </c>
      <c r="F503" s="426" t="s">
        <v>2004</v>
      </c>
      <c r="G503" s="426" t="s">
        <v>174</v>
      </c>
    </row>
    <row r="504" spans="1:7" ht="13.5" customHeight="1" x14ac:dyDescent="0.35">
      <c r="A504" s="480">
        <v>42817</v>
      </c>
      <c r="B504" s="426" t="s">
        <v>3228</v>
      </c>
      <c r="C504" s="426" t="s">
        <v>2850</v>
      </c>
      <c r="D504" s="426" t="s">
        <v>162</v>
      </c>
      <c r="E504" s="435">
        <v>578.38</v>
      </c>
      <c r="F504" s="426" t="s">
        <v>1375</v>
      </c>
      <c r="G504" s="426" t="s">
        <v>175</v>
      </c>
    </row>
    <row r="505" spans="1:7" ht="13.5" customHeight="1" x14ac:dyDescent="0.35">
      <c r="A505" s="480">
        <v>42817</v>
      </c>
      <c r="B505" s="426" t="s">
        <v>3434</v>
      </c>
      <c r="C505" s="426" t="s">
        <v>2851</v>
      </c>
      <c r="D505" s="426" t="s">
        <v>162</v>
      </c>
      <c r="E505" s="435">
        <v>43.8</v>
      </c>
      <c r="F505" s="426" t="s">
        <v>3527</v>
      </c>
      <c r="G505" s="426" t="s">
        <v>175</v>
      </c>
    </row>
    <row r="506" spans="1:7" ht="13.5" customHeight="1" x14ac:dyDescent="0.35">
      <c r="A506" s="480">
        <v>42817</v>
      </c>
      <c r="B506" s="426" t="s">
        <v>3534</v>
      </c>
      <c r="C506" s="426" t="s">
        <v>941</v>
      </c>
      <c r="D506" s="426" t="s">
        <v>2297</v>
      </c>
      <c r="E506" s="435">
        <v>195</v>
      </c>
      <c r="F506" s="426" t="s">
        <v>3535</v>
      </c>
      <c r="G506" s="426" t="s">
        <v>174</v>
      </c>
    </row>
    <row r="507" spans="1:7" ht="13.5" customHeight="1" x14ac:dyDescent="0.35">
      <c r="A507" s="480">
        <v>42815</v>
      </c>
      <c r="B507" s="426" t="s">
        <v>3536</v>
      </c>
      <c r="C507" s="426" t="s">
        <v>2849</v>
      </c>
      <c r="D507" s="426" t="s">
        <v>3529</v>
      </c>
      <c r="E507" s="435">
        <v>30</v>
      </c>
      <c r="F507" s="426" t="s">
        <v>1924</v>
      </c>
      <c r="G507" s="426" t="s">
        <v>174</v>
      </c>
    </row>
    <row r="508" spans="1:7" ht="13.5" customHeight="1" x14ac:dyDescent="0.35">
      <c r="A508" s="480">
        <v>42814</v>
      </c>
      <c r="B508" s="426" t="s">
        <v>2817</v>
      </c>
      <c r="C508" s="426" t="s">
        <v>2850</v>
      </c>
      <c r="D508" s="426" t="s">
        <v>3529</v>
      </c>
      <c r="E508" s="435">
        <v>60</v>
      </c>
      <c r="F508" s="426" t="s">
        <v>1375</v>
      </c>
      <c r="G508" s="426" t="s">
        <v>175</v>
      </c>
    </row>
    <row r="509" spans="1:7" ht="13.5" customHeight="1" x14ac:dyDescent="0.35">
      <c r="A509" s="480">
        <v>42814</v>
      </c>
      <c r="B509" s="426" t="s">
        <v>3534</v>
      </c>
      <c r="C509" s="426" t="s">
        <v>2849</v>
      </c>
      <c r="D509" s="426" t="s">
        <v>2297</v>
      </c>
      <c r="E509" s="435">
        <v>745</v>
      </c>
      <c r="F509" s="426" t="s">
        <v>3537</v>
      </c>
      <c r="G509" s="426" t="s">
        <v>174</v>
      </c>
    </row>
    <row r="510" spans="1:7" ht="13.5" customHeight="1" x14ac:dyDescent="0.35">
      <c r="A510" s="480">
        <v>42813</v>
      </c>
      <c r="B510" s="426" t="s">
        <v>3452</v>
      </c>
      <c r="C510" s="426" t="s">
        <v>2849</v>
      </c>
      <c r="D510" s="426" t="s">
        <v>160</v>
      </c>
      <c r="E510" s="435">
        <v>215</v>
      </c>
      <c r="F510" s="426" t="s">
        <v>3538</v>
      </c>
      <c r="G510" s="426" t="s">
        <v>175</v>
      </c>
    </row>
    <row r="511" spans="1:7" ht="13.5" customHeight="1" x14ac:dyDescent="0.35">
      <c r="A511" s="480">
        <v>42812</v>
      </c>
      <c r="B511" s="426" t="s">
        <v>2803</v>
      </c>
      <c r="C511" s="426" t="s">
        <v>2850</v>
      </c>
      <c r="D511" s="426" t="s">
        <v>3529</v>
      </c>
      <c r="E511" s="435">
        <v>60</v>
      </c>
      <c r="F511" s="426" t="s">
        <v>3539</v>
      </c>
      <c r="G511" s="426" t="s">
        <v>175</v>
      </c>
    </row>
    <row r="512" spans="1:7" ht="13.5" customHeight="1" x14ac:dyDescent="0.35">
      <c r="A512" s="480">
        <v>42812</v>
      </c>
      <c r="B512" s="426" t="s">
        <v>3540</v>
      </c>
      <c r="C512" s="426" t="s">
        <v>2853</v>
      </c>
      <c r="D512" s="426" t="s">
        <v>3529</v>
      </c>
      <c r="E512" s="435">
        <v>139</v>
      </c>
      <c r="F512" s="426" t="s">
        <v>209</v>
      </c>
      <c r="G512" s="426" t="s">
        <v>174</v>
      </c>
    </row>
    <row r="513" spans="1:7" ht="13.5" customHeight="1" x14ac:dyDescent="0.35">
      <c r="A513" s="480">
        <v>42812</v>
      </c>
      <c r="B513" s="426" t="s">
        <v>3452</v>
      </c>
      <c r="C513" s="426" t="s">
        <v>2849</v>
      </c>
      <c r="D513" s="426" t="s">
        <v>160</v>
      </c>
      <c r="E513" s="435">
        <v>100</v>
      </c>
      <c r="F513" s="426" t="s">
        <v>3538</v>
      </c>
      <c r="G513" s="426" t="s">
        <v>175</v>
      </c>
    </row>
    <row r="514" spans="1:7" ht="13.5" customHeight="1" x14ac:dyDescent="0.35">
      <c r="A514" s="480">
        <v>42811</v>
      </c>
      <c r="B514" s="426" t="s">
        <v>3528</v>
      </c>
      <c r="C514" s="426" t="s">
        <v>2849</v>
      </c>
      <c r="D514" s="426" t="s">
        <v>163</v>
      </c>
      <c r="E514" s="435">
        <v>12.97</v>
      </c>
      <c r="F514" s="426" t="s">
        <v>1924</v>
      </c>
      <c r="G514" s="426" t="s">
        <v>163</v>
      </c>
    </row>
    <row r="515" spans="1:7" ht="13.5" customHeight="1" x14ac:dyDescent="0.35">
      <c r="A515" s="480">
        <v>42810</v>
      </c>
      <c r="B515" s="426" t="s">
        <v>2205</v>
      </c>
      <c r="C515" s="426" t="s">
        <v>2853</v>
      </c>
      <c r="D515" s="426" t="s">
        <v>3529</v>
      </c>
      <c r="E515" s="435">
        <v>30</v>
      </c>
      <c r="F515" s="426" t="s">
        <v>3541</v>
      </c>
      <c r="G515" s="426" t="s">
        <v>175</v>
      </c>
    </row>
    <row r="516" spans="1:7" ht="13.5" customHeight="1" x14ac:dyDescent="0.35">
      <c r="A516" s="480">
        <v>42810</v>
      </c>
      <c r="B516" s="426" t="s">
        <v>3418</v>
      </c>
      <c r="C516" s="426" t="s">
        <v>941</v>
      </c>
      <c r="D516" s="426" t="s">
        <v>2297</v>
      </c>
      <c r="E516" s="435">
        <v>195</v>
      </c>
      <c r="F516" s="426" t="s">
        <v>3542</v>
      </c>
      <c r="G516" s="426" t="s">
        <v>174</v>
      </c>
    </row>
    <row r="517" spans="1:7" ht="13.5" customHeight="1" x14ac:dyDescent="0.35">
      <c r="A517" s="480">
        <v>42810</v>
      </c>
      <c r="B517" s="426" t="s">
        <v>3543</v>
      </c>
      <c r="C517" s="426" t="s">
        <v>2849</v>
      </c>
      <c r="D517" s="426" t="s">
        <v>163</v>
      </c>
      <c r="E517" s="435">
        <v>12.97</v>
      </c>
      <c r="F517" s="426" t="s">
        <v>1924</v>
      </c>
      <c r="G517" s="426" t="s">
        <v>163</v>
      </c>
    </row>
    <row r="518" spans="1:7" ht="13.5" customHeight="1" x14ac:dyDescent="0.35">
      <c r="A518" s="480">
        <v>42809</v>
      </c>
      <c r="B518" s="426" t="s">
        <v>2941</v>
      </c>
      <c r="C518" s="426" t="s">
        <v>2850</v>
      </c>
      <c r="D518" s="426" t="s">
        <v>3529</v>
      </c>
      <c r="E518" s="435">
        <v>99</v>
      </c>
      <c r="F518" s="426" t="s">
        <v>2004</v>
      </c>
      <c r="G518" s="426" t="s">
        <v>175</v>
      </c>
    </row>
    <row r="519" spans="1:7" ht="13.5" customHeight="1" x14ac:dyDescent="0.35">
      <c r="A519" s="480">
        <v>42809</v>
      </c>
      <c r="B519" s="426" t="s">
        <v>3002</v>
      </c>
      <c r="C519" s="426" t="s">
        <v>2850</v>
      </c>
      <c r="D519" s="426" t="s">
        <v>162</v>
      </c>
      <c r="E519" s="435">
        <v>400</v>
      </c>
      <c r="F519" s="426" t="s">
        <v>3506</v>
      </c>
      <c r="G519" s="426" t="s">
        <v>175</v>
      </c>
    </row>
    <row r="520" spans="1:7" ht="13.5" customHeight="1" x14ac:dyDescent="0.35">
      <c r="A520" s="480">
        <v>42809</v>
      </c>
      <c r="B520" s="426" t="s">
        <v>3544</v>
      </c>
      <c r="C520" s="426" t="s">
        <v>2853</v>
      </c>
      <c r="D520" s="426" t="s">
        <v>162</v>
      </c>
      <c r="E520" s="435">
        <v>253.24</v>
      </c>
      <c r="F520" s="426" t="s">
        <v>3545</v>
      </c>
      <c r="G520" s="426" t="s">
        <v>181</v>
      </c>
    </row>
    <row r="521" spans="1:7" ht="13.5" customHeight="1" x14ac:dyDescent="0.35">
      <c r="A521" s="480">
        <v>42809</v>
      </c>
      <c r="B521" s="426" t="s">
        <v>3312</v>
      </c>
      <c r="C521" s="426" t="s">
        <v>2850</v>
      </c>
      <c r="D521" s="426" t="s">
        <v>160</v>
      </c>
      <c r="E521" s="435">
        <v>99</v>
      </c>
      <c r="F521" s="426" t="s">
        <v>2004</v>
      </c>
      <c r="G521" s="426" t="s">
        <v>175</v>
      </c>
    </row>
    <row r="522" spans="1:7" ht="13.5" customHeight="1" x14ac:dyDescent="0.35">
      <c r="A522" s="480">
        <v>42809</v>
      </c>
      <c r="B522" s="426" t="s">
        <v>3546</v>
      </c>
      <c r="C522" s="426" t="s">
        <v>2850</v>
      </c>
      <c r="D522" s="426" t="s">
        <v>3529</v>
      </c>
      <c r="E522" s="435">
        <v>59</v>
      </c>
      <c r="F522" s="426" t="s">
        <v>3152</v>
      </c>
      <c r="G522" s="426" t="s">
        <v>177</v>
      </c>
    </row>
    <row r="523" spans="1:7" ht="13.5" customHeight="1" x14ac:dyDescent="0.35">
      <c r="A523" s="480">
        <v>42807</v>
      </c>
      <c r="B523" s="426" t="s">
        <v>3534</v>
      </c>
      <c r="C523" s="426" t="s">
        <v>941</v>
      </c>
      <c r="D523" s="426" t="s">
        <v>2297</v>
      </c>
      <c r="E523" s="435">
        <v>195</v>
      </c>
      <c r="F523" s="426" t="s">
        <v>3317</v>
      </c>
      <c r="G523" s="426" t="s">
        <v>174</v>
      </c>
    </row>
    <row r="524" spans="1:7" ht="13.5" customHeight="1" x14ac:dyDescent="0.35">
      <c r="A524" s="480">
        <v>42807</v>
      </c>
      <c r="B524" s="426" t="s">
        <v>3547</v>
      </c>
      <c r="C524" s="426" t="s">
        <v>2850</v>
      </c>
      <c r="D524" s="426" t="s">
        <v>3529</v>
      </c>
      <c r="E524" s="435">
        <v>150</v>
      </c>
      <c r="F524" s="426" t="s">
        <v>1793</v>
      </c>
      <c r="G524" s="426" t="s">
        <v>175</v>
      </c>
    </row>
    <row r="525" spans="1:7" ht="13.5" customHeight="1" x14ac:dyDescent="0.35">
      <c r="A525" s="480">
        <v>42804</v>
      </c>
      <c r="B525" s="426" t="s">
        <v>1009</v>
      </c>
      <c r="C525" s="426" t="s">
        <v>2850</v>
      </c>
      <c r="D525" s="426" t="s">
        <v>162</v>
      </c>
      <c r="E525" s="435">
        <v>400</v>
      </c>
      <c r="F525" s="426" t="s">
        <v>3506</v>
      </c>
      <c r="G525" s="426" t="s">
        <v>175</v>
      </c>
    </row>
    <row r="526" spans="1:7" ht="13.5" customHeight="1" x14ac:dyDescent="0.35">
      <c r="A526" s="480">
        <v>42807</v>
      </c>
      <c r="B526" s="426" t="s">
        <v>3547</v>
      </c>
      <c r="C526" s="426" t="s">
        <v>2850</v>
      </c>
      <c r="D526" s="426" t="s">
        <v>3529</v>
      </c>
      <c r="E526" s="435">
        <v>150</v>
      </c>
      <c r="F526" s="426" t="s">
        <v>1793</v>
      </c>
      <c r="G526" s="426" t="s">
        <v>175</v>
      </c>
    </row>
    <row r="527" spans="1:7" ht="13.5" customHeight="1" x14ac:dyDescent="0.35">
      <c r="A527" s="480">
        <v>42803</v>
      </c>
      <c r="B527" s="426" t="s">
        <v>3548</v>
      </c>
      <c r="C527" s="426" t="s">
        <v>2849</v>
      </c>
      <c r="D527" s="426" t="s">
        <v>163</v>
      </c>
      <c r="E527" s="435">
        <v>12.97</v>
      </c>
      <c r="F527" s="426" t="s">
        <v>1924</v>
      </c>
      <c r="G527" s="426" t="s">
        <v>163</v>
      </c>
    </row>
    <row r="528" spans="1:7" ht="13.5" customHeight="1" x14ac:dyDescent="0.35">
      <c r="A528" s="480">
        <v>42803</v>
      </c>
      <c r="B528" s="426" t="s">
        <v>3549</v>
      </c>
      <c r="C528" s="426" t="s">
        <v>2849</v>
      </c>
      <c r="D528" s="426" t="s">
        <v>160</v>
      </c>
      <c r="E528" s="435">
        <v>30</v>
      </c>
      <c r="F528" s="426" t="s">
        <v>1924</v>
      </c>
      <c r="G528" s="426" t="s">
        <v>174</v>
      </c>
    </row>
    <row r="529" spans="1:7" ht="13.5" customHeight="1" x14ac:dyDescent="0.35">
      <c r="A529" s="480">
        <v>42803</v>
      </c>
      <c r="B529" s="426" t="s">
        <v>2394</v>
      </c>
      <c r="C529" s="426" t="s">
        <v>2853</v>
      </c>
      <c r="D529" s="426" t="s">
        <v>3529</v>
      </c>
      <c r="E529" s="435">
        <v>30</v>
      </c>
      <c r="F529" s="426" t="s">
        <v>3541</v>
      </c>
      <c r="G529" s="426" t="s">
        <v>175</v>
      </c>
    </row>
    <row r="530" spans="1:7" ht="13.5" customHeight="1" x14ac:dyDescent="0.35">
      <c r="A530" s="480">
        <v>42803</v>
      </c>
      <c r="B530" s="426" t="s">
        <v>3550</v>
      </c>
      <c r="C530" s="426" t="s">
        <v>2849</v>
      </c>
      <c r="D530" s="426" t="s">
        <v>162</v>
      </c>
      <c r="E530" s="435">
        <v>185</v>
      </c>
      <c r="F530" s="426" t="s">
        <v>3551</v>
      </c>
      <c r="G530" s="426" t="s">
        <v>1311</v>
      </c>
    </row>
    <row r="531" spans="1:7" ht="13.5" customHeight="1" x14ac:dyDescent="0.35">
      <c r="A531" s="480">
        <v>42803</v>
      </c>
      <c r="B531" s="426" t="s">
        <v>2431</v>
      </c>
      <c r="C531" s="426" t="s">
        <v>2849</v>
      </c>
      <c r="D531" s="426" t="s">
        <v>3529</v>
      </c>
      <c r="E531" s="435">
        <v>265</v>
      </c>
      <c r="F531" s="426" t="s">
        <v>3552</v>
      </c>
      <c r="G531" s="426" t="s">
        <v>175</v>
      </c>
    </row>
    <row r="532" spans="1:7" ht="13.5" customHeight="1" x14ac:dyDescent="0.35">
      <c r="A532" s="480">
        <v>42798</v>
      </c>
      <c r="B532" s="426" t="s">
        <v>3550</v>
      </c>
      <c r="C532" s="426" t="s">
        <v>2849</v>
      </c>
      <c r="D532" s="426" t="s">
        <v>3529</v>
      </c>
      <c r="E532" s="435">
        <v>50</v>
      </c>
      <c r="F532" s="426" t="s">
        <v>3551</v>
      </c>
      <c r="G532" s="426" t="s">
        <v>1311</v>
      </c>
    </row>
    <row r="533" spans="1:7" ht="13.5" customHeight="1" x14ac:dyDescent="0.35">
      <c r="A533" s="480">
        <v>42795</v>
      </c>
      <c r="B533" s="426" t="s">
        <v>3553</v>
      </c>
      <c r="C533" s="426" t="s">
        <v>2853</v>
      </c>
      <c r="D533" s="426" t="s">
        <v>3529</v>
      </c>
      <c r="E533" s="435">
        <v>30</v>
      </c>
      <c r="F533" s="426" t="s">
        <v>3541</v>
      </c>
      <c r="G533" s="426" t="s">
        <v>175</v>
      </c>
    </row>
    <row r="534" spans="1:7" ht="13.5" customHeight="1" x14ac:dyDescent="0.35">
      <c r="A534" s="480">
        <v>42795</v>
      </c>
      <c r="B534" s="426" t="s">
        <v>3554</v>
      </c>
      <c r="C534" s="426" t="s">
        <v>2851</v>
      </c>
      <c r="D534" s="426" t="s">
        <v>161</v>
      </c>
      <c r="E534" s="435">
        <v>415.5</v>
      </c>
      <c r="F534" s="426" t="s">
        <v>3527</v>
      </c>
      <c r="G534" s="426" t="s">
        <v>175</v>
      </c>
    </row>
    <row r="535" spans="1:7" ht="13.5" customHeight="1" x14ac:dyDescent="0.35">
      <c r="A535" s="480">
        <v>42795</v>
      </c>
      <c r="B535" s="426" t="s">
        <v>3555</v>
      </c>
      <c r="C535" s="426" t="s">
        <v>2852</v>
      </c>
      <c r="D535" s="426" t="s">
        <v>161</v>
      </c>
      <c r="E535" s="435">
        <v>80</v>
      </c>
      <c r="F535" s="426" t="s">
        <v>3556</v>
      </c>
      <c r="G535" s="426" t="s">
        <v>175</v>
      </c>
    </row>
    <row r="537" spans="1:7" ht="13.5" customHeight="1" x14ac:dyDescent="0.35">
      <c r="A537" s="480"/>
    </row>
    <row r="538" spans="1:7" ht="13.5" customHeight="1" x14ac:dyDescent="0.35">
      <c r="A538" s="480">
        <v>42794</v>
      </c>
      <c r="B538" s="426" t="s">
        <v>3557</v>
      </c>
      <c r="C538" s="426" t="s">
        <v>2849</v>
      </c>
      <c r="D538" s="426" t="s">
        <v>160</v>
      </c>
      <c r="E538" s="435">
        <v>265</v>
      </c>
      <c r="F538" s="426" t="s">
        <v>3406</v>
      </c>
      <c r="G538" s="426" t="s">
        <v>174</v>
      </c>
    </row>
    <row r="539" spans="1:7" ht="13.5" customHeight="1" x14ac:dyDescent="0.35">
      <c r="A539" s="480">
        <v>42794</v>
      </c>
      <c r="B539" s="426" t="s">
        <v>2941</v>
      </c>
      <c r="C539" s="426" t="s">
        <v>2853</v>
      </c>
      <c r="D539" s="426" t="s">
        <v>159</v>
      </c>
      <c r="E539" s="435">
        <v>30</v>
      </c>
      <c r="F539" s="426" t="s">
        <v>181</v>
      </c>
      <c r="G539" s="426" t="s">
        <v>175</v>
      </c>
    </row>
    <row r="540" spans="1:7" ht="13.5" customHeight="1" x14ac:dyDescent="0.35">
      <c r="A540" s="480">
        <v>42793</v>
      </c>
      <c r="B540" s="426" t="s">
        <v>3558</v>
      </c>
      <c r="C540" s="426" t="s">
        <v>2850</v>
      </c>
      <c r="D540" s="426" t="s">
        <v>2297</v>
      </c>
      <c r="E540" s="435">
        <v>200</v>
      </c>
      <c r="F540" s="426" t="s">
        <v>3559</v>
      </c>
      <c r="G540" s="426" t="s">
        <v>177</v>
      </c>
    </row>
    <row r="541" spans="1:7" ht="13.5" customHeight="1" x14ac:dyDescent="0.35">
      <c r="A541" s="480">
        <v>42793</v>
      </c>
      <c r="B541" s="426" t="s">
        <v>3560</v>
      </c>
      <c r="C541" s="426" t="s">
        <v>2849</v>
      </c>
      <c r="D541" s="426" t="s">
        <v>159</v>
      </c>
      <c r="E541" s="435">
        <v>60</v>
      </c>
      <c r="F541" s="426" t="s">
        <v>3561</v>
      </c>
      <c r="G541" s="426" t="s">
        <v>174</v>
      </c>
    </row>
    <row r="542" spans="1:7" ht="13.5" customHeight="1" x14ac:dyDescent="0.35">
      <c r="A542" s="480">
        <v>42793</v>
      </c>
      <c r="B542" s="426" t="s">
        <v>3562</v>
      </c>
      <c r="C542" s="426" t="s">
        <v>2849</v>
      </c>
      <c r="D542" s="426" t="s">
        <v>163</v>
      </c>
      <c r="E542" s="435">
        <v>12</v>
      </c>
      <c r="F542" s="426" t="s">
        <v>3561</v>
      </c>
      <c r="G542" s="426" t="s">
        <v>163</v>
      </c>
    </row>
    <row r="543" spans="1:7" ht="13.5" customHeight="1" x14ac:dyDescent="0.35">
      <c r="A543" s="480">
        <v>42792</v>
      </c>
      <c r="B543" s="426" t="s">
        <v>3563</v>
      </c>
      <c r="C543" s="426" t="s">
        <v>2850</v>
      </c>
      <c r="D543" s="426" t="s">
        <v>160</v>
      </c>
      <c r="E543" s="435">
        <v>60</v>
      </c>
      <c r="F543" s="426" t="s">
        <v>3564</v>
      </c>
      <c r="G543" s="426" t="s">
        <v>175</v>
      </c>
    </row>
    <row r="544" spans="1:7" ht="13.5" customHeight="1" x14ac:dyDescent="0.35">
      <c r="A544" s="480">
        <v>42792</v>
      </c>
      <c r="B544" s="426" t="s">
        <v>3565</v>
      </c>
      <c r="C544" s="426" t="s">
        <v>2849</v>
      </c>
      <c r="D544" s="426" t="s">
        <v>162</v>
      </c>
      <c r="E544" s="435">
        <v>185</v>
      </c>
      <c r="F544" s="426" t="s">
        <v>3566</v>
      </c>
      <c r="G544" s="426" t="s">
        <v>174</v>
      </c>
    </row>
    <row r="545" spans="1:7" ht="13.5" customHeight="1" x14ac:dyDescent="0.35">
      <c r="A545" s="480">
        <v>42790</v>
      </c>
      <c r="B545" s="426" t="s">
        <v>3433</v>
      </c>
      <c r="C545" s="426" t="s">
        <v>2853</v>
      </c>
      <c r="D545" s="426" t="s">
        <v>160</v>
      </c>
      <c r="E545" s="435">
        <v>30</v>
      </c>
      <c r="F545" s="426" t="s">
        <v>3541</v>
      </c>
      <c r="G545" s="426" t="s">
        <v>175</v>
      </c>
    </row>
    <row r="546" spans="1:7" ht="13.5" customHeight="1" x14ac:dyDescent="0.35">
      <c r="A546" s="480">
        <v>42789</v>
      </c>
      <c r="B546" s="426" t="s">
        <v>3567</v>
      </c>
      <c r="C546" s="426" t="s">
        <v>2849</v>
      </c>
      <c r="D546" s="426" t="s">
        <v>159</v>
      </c>
      <c r="E546" s="435">
        <v>185</v>
      </c>
      <c r="F546" s="426" t="s">
        <v>3566</v>
      </c>
      <c r="G546" s="426" t="s">
        <v>174</v>
      </c>
    </row>
    <row r="547" spans="1:7" ht="13.5" customHeight="1" x14ac:dyDescent="0.35">
      <c r="A547" s="480">
        <v>42790</v>
      </c>
      <c r="B547" s="426" t="s">
        <v>1311</v>
      </c>
      <c r="C547" s="426" t="s">
        <v>2849</v>
      </c>
      <c r="D547" s="426" t="s">
        <v>162</v>
      </c>
      <c r="E547" s="435">
        <v>200</v>
      </c>
      <c r="F547" s="426" t="s">
        <v>3566</v>
      </c>
      <c r="G547" s="426" t="s">
        <v>1311</v>
      </c>
    </row>
    <row r="548" spans="1:7" ht="13.5" customHeight="1" x14ac:dyDescent="0.35">
      <c r="A548" s="480">
        <v>42789</v>
      </c>
      <c r="B548" s="426" t="s">
        <v>3568</v>
      </c>
      <c r="C548" s="426" t="s">
        <v>2850</v>
      </c>
      <c r="D548" s="426" t="s">
        <v>159</v>
      </c>
      <c r="E548" s="435">
        <v>150</v>
      </c>
      <c r="F548" s="426" t="s">
        <v>2602</v>
      </c>
      <c r="G548" s="426" t="s">
        <v>177</v>
      </c>
    </row>
    <row r="549" spans="1:7" ht="13.5" customHeight="1" x14ac:dyDescent="0.35">
      <c r="A549" s="480">
        <v>42789</v>
      </c>
      <c r="B549" s="426" t="s">
        <v>3567</v>
      </c>
      <c r="C549" s="426" t="s">
        <v>2849</v>
      </c>
      <c r="D549" s="426" t="s">
        <v>2297</v>
      </c>
      <c r="E549" s="435">
        <v>10</v>
      </c>
      <c r="F549" s="426" t="s">
        <v>3569</v>
      </c>
      <c r="G549" s="426" t="s">
        <v>174</v>
      </c>
    </row>
    <row r="550" spans="1:7" ht="13.5" customHeight="1" x14ac:dyDescent="0.35">
      <c r="A550" s="480">
        <v>42789</v>
      </c>
      <c r="B550" s="426" t="s">
        <v>3565</v>
      </c>
      <c r="C550" s="426" t="s">
        <v>2849</v>
      </c>
      <c r="D550" s="426" t="s">
        <v>161</v>
      </c>
      <c r="E550" s="435">
        <v>10</v>
      </c>
      <c r="F550" s="426" t="s">
        <v>3569</v>
      </c>
      <c r="G550" s="426" t="s">
        <v>174</v>
      </c>
    </row>
    <row r="551" spans="1:7" ht="13.5" customHeight="1" x14ac:dyDescent="0.35">
      <c r="A551" s="480">
        <v>42789</v>
      </c>
      <c r="B551" s="426" t="s">
        <v>3570</v>
      </c>
      <c r="C551" s="426" t="s">
        <v>2850</v>
      </c>
      <c r="D551" s="426" t="s">
        <v>160</v>
      </c>
      <c r="E551" s="435">
        <v>159</v>
      </c>
      <c r="F551" s="426" t="s">
        <v>3571</v>
      </c>
      <c r="G551" s="426" t="s">
        <v>175</v>
      </c>
    </row>
    <row r="552" spans="1:7" ht="13.5" customHeight="1" x14ac:dyDescent="0.35">
      <c r="A552" s="480">
        <v>42788</v>
      </c>
      <c r="B552" s="426" t="s">
        <v>3507</v>
      </c>
      <c r="C552" s="426" t="s">
        <v>2849</v>
      </c>
      <c r="D552" s="426" t="s">
        <v>159</v>
      </c>
      <c r="E552" s="435">
        <v>265</v>
      </c>
      <c r="F552" s="426" t="s">
        <v>3572</v>
      </c>
      <c r="G552" s="426" t="s">
        <v>174</v>
      </c>
    </row>
    <row r="553" spans="1:7" ht="13.5" customHeight="1" x14ac:dyDescent="0.35">
      <c r="A553" s="480">
        <v>42787</v>
      </c>
      <c r="B553" s="426" t="s">
        <v>3135</v>
      </c>
      <c r="C553" s="426" t="s">
        <v>2849</v>
      </c>
      <c r="D553" s="426" t="s">
        <v>162</v>
      </c>
      <c r="E553" s="435">
        <v>185</v>
      </c>
      <c r="F553" s="426" t="s">
        <v>3566</v>
      </c>
      <c r="G553" s="426" t="s">
        <v>174</v>
      </c>
    </row>
    <row r="554" spans="1:7" ht="13.5" customHeight="1" x14ac:dyDescent="0.35">
      <c r="A554" s="480">
        <v>42787</v>
      </c>
      <c r="B554" s="426" t="s">
        <v>3573</v>
      </c>
      <c r="C554" s="426" t="s">
        <v>2849</v>
      </c>
      <c r="D554" s="426" t="s">
        <v>159</v>
      </c>
      <c r="E554" s="435">
        <v>15</v>
      </c>
      <c r="F554" s="426" t="s">
        <v>3561</v>
      </c>
      <c r="G554" s="426" t="s">
        <v>174</v>
      </c>
    </row>
    <row r="555" spans="1:7" ht="13.5" customHeight="1" x14ac:dyDescent="0.35">
      <c r="A555" s="480">
        <v>42787</v>
      </c>
      <c r="B555" s="426" t="s">
        <v>3574</v>
      </c>
      <c r="C555" s="426" t="s">
        <v>2850</v>
      </c>
      <c r="D555" s="426" t="s">
        <v>160</v>
      </c>
      <c r="E555" s="435">
        <v>60</v>
      </c>
      <c r="F555" s="426" t="s">
        <v>1375</v>
      </c>
      <c r="G555" s="426" t="s">
        <v>175</v>
      </c>
    </row>
    <row r="556" spans="1:7" ht="13.5" customHeight="1" x14ac:dyDescent="0.35">
      <c r="A556" s="480">
        <v>42787</v>
      </c>
      <c r="B556" s="426" t="s">
        <v>3575</v>
      </c>
      <c r="C556" s="426" t="s">
        <v>2849</v>
      </c>
      <c r="D556" s="426" t="s">
        <v>163</v>
      </c>
      <c r="E556" s="435">
        <v>12</v>
      </c>
      <c r="F556" s="426" t="s">
        <v>3561</v>
      </c>
      <c r="G556" s="426" t="s">
        <v>163</v>
      </c>
    </row>
    <row r="557" spans="1:7" ht="13.5" customHeight="1" x14ac:dyDescent="0.35">
      <c r="A557" s="480">
        <v>42787</v>
      </c>
      <c r="B557" s="426" t="s">
        <v>3135</v>
      </c>
      <c r="C557" s="426" t="s">
        <v>2853</v>
      </c>
      <c r="D557" s="426" t="s">
        <v>160</v>
      </c>
      <c r="E557" s="435">
        <v>30</v>
      </c>
      <c r="F557" s="426" t="s">
        <v>3541</v>
      </c>
      <c r="G557" s="426" t="s">
        <v>175</v>
      </c>
    </row>
    <row r="558" spans="1:7" ht="13.5" customHeight="1" x14ac:dyDescent="0.35">
      <c r="A558" s="480">
        <v>42786</v>
      </c>
      <c r="B558" s="426" t="s">
        <v>2394</v>
      </c>
      <c r="C558" s="426" t="s">
        <v>2852</v>
      </c>
      <c r="D558" s="426" t="s">
        <v>160</v>
      </c>
      <c r="E558" s="435">
        <v>20</v>
      </c>
      <c r="F558" s="426" t="s">
        <v>923</v>
      </c>
      <c r="G558" s="426" t="s">
        <v>175</v>
      </c>
    </row>
    <row r="559" spans="1:7" ht="13.5" customHeight="1" x14ac:dyDescent="0.35">
      <c r="A559" s="480">
        <v>42783</v>
      </c>
      <c r="B559" s="426" t="s">
        <v>3576</v>
      </c>
      <c r="C559" s="426" t="s">
        <v>2849</v>
      </c>
      <c r="D559" s="426" t="s">
        <v>2297</v>
      </c>
      <c r="E559" s="435">
        <v>15</v>
      </c>
      <c r="F559" s="426" t="s">
        <v>3577</v>
      </c>
      <c r="G559" s="426" t="s">
        <v>174</v>
      </c>
    </row>
    <row r="560" spans="1:7" ht="13.5" customHeight="1" x14ac:dyDescent="0.35">
      <c r="A560" s="480">
        <v>42783</v>
      </c>
      <c r="B560" s="426" t="s">
        <v>3578</v>
      </c>
      <c r="C560" s="426" t="s">
        <v>2849</v>
      </c>
      <c r="D560" s="426" t="s">
        <v>162</v>
      </c>
      <c r="E560" s="435">
        <v>220</v>
      </c>
      <c r="F560" s="426" t="s">
        <v>3579</v>
      </c>
      <c r="G560" s="426" t="s">
        <v>174</v>
      </c>
    </row>
    <row r="561" spans="1:7" ht="13.5" customHeight="1" x14ac:dyDescent="0.35">
      <c r="A561" s="480">
        <v>42782</v>
      </c>
      <c r="B561" s="426" t="s">
        <v>3135</v>
      </c>
      <c r="C561" s="426" t="s">
        <v>2849</v>
      </c>
      <c r="D561" s="426" t="s">
        <v>2297</v>
      </c>
      <c r="E561" s="435">
        <v>10</v>
      </c>
      <c r="F561" s="426" t="s">
        <v>3569</v>
      </c>
      <c r="G561" s="426" t="s">
        <v>174</v>
      </c>
    </row>
    <row r="562" spans="1:7" ht="13.5" customHeight="1" x14ac:dyDescent="0.35">
      <c r="A562" s="480">
        <v>42782</v>
      </c>
      <c r="B562" s="426" t="s">
        <v>3580</v>
      </c>
      <c r="C562" s="426" t="s">
        <v>2851</v>
      </c>
      <c r="D562" s="426" t="s">
        <v>162</v>
      </c>
      <c r="E562" s="435">
        <v>35</v>
      </c>
      <c r="F562" s="426" t="s">
        <v>2862</v>
      </c>
      <c r="G562" s="426" t="s">
        <v>175</v>
      </c>
    </row>
    <row r="563" spans="1:7" ht="13.5" customHeight="1" x14ac:dyDescent="0.35">
      <c r="A563" s="480">
        <v>42781</v>
      </c>
      <c r="B563" s="426" t="s">
        <v>3581</v>
      </c>
      <c r="C563" s="426" t="s">
        <v>2849</v>
      </c>
      <c r="D563" s="426" t="s">
        <v>2297</v>
      </c>
      <c r="E563" s="435">
        <v>265</v>
      </c>
      <c r="F563" s="426" t="s">
        <v>3582</v>
      </c>
      <c r="G563" s="426" t="s">
        <v>174</v>
      </c>
    </row>
    <row r="564" spans="1:7" ht="13.5" customHeight="1" x14ac:dyDescent="0.35">
      <c r="A564" s="480">
        <v>42781</v>
      </c>
      <c r="B564" s="426" t="s">
        <v>3001</v>
      </c>
      <c r="C564" s="426" t="s">
        <v>2851</v>
      </c>
      <c r="D564" s="426" t="s">
        <v>162</v>
      </c>
      <c r="E564" s="435">
        <v>175</v>
      </c>
      <c r="F564" s="426" t="s">
        <v>2851</v>
      </c>
      <c r="G564" s="426" t="s">
        <v>175</v>
      </c>
    </row>
    <row r="565" spans="1:7" ht="13.5" customHeight="1" x14ac:dyDescent="0.35">
      <c r="A565" s="480">
        <v>42781</v>
      </c>
      <c r="B565" s="426" t="s">
        <v>3583</v>
      </c>
      <c r="C565" s="426" t="s">
        <v>2849</v>
      </c>
      <c r="D565" s="426" t="s">
        <v>159</v>
      </c>
      <c r="E565" s="435">
        <v>265</v>
      </c>
      <c r="F565" s="426" t="s">
        <v>3582</v>
      </c>
      <c r="G565" s="426" t="s">
        <v>174</v>
      </c>
    </row>
    <row r="566" spans="1:7" ht="13.5" customHeight="1" x14ac:dyDescent="0.35">
      <c r="A566" s="480">
        <v>42780</v>
      </c>
      <c r="B566" s="426" t="s">
        <v>3429</v>
      </c>
      <c r="C566" s="426" t="s">
        <v>2853</v>
      </c>
      <c r="D566" s="426" t="s">
        <v>160</v>
      </c>
      <c r="E566" s="435">
        <v>30</v>
      </c>
      <c r="F566" s="426" t="s">
        <v>3541</v>
      </c>
      <c r="G566" s="426" t="s">
        <v>175</v>
      </c>
    </row>
    <row r="567" spans="1:7" ht="13.5" customHeight="1" x14ac:dyDescent="0.35">
      <c r="A567" s="480">
        <v>42780</v>
      </c>
      <c r="B567" s="426" t="s">
        <v>2920</v>
      </c>
      <c r="C567" s="426" t="s">
        <v>2853</v>
      </c>
      <c r="D567" s="426" t="s">
        <v>159</v>
      </c>
      <c r="E567" s="435">
        <v>30</v>
      </c>
      <c r="F567" s="426" t="s">
        <v>3541</v>
      </c>
      <c r="G567" s="426" t="s">
        <v>175</v>
      </c>
    </row>
    <row r="568" spans="1:7" ht="13.5" customHeight="1" x14ac:dyDescent="0.35">
      <c r="A568" s="480">
        <v>42780</v>
      </c>
      <c r="B568" s="426" t="s">
        <v>2424</v>
      </c>
      <c r="C568" s="426" t="s">
        <v>2853</v>
      </c>
      <c r="D568" s="426" t="s">
        <v>159</v>
      </c>
      <c r="E568" s="435">
        <v>30</v>
      </c>
      <c r="F568" s="426" t="s">
        <v>3541</v>
      </c>
      <c r="G568" s="426" t="s">
        <v>175</v>
      </c>
    </row>
    <row r="569" spans="1:7" ht="13.5" customHeight="1" x14ac:dyDescent="0.35">
      <c r="A569" s="480">
        <v>42780</v>
      </c>
      <c r="B569" s="426" t="s">
        <v>3584</v>
      </c>
      <c r="C569" s="426" t="s">
        <v>2853</v>
      </c>
      <c r="D569" s="426" t="s">
        <v>160</v>
      </c>
      <c r="E569" s="435">
        <v>30</v>
      </c>
      <c r="F569" s="426" t="s">
        <v>3541</v>
      </c>
      <c r="G569" s="426" t="s">
        <v>175</v>
      </c>
    </row>
    <row r="570" spans="1:7" ht="13.5" customHeight="1" x14ac:dyDescent="0.35">
      <c r="A570" s="480">
        <v>42780</v>
      </c>
      <c r="B570" s="426" t="s">
        <v>2137</v>
      </c>
      <c r="C570" s="426" t="s">
        <v>2853</v>
      </c>
      <c r="D570" s="426" t="s">
        <v>160</v>
      </c>
      <c r="E570" s="435">
        <v>30</v>
      </c>
      <c r="F570" s="426" t="s">
        <v>3541</v>
      </c>
      <c r="G570" s="426" t="s">
        <v>175</v>
      </c>
    </row>
    <row r="571" spans="1:7" ht="13.5" customHeight="1" x14ac:dyDescent="0.35">
      <c r="A571" s="480">
        <v>42780</v>
      </c>
      <c r="B571" s="426" t="s">
        <v>3002</v>
      </c>
      <c r="C571" s="426" t="s">
        <v>2850</v>
      </c>
      <c r="D571" s="426" t="s">
        <v>162</v>
      </c>
      <c r="E571" s="435">
        <v>50</v>
      </c>
      <c r="F571" s="426" t="s">
        <v>3506</v>
      </c>
      <c r="G571" s="426" t="s">
        <v>175</v>
      </c>
    </row>
    <row r="572" spans="1:7" ht="13.5" customHeight="1" x14ac:dyDescent="0.35">
      <c r="A572" s="480">
        <v>42780</v>
      </c>
      <c r="B572" s="426" t="s">
        <v>3002</v>
      </c>
      <c r="C572" s="426" t="s">
        <v>2853</v>
      </c>
      <c r="D572" s="426" t="s">
        <v>162</v>
      </c>
      <c r="E572" s="435">
        <v>30</v>
      </c>
      <c r="F572" s="426" t="s">
        <v>3541</v>
      </c>
      <c r="G572" s="426" t="s">
        <v>175</v>
      </c>
    </row>
    <row r="573" spans="1:7" ht="13.5" customHeight="1" x14ac:dyDescent="0.35">
      <c r="A573" s="480">
        <v>42779</v>
      </c>
      <c r="B573" s="426" t="s">
        <v>3130</v>
      </c>
      <c r="C573" s="426" t="s">
        <v>2853</v>
      </c>
      <c r="D573" s="426" t="s">
        <v>160</v>
      </c>
      <c r="E573" s="435">
        <v>35</v>
      </c>
      <c r="F573" s="426" t="s">
        <v>3585</v>
      </c>
      <c r="G573" s="426" t="s">
        <v>175</v>
      </c>
    </row>
    <row r="574" spans="1:7" ht="13.5" customHeight="1" x14ac:dyDescent="0.35">
      <c r="A574" s="480">
        <v>42779</v>
      </c>
      <c r="B574" s="426" t="s">
        <v>3586</v>
      </c>
      <c r="C574" s="426" t="s">
        <v>2850</v>
      </c>
      <c r="D574" s="426" t="s">
        <v>159</v>
      </c>
      <c r="E574" s="435">
        <v>400</v>
      </c>
      <c r="F574" s="426" t="s">
        <v>3587</v>
      </c>
      <c r="G574" s="426" t="s">
        <v>174</v>
      </c>
    </row>
    <row r="575" spans="1:7" ht="13.5" customHeight="1" x14ac:dyDescent="0.35">
      <c r="A575" s="480">
        <v>42778</v>
      </c>
      <c r="B575" s="426" t="s">
        <v>3156</v>
      </c>
      <c r="C575" s="426" t="s">
        <v>2853</v>
      </c>
      <c r="D575" s="426" t="s">
        <v>159</v>
      </c>
      <c r="E575" s="435">
        <v>30</v>
      </c>
      <c r="F575" s="426" t="s">
        <v>3541</v>
      </c>
      <c r="G575" s="426" t="s">
        <v>175</v>
      </c>
    </row>
    <row r="576" spans="1:7" ht="13.5" customHeight="1" x14ac:dyDescent="0.35">
      <c r="A576" s="480">
        <v>42777</v>
      </c>
      <c r="B576" s="426" t="s">
        <v>2803</v>
      </c>
      <c r="C576" s="426" t="s">
        <v>2850</v>
      </c>
      <c r="D576" s="426" t="s">
        <v>160</v>
      </c>
      <c r="E576" s="435">
        <v>99</v>
      </c>
      <c r="F576" s="426" t="s">
        <v>3588</v>
      </c>
      <c r="G576" s="426" t="s">
        <v>175</v>
      </c>
    </row>
    <row r="577" spans="1:7" ht="13.5" customHeight="1" x14ac:dyDescent="0.35">
      <c r="A577" s="480">
        <v>42776</v>
      </c>
      <c r="B577" s="426" t="s">
        <v>3589</v>
      </c>
      <c r="C577" s="426" t="s">
        <v>2849</v>
      </c>
      <c r="D577" s="426" t="s">
        <v>159</v>
      </c>
      <c r="E577" s="435">
        <v>265</v>
      </c>
      <c r="F577" s="426" t="s">
        <v>3582</v>
      </c>
      <c r="G577" s="426" t="s">
        <v>1311</v>
      </c>
    </row>
    <row r="578" spans="1:7" ht="13.5" customHeight="1" x14ac:dyDescent="0.35">
      <c r="A578" s="480">
        <v>42776</v>
      </c>
      <c r="B578" s="426" t="s">
        <v>3590</v>
      </c>
      <c r="C578" s="426" t="s">
        <v>2853</v>
      </c>
      <c r="D578" s="426" t="s">
        <v>159</v>
      </c>
      <c r="E578" s="435">
        <v>30</v>
      </c>
      <c r="F578" s="426" t="s">
        <v>3541</v>
      </c>
      <c r="G578" s="426" t="s">
        <v>175</v>
      </c>
    </row>
    <row r="579" spans="1:7" ht="13.5" customHeight="1" x14ac:dyDescent="0.35">
      <c r="A579" s="480">
        <v>42774</v>
      </c>
      <c r="B579" s="426" t="s">
        <v>3532</v>
      </c>
      <c r="C579" s="426" t="s">
        <v>2851</v>
      </c>
      <c r="D579" s="426" t="s">
        <v>162</v>
      </c>
      <c r="E579" s="435">
        <v>1000</v>
      </c>
      <c r="F579" s="426" t="s">
        <v>2851</v>
      </c>
      <c r="G579" s="426" t="s">
        <v>174</v>
      </c>
    </row>
    <row r="580" spans="1:7" ht="13.5" customHeight="1" x14ac:dyDescent="0.35">
      <c r="A580" s="480">
        <v>42774</v>
      </c>
      <c r="B580" s="426" t="s">
        <v>3591</v>
      </c>
      <c r="C580" s="426" t="s">
        <v>2850</v>
      </c>
      <c r="D580" s="426" t="s">
        <v>162</v>
      </c>
      <c r="E580" s="435">
        <v>180</v>
      </c>
      <c r="F580" s="426" t="s">
        <v>3587</v>
      </c>
      <c r="G580" s="426" t="s">
        <v>175</v>
      </c>
    </row>
    <row r="581" spans="1:7" ht="13.5" customHeight="1" x14ac:dyDescent="0.35">
      <c r="A581" s="480">
        <v>42774</v>
      </c>
      <c r="B581" s="426" t="s">
        <v>1681</v>
      </c>
      <c r="C581" s="426" t="s">
        <v>2853</v>
      </c>
      <c r="D581" s="426" t="s">
        <v>159</v>
      </c>
      <c r="E581" s="435">
        <v>30</v>
      </c>
      <c r="F581" s="426" t="s">
        <v>3541</v>
      </c>
      <c r="G581" s="426" t="s">
        <v>175</v>
      </c>
    </row>
    <row r="582" spans="1:7" ht="13.5" customHeight="1" x14ac:dyDescent="0.35">
      <c r="A582" s="480">
        <v>42773</v>
      </c>
      <c r="B582" s="426" t="s">
        <v>3128</v>
      </c>
      <c r="C582" s="426" t="s">
        <v>2853</v>
      </c>
      <c r="D582" s="426" t="s">
        <v>159</v>
      </c>
      <c r="E582" s="435">
        <v>30</v>
      </c>
      <c r="F582" s="426" t="s">
        <v>3541</v>
      </c>
      <c r="G582" s="426" t="s">
        <v>175</v>
      </c>
    </row>
    <row r="583" spans="1:7" ht="13.5" customHeight="1" x14ac:dyDescent="0.35">
      <c r="A583" s="480">
        <v>42773</v>
      </c>
      <c r="B583" s="426" t="s">
        <v>1009</v>
      </c>
      <c r="C583" s="426" t="s">
        <v>2853</v>
      </c>
      <c r="D583" s="426" t="s">
        <v>160</v>
      </c>
      <c r="E583" s="435">
        <v>30</v>
      </c>
      <c r="F583" s="426" t="s">
        <v>3541</v>
      </c>
      <c r="G583" s="426" t="s">
        <v>175</v>
      </c>
    </row>
    <row r="584" spans="1:7" ht="13.5" customHeight="1" x14ac:dyDescent="0.35">
      <c r="A584" s="480">
        <v>42773</v>
      </c>
      <c r="B584" s="426" t="s">
        <v>2443</v>
      </c>
      <c r="C584" s="426" t="s">
        <v>2853</v>
      </c>
      <c r="D584" s="426" t="s">
        <v>160</v>
      </c>
      <c r="E584" s="435">
        <v>30</v>
      </c>
      <c r="F584" s="426" t="s">
        <v>3541</v>
      </c>
      <c r="G584" s="426" t="s">
        <v>175</v>
      </c>
    </row>
    <row r="585" spans="1:7" ht="13.5" customHeight="1" x14ac:dyDescent="0.35">
      <c r="A585" s="480">
        <v>42773</v>
      </c>
      <c r="B585" s="426" t="s">
        <v>3130</v>
      </c>
      <c r="C585" s="426" t="s">
        <v>2853</v>
      </c>
      <c r="D585" s="426" t="s">
        <v>160</v>
      </c>
      <c r="E585" s="435">
        <v>30</v>
      </c>
      <c r="F585" s="426" t="s">
        <v>3541</v>
      </c>
      <c r="G585" s="426" t="s">
        <v>175</v>
      </c>
    </row>
    <row r="586" spans="1:7" ht="13.5" customHeight="1" x14ac:dyDescent="0.35">
      <c r="A586" s="480">
        <v>42769</v>
      </c>
      <c r="B586" s="426" t="s">
        <v>3554</v>
      </c>
      <c r="C586" s="426" t="s">
        <v>2851</v>
      </c>
      <c r="D586" s="426" t="s">
        <v>162</v>
      </c>
      <c r="E586" s="435">
        <f>858-120</f>
        <v>738</v>
      </c>
      <c r="G586" s="426" t="s">
        <v>175</v>
      </c>
    </row>
    <row r="587" spans="1:7" ht="13.5" customHeight="1" x14ac:dyDescent="0.35">
      <c r="A587" s="480">
        <v>42769</v>
      </c>
      <c r="B587" s="426" t="s">
        <v>3592</v>
      </c>
      <c r="C587" s="426" t="s">
        <v>2852</v>
      </c>
      <c r="D587" s="426" t="s">
        <v>161</v>
      </c>
      <c r="E587" s="435">
        <v>120</v>
      </c>
      <c r="G587" s="426" t="s">
        <v>175</v>
      </c>
    </row>
    <row r="588" spans="1:7" ht="13.5" customHeight="1" x14ac:dyDescent="0.35">
      <c r="A588" s="480">
        <v>42769</v>
      </c>
      <c r="B588" s="426" t="s">
        <v>3522</v>
      </c>
      <c r="C588" s="426" t="s">
        <v>2850</v>
      </c>
      <c r="D588" s="426" t="s">
        <v>159</v>
      </c>
      <c r="E588" s="435">
        <v>180</v>
      </c>
      <c r="F588" s="426" t="s">
        <v>3593</v>
      </c>
      <c r="G588" s="426" t="s">
        <v>174</v>
      </c>
    </row>
    <row r="589" spans="1:7" ht="13.5" customHeight="1" x14ac:dyDescent="0.35">
      <c r="A589" s="480">
        <v>42769</v>
      </c>
      <c r="B589" s="426" t="s">
        <v>1500</v>
      </c>
      <c r="C589" s="426" t="s">
        <v>2850</v>
      </c>
      <c r="D589" s="426" t="s">
        <v>159</v>
      </c>
      <c r="E589" s="435">
        <v>100</v>
      </c>
      <c r="F589" s="426" t="s">
        <v>3594</v>
      </c>
      <c r="G589" s="426" t="s">
        <v>174</v>
      </c>
    </row>
    <row r="592" spans="1:7" ht="13.5" customHeight="1" x14ac:dyDescent="0.35">
      <c r="A592" s="480">
        <v>42766</v>
      </c>
      <c r="B592" s="426" t="s">
        <v>3234</v>
      </c>
      <c r="C592" s="426" t="s">
        <v>2849</v>
      </c>
      <c r="D592" s="468" t="s">
        <v>3595</v>
      </c>
      <c r="E592" s="435">
        <v>50</v>
      </c>
      <c r="G592" s="426" t="s">
        <v>174</v>
      </c>
    </row>
    <row r="593" spans="1:7" ht="13.5" customHeight="1" x14ac:dyDescent="0.35">
      <c r="A593" s="480">
        <v>42766</v>
      </c>
      <c r="B593" s="426" t="s">
        <v>3596</v>
      </c>
      <c r="C593" s="426" t="s">
        <v>2849</v>
      </c>
      <c r="D593" s="468" t="s">
        <v>3597</v>
      </c>
      <c r="E593" s="435">
        <v>12</v>
      </c>
      <c r="G593" s="426" t="s">
        <v>163</v>
      </c>
    </row>
    <row r="594" spans="1:7" ht="13.5" customHeight="1" x14ac:dyDescent="0.35">
      <c r="A594" s="480">
        <v>42766</v>
      </c>
      <c r="B594" s="426" t="s">
        <v>3598</v>
      </c>
      <c r="C594" s="426" t="s">
        <v>2849</v>
      </c>
      <c r="D594" s="468" t="s">
        <v>3597</v>
      </c>
      <c r="E594" s="435">
        <v>12</v>
      </c>
      <c r="G594" s="426" t="s">
        <v>163</v>
      </c>
    </row>
    <row r="595" spans="1:7" ht="13.5" customHeight="1" x14ac:dyDescent="0.35">
      <c r="A595" s="480">
        <v>42766</v>
      </c>
      <c r="B595" s="426" t="s">
        <v>3599</v>
      </c>
      <c r="C595" s="426" t="s">
        <v>2849</v>
      </c>
      <c r="D595" s="468" t="s">
        <v>3597</v>
      </c>
      <c r="E595" s="435">
        <v>12</v>
      </c>
      <c r="G595" s="426" t="s">
        <v>163</v>
      </c>
    </row>
    <row r="596" spans="1:7" ht="13.5" customHeight="1" x14ac:dyDescent="0.35">
      <c r="A596" s="480">
        <v>42762</v>
      </c>
      <c r="B596" s="426" t="s">
        <v>3600</v>
      </c>
      <c r="C596" s="426" t="s">
        <v>2849</v>
      </c>
      <c r="D596" s="468" t="s">
        <v>3597</v>
      </c>
      <c r="E596" s="435">
        <v>12</v>
      </c>
      <c r="F596" s="464"/>
      <c r="G596" s="426" t="s">
        <v>163</v>
      </c>
    </row>
    <row r="597" spans="1:7" ht="13.5" customHeight="1" x14ac:dyDescent="0.35">
      <c r="A597" s="480">
        <v>42762</v>
      </c>
      <c r="B597" s="426" t="s">
        <v>3601</v>
      </c>
      <c r="C597" s="426" t="s">
        <v>2849</v>
      </c>
      <c r="D597" s="468" t="s">
        <v>159</v>
      </c>
      <c r="E597" s="435">
        <v>30</v>
      </c>
      <c r="F597" s="464"/>
      <c r="G597" s="426" t="s">
        <v>174</v>
      </c>
    </row>
    <row r="598" spans="1:7" ht="13.5" customHeight="1" x14ac:dyDescent="0.35">
      <c r="A598" s="480">
        <v>42762</v>
      </c>
      <c r="B598" s="426" t="s">
        <v>3602</v>
      </c>
      <c r="C598" s="426" t="s">
        <v>2849</v>
      </c>
      <c r="D598" s="468" t="s">
        <v>3597</v>
      </c>
      <c r="E598" s="435">
        <v>12</v>
      </c>
      <c r="G598" s="426" t="s">
        <v>163</v>
      </c>
    </row>
    <row r="599" spans="1:7" ht="13.5" customHeight="1" x14ac:dyDescent="0.35">
      <c r="A599" s="480">
        <v>42761</v>
      </c>
      <c r="B599" s="426" t="s">
        <v>3586</v>
      </c>
      <c r="C599" s="426" t="s">
        <v>2850</v>
      </c>
      <c r="D599" s="468" t="s">
        <v>3603</v>
      </c>
      <c r="E599" s="435">
        <v>50</v>
      </c>
      <c r="F599" s="464"/>
      <c r="G599" s="426" t="s">
        <v>174</v>
      </c>
    </row>
    <row r="600" spans="1:7" ht="13.5" customHeight="1" x14ac:dyDescent="0.35">
      <c r="A600" s="480">
        <v>42760</v>
      </c>
      <c r="B600" s="426" t="s">
        <v>3604</v>
      </c>
      <c r="C600" s="426" t="s">
        <v>941</v>
      </c>
      <c r="D600" s="468" t="s">
        <v>3603</v>
      </c>
      <c r="E600" s="435">
        <v>95</v>
      </c>
      <c r="G600" s="426" t="s">
        <v>174</v>
      </c>
    </row>
    <row r="601" spans="1:7" ht="13.5" customHeight="1" x14ac:dyDescent="0.35">
      <c r="A601" s="480">
        <v>42760</v>
      </c>
      <c r="B601" s="426" t="s">
        <v>3565</v>
      </c>
      <c r="C601" s="426" t="s">
        <v>2849</v>
      </c>
      <c r="D601" s="468" t="s">
        <v>159</v>
      </c>
      <c r="E601" s="435">
        <v>15</v>
      </c>
      <c r="F601" s="464"/>
      <c r="G601" s="426" t="s">
        <v>174</v>
      </c>
    </row>
    <row r="602" spans="1:7" ht="13.5" customHeight="1" x14ac:dyDescent="0.35">
      <c r="A602" s="480">
        <v>42760</v>
      </c>
      <c r="B602" s="426" t="s">
        <v>3605</v>
      </c>
      <c r="C602" s="426" t="s">
        <v>2849</v>
      </c>
      <c r="D602" s="468" t="s">
        <v>159</v>
      </c>
      <c r="E602" s="435">
        <v>30</v>
      </c>
      <c r="F602" s="464"/>
      <c r="G602" s="426" t="s">
        <v>174</v>
      </c>
    </row>
    <row r="603" spans="1:7" ht="13.5" customHeight="1" x14ac:dyDescent="0.35">
      <c r="A603" s="480">
        <v>42760</v>
      </c>
      <c r="B603" s="426" t="s">
        <v>3606</v>
      </c>
      <c r="C603" s="426" t="s">
        <v>2849</v>
      </c>
      <c r="D603" s="468" t="s">
        <v>159</v>
      </c>
      <c r="E603" s="435">
        <v>30</v>
      </c>
      <c r="F603" s="464"/>
      <c r="G603" s="426" t="s">
        <v>174</v>
      </c>
    </row>
    <row r="604" spans="1:7" ht="13.5" customHeight="1" x14ac:dyDescent="0.35">
      <c r="A604" s="480">
        <v>42760</v>
      </c>
      <c r="B604" s="426" t="s">
        <v>3607</v>
      </c>
      <c r="C604" s="426" t="s">
        <v>2849</v>
      </c>
      <c r="D604" s="468" t="s">
        <v>159</v>
      </c>
      <c r="E604" s="435">
        <v>30</v>
      </c>
      <c r="F604" s="464"/>
      <c r="G604" s="426" t="s">
        <v>174</v>
      </c>
    </row>
    <row r="605" spans="1:7" ht="13.5" customHeight="1" x14ac:dyDescent="0.35">
      <c r="A605" s="480">
        <v>42760</v>
      </c>
      <c r="B605" s="426" t="s">
        <v>3135</v>
      </c>
      <c r="C605" s="426" t="s">
        <v>2849</v>
      </c>
      <c r="D605" s="468" t="s">
        <v>3597</v>
      </c>
      <c r="E605" s="435">
        <v>12</v>
      </c>
      <c r="F605" s="464"/>
      <c r="G605" s="426" t="s">
        <v>163</v>
      </c>
    </row>
    <row r="606" spans="1:7" ht="13.5" customHeight="1" x14ac:dyDescent="0.35">
      <c r="A606" s="480">
        <v>42752</v>
      </c>
      <c r="B606" s="426" t="s">
        <v>3608</v>
      </c>
      <c r="C606" s="426" t="s">
        <v>2849</v>
      </c>
      <c r="D606" s="468" t="s">
        <v>159</v>
      </c>
      <c r="E606" s="435">
        <v>250</v>
      </c>
      <c r="F606" s="426" t="s">
        <v>3582</v>
      </c>
      <c r="G606" s="426" t="s">
        <v>174</v>
      </c>
    </row>
    <row r="607" spans="1:7" ht="13.5" customHeight="1" x14ac:dyDescent="0.35">
      <c r="A607" s="480">
        <v>42749</v>
      </c>
      <c r="B607" s="426" t="s">
        <v>3609</v>
      </c>
      <c r="C607" s="426" t="s">
        <v>2850</v>
      </c>
      <c r="D607" s="468" t="s">
        <v>162</v>
      </c>
      <c r="E607" s="435">
        <v>243.5</v>
      </c>
      <c r="F607" s="426" t="s">
        <v>3610</v>
      </c>
      <c r="G607" s="426" t="s">
        <v>175</v>
      </c>
    </row>
    <row r="608" spans="1:7" ht="13.5" customHeight="1" x14ac:dyDescent="0.35">
      <c r="A608" s="480">
        <v>42748</v>
      </c>
      <c r="B608" s="426" t="s">
        <v>3611</v>
      </c>
      <c r="C608" s="426" t="s">
        <v>2849</v>
      </c>
      <c r="D608" s="468" t="s">
        <v>162</v>
      </c>
      <c r="E608" s="435">
        <v>200</v>
      </c>
      <c r="F608" s="464"/>
      <c r="G608" s="426" t="s">
        <v>175</v>
      </c>
    </row>
    <row r="609" spans="1:7" ht="13.5" customHeight="1" x14ac:dyDescent="0.35">
      <c r="A609" s="480">
        <v>42746</v>
      </c>
      <c r="B609" s="426" t="s">
        <v>3612</v>
      </c>
      <c r="C609" s="426" t="s">
        <v>2850</v>
      </c>
      <c r="D609" s="468" t="s">
        <v>159</v>
      </c>
      <c r="E609" s="435">
        <v>59</v>
      </c>
      <c r="F609" s="426" t="s">
        <v>3613</v>
      </c>
      <c r="G609" s="426" t="s">
        <v>177</v>
      </c>
    </row>
    <row r="610" spans="1:7" ht="13.5" customHeight="1" x14ac:dyDescent="0.35">
      <c r="A610" s="480">
        <v>42746</v>
      </c>
      <c r="B610" s="426" t="s">
        <v>3614</v>
      </c>
      <c r="C610" s="426" t="s">
        <v>2849</v>
      </c>
      <c r="D610" s="468" t="s">
        <v>159</v>
      </c>
      <c r="E610" s="435">
        <v>215</v>
      </c>
      <c r="F610" s="426" t="s">
        <v>3615</v>
      </c>
      <c r="G610" s="426" t="s">
        <v>175</v>
      </c>
    </row>
    <row r="611" spans="1:7" ht="13.5" customHeight="1" x14ac:dyDescent="0.35">
      <c r="A611" s="480">
        <v>42743</v>
      </c>
      <c r="B611" s="426" t="s">
        <v>3616</v>
      </c>
      <c r="C611" s="426" t="s">
        <v>2849</v>
      </c>
      <c r="D611" s="468" t="s">
        <v>3595</v>
      </c>
      <c r="E611" s="435">
        <v>265</v>
      </c>
      <c r="G611" s="426" t="s">
        <v>174</v>
      </c>
    </row>
    <row r="612" spans="1:7" ht="13.5" customHeight="1" x14ac:dyDescent="0.35">
      <c r="A612" s="480">
        <v>42743</v>
      </c>
      <c r="B612" s="426" t="s">
        <v>3617</v>
      </c>
      <c r="C612" s="426" t="s">
        <v>2849</v>
      </c>
      <c r="D612" s="468" t="s">
        <v>159</v>
      </c>
      <c r="E612" s="435">
        <v>60</v>
      </c>
      <c r="G612" s="426" t="s">
        <v>174</v>
      </c>
    </row>
    <row r="613" spans="1:7" ht="13.5" customHeight="1" x14ac:dyDescent="0.35">
      <c r="A613" s="480">
        <v>42742</v>
      </c>
      <c r="B613" s="426" t="s">
        <v>3618</v>
      </c>
      <c r="C613" s="426" t="s">
        <v>2849</v>
      </c>
      <c r="D613" s="468" t="s">
        <v>159</v>
      </c>
      <c r="E613" s="435">
        <v>30</v>
      </c>
      <c r="G613" s="426" t="s">
        <v>174</v>
      </c>
    </row>
    <row r="614" spans="1:7" ht="13.5" customHeight="1" x14ac:dyDescent="0.35">
      <c r="A614" s="480">
        <v>42742</v>
      </c>
      <c r="B614" s="426" t="s">
        <v>3619</v>
      </c>
      <c r="C614" s="426" t="s">
        <v>2850</v>
      </c>
      <c r="D614" s="468" t="s">
        <v>159</v>
      </c>
      <c r="E614" s="435">
        <v>60</v>
      </c>
      <c r="G614" s="426" t="s">
        <v>174</v>
      </c>
    </row>
    <row r="615" spans="1:7" ht="13.5" customHeight="1" x14ac:dyDescent="0.35">
      <c r="A615" s="480">
        <v>42740</v>
      </c>
      <c r="B615" s="426" t="s">
        <v>3620</v>
      </c>
      <c r="C615" s="426" t="s">
        <v>2849</v>
      </c>
      <c r="D615" s="468" t="s">
        <v>3595</v>
      </c>
      <c r="E615" s="435">
        <v>25</v>
      </c>
      <c r="F615" s="426" t="s">
        <v>3621</v>
      </c>
      <c r="G615" s="426" t="s">
        <v>174</v>
      </c>
    </row>
    <row r="616" spans="1:7" ht="13.5" customHeight="1" x14ac:dyDescent="0.35">
      <c r="A616" s="480">
        <v>42739</v>
      </c>
      <c r="B616" s="426" t="s">
        <v>2424</v>
      </c>
      <c r="C616" s="426" t="s">
        <v>2849</v>
      </c>
      <c r="D616" s="468" t="s">
        <v>3529</v>
      </c>
      <c r="E616" s="435">
        <v>135</v>
      </c>
      <c r="F616" s="426" t="s">
        <v>3622</v>
      </c>
      <c r="G616" s="426" t="s">
        <v>175</v>
      </c>
    </row>
    <row r="617" spans="1:7" ht="13.5" customHeight="1" x14ac:dyDescent="0.35">
      <c r="A617" s="480">
        <v>42739</v>
      </c>
      <c r="B617" s="426" t="s">
        <v>3623</v>
      </c>
      <c r="C617" s="426" t="s">
        <v>941</v>
      </c>
      <c r="D617" s="468" t="s">
        <v>3603</v>
      </c>
      <c r="E617" s="435">
        <v>145</v>
      </c>
      <c r="F617" s="426" t="s">
        <v>3621</v>
      </c>
      <c r="G617" s="426" t="s">
        <v>174</v>
      </c>
    </row>
    <row r="618" spans="1:7" ht="13.5" customHeight="1" x14ac:dyDescent="0.35">
      <c r="A618" s="480">
        <v>42738</v>
      </c>
      <c r="B618" s="426" t="s">
        <v>3624</v>
      </c>
      <c r="C618" s="426" t="s">
        <v>2849</v>
      </c>
      <c r="D618" s="468" t="s">
        <v>3529</v>
      </c>
      <c r="E618" s="435">
        <v>25</v>
      </c>
      <c r="F618" s="426" t="s">
        <v>3621</v>
      </c>
      <c r="G618" s="426" t="s">
        <v>174</v>
      </c>
    </row>
    <row r="619" spans="1:7" ht="13.5" customHeight="1" x14ac:dyDescent="0.35">
      <c r="A619" s="480">
        <v>42738</v>
      </c>
      <c r="B619" s="426" t="s">
        <v>3625</v>
      </c>
      <c r="C619" s="426" t="s">
        <v>2849</v>
      </c>
      <c r="D619" s="468" t="s">
        <v>3603</v>
      </c>
      <c r="E619" s="435">
        <v>400</v>
      </c>
      <c r="F619" s="426" t="s">
        <v>3621</v>
      </c>
      <c r="G619" s="426" t="s">
        <v>174</v>
      </c>
    </row>
    <row r="620" spans="1:7" ht="13.5" customHeight="1" x14ac:dyDescent="0.35">
      <c r="A620" s="480">
        <v>42736</v>
      </c>
      <c r="B620" s="426" t="s">
        <v>292</v>
      </c>
      <c r="C620" s="426" t="s">
        <v>2852</v>
      </c>
      <c r="D620" s="468" t="s">
        <v>161</v>
      </c>
      <c r="E620" s="435">
        <v>120</v>
      </c>
      <c r="G620" s="426" t="s">
        <v>175</v>
      </c>
    </row>
    <row r="621" spans="1:7" ht="13.5" customHeight="1" x14ac:dyDescent="0.35">
      <c r="A621" s="480">
        <v>42736</v>
      </c>
      <c r="B621" s="426" t="s">
        <v>3228</v>
      </c>
      <c r="C621" s="426" t="s">
        <v>2853</v>
      </c>
      <c r="D621" s="468" t="s">
        <v>3529</v>
      </c>
      <c r="E621" s="435">
        <v>30</v>
      </c>
      <c r="F621" s="426" t="s">
        <v>3621</v>
      </c>
      <c r="G621" s="426" t="s">
        <v>175</v>
      </c>
    </row>
    <row r="622" spans="1:7" ht="13.5" customHeight="1" x14ac:dyDescent="0.35">
      <c r="A622" s="480">
        <v>42736</v>
      </c>
      <c r="B622" s="426" t="s">
        <v>3626</v>
      </c>
      <c r="C622" s="426" t="s">
        <v>2851</v>
      </c>
      <c r="D622" s="468" t="s">
        <v>161</v>
      </c>
      <c r="E622" s="435">
        <f>459-120</f>
        <v>339</v>
      </c>
      <c r="G622" s="426" t="s">
        <v>175</v>
      </c>
    </row>
    <row r="623" spans="1:7" ht="13.5" customHeight="1" x14ac:dyDescent="0.35">
      <c r="A623" s="480">
        <v>42736</v>
      </c>
      <c r="B623" s="426" t="s">
        <v>3217</v>
      </c>
      <c r="C623" s="426" t="s">
        <v>2852</v>
      </c>
      <c r="D623" s="468" t="s">
        <v>3595</v>
      </c>
      <c r="E623" s="435">
        <v>200</v>
      </c>
      <c r="F623" s="426" t="s">
        <v>3621</v>
      </c>
      <c r="G623" s="426" t="s">
        <v>175</v>
      </c>
    </row>
    <row r="626" spans="2:5" ht="13.15" customHeight="1" x14ac:dyDescent="0.4">
      <c r="B626" s="459" t="s">
        <v>5</v>
      </c>
      <c r="C626" s="459"/>
      <c r="E626" s="483">
        <f>SUM(E60:E625)</f>
        <v>76668.170000000013</v>
      </c>
    </row>
  </sheetData>
  <conditionalFormatting sqref="V2 V17:V22 V52 V59:V69 V79 V84 V94:V259 V261:V533">
    <cfRule type="cellIs" dxfId="841" priority="195" operator="lessThan">
      <formula>0</formula>
    </cfRule>
  </conditionalFormatting>
  <conditionalFormatting sqref="V15">
    <cfRule type="cellIs" dxfId="840" priority="194" operator="lessThan">
      <formula>0</formula>
    </cfRule>
  </conditionalFormatting>
  <conditionalFormatting sqref="V3:V7">
    <cfRule type="cellIs" dxfId="839" priority="27" operator="lessThan">
      <formula>0</formula>
    </cfRule>
    <cfRule type="cellIs" dxfId="838" priority="47" operator="lessThan">
      <formula>0</formula>
    </cfRule>
    <cfRule type="cellIs" dxfId="837" priority="147" operator="lessThan">
      <formula>0</formula>
    </cfRule>
    <cfRule type="cellIs" dxfId="836" priority="178" operator="lessThan">
      <formula>0</formula>
    </cfRule>
    <cfRule type="cellIs" dxfId="835" priority="182" operator="lessThan">
      <formula>0</formula>
    </cfRule>
    <cfRule type="cellIs" dxfId="834" priority="189" operator="lessThan">
      <formula>0</formula>
    </cfRule>
    <cfRule type="cellIs" dxfId="833" priority="192" operator="lessThan">
      <formula>0</formula>
    </cfRule>
  </conditionalFormatting>
  <conditionalFormatting sqref="V16">
    <cfRule type="cellIs" dxfId="832" priority="193" operator="lessThan">
      <formula>0</formula>
    </cfRule>
  </conditionalFormatting>
  <conditionalFormatting sqref="V8 V10">
    <cfRule type="cellIs" dxfId="831" priority="174" operator="lessThan">
      <formula>0</formula>
    </cfRule>
    <cfRule type="cellIs" dxfId="830" priority="175" operator="lessThan">
      <formula>0</formula>
    </cfRule>
    <cfRule type="cellIs" dxfId="829" priority="176" operator="lessThan">
      <formula>0</formula>
    </cfRule>
    <cfRule type="cellIs" dxfId="828" priority="177" operator="lessThan">
      <formula>0</formula>
    </cfRule>
    <cfRule type="cellIs" dxfId="827" priority="191" operator="lessThan">
      <formula>0</formula>
    </cfRule>
  </conditionalFormatting>
  <conditionalFormatting sqref="V2:V8 V10">
    <cfRule type="cellIs" dxfId="826" priority="190" operator="greaterThan">
      <formula>0</formula>
    </cfRule>
  </conditionalFormatting>
  <conditionalFormatting sqref="H20">
    <cfRule type="cellIs" dxfId="825" priority="187" operator="greaterThan">
      <formula>0</formula>
    </cfRule>
    <cfRule type="cellIs" dxfId="824" priority="188" operator="lessThan">
      <formula>0</formula>
    </cfRule>
  </conditionalFormatting>
  <conditionalFormatting sqref="W2">
    <cfRule type="cellIs" dxfId="823" priority="185" operator="greaterThan">
      <formula>0</formula>
    </cfRule>
    <cfRule type="cellIs" dxfId="822" priority="186" operator="lessThan">
      <formula>0</formula>
    </cfRule>
  </conditionalFormatting>
  <conditionalFormatting sqref="X2">
    <cfRule type="cellIs" dxfId="821" priority="183" operator="greaterThan">
      <formula>0</formula>
    </cfRule>
    <cfRule type="cellIs" dxfId="820" priority="184" operator="lessThan">
      <formula>0</formula>
    </cfRule>
  </conditionalFormatting>
  <conditionalFormatting sqref="Z2:Z8">
    <cfRule type="cellIs" dxfId="819" priority="180" operator="lessThan">
      <formula>0</formula>
    </cfRule>
    <cfRule type="cellIs" dxfId="818" priority="181" operator="greaterThan">
      <formula>0</formula>
    </cfRule>
  </conditionalFormatting>
  <conditionalFormatting sqref="V3:V8 V10">
    <cfRule type="cellIs" dxfId="817" priority="179" operator="lessThan">
      <formula>0</formula>
    </cfRule>
  </conditionalFormatting>
  <conditionalFormatting sqref="W10">
    <cfRule type="cellIs" dxfId="816" priority="160" operator="greaterThan">
      <formula>0</formula>
    </cfRule>
    <cfRule type="cellIs" dxfId="815" priority="161" operator="lessThan">
      <formula>0</formula>
    </cfRule>
  </conditionalFormatting>
  <conditionalFormatting sqref="V8">
    <cfRule type="cellIs" dxfId="814" priority="26" operator="lessThan">
      <formula>0</formula>
    </cfRule>
    <cfRule type="cellIs" dxfId="813" priority="41" operator="lessThan">
      <formula>0</formula>
    </cfRule>
    <cfRule type="cellIs" dxfId="812" priority="42" operator="lessThan">
      <formula>0</formula>
    </cfRule>
    <cfRule type="cellIs" dxfId="811" priority="43" operator="lessThan">
      <formula>0</formula>
    </cfRule>
    <cfRule type="cellIs" dxfId="810" priority="44" operator="lessThan">
      <formula>0</formula>
    </cfRule>
    <cfRule type="cellIs" dxfId="809" priority="45" operator="lessThan">
      <formula>0</formula>
    </cfRule>
    <cfRule type="cellIs" dxfId="808" priority="46" operator="lessThan">
      <formula>0</formula>
    </cfRule>
    <cfRule type="cellIs" dxfId="807" priority="142" operator="lessThan">
      <formula>0</formula>
    </cfRule>
    <cfRule type="cellIs" dxfId="806" priority="143" operator="lessThan">
      <formula>0</formula>
    </cfRule>
    <cfRule type="cellIs" dxfId="805" priority="144" operator="lessThan">
      <formula>0</formula>
    </cfRule>
    <cfRule type="cellIs" dxfId="804" priority="145" operator="lessThan">
      <formula>0</formula>
    </cfRule>
    <cfRule type="cellIs" dxfId="803" priority="146" operator="lessThan">
      <formula>0</formula>
    </cfRule>
  </conditionalFormatting>
  <conditionalFormatting sqref="V3:V8">
    <cfRule type="cellIs" dxfId="802" priority="18" operator="lessThan">
      <formula>0</formula>
    </cfRule>
    <cfRule type="cellIs" dxfId="801" priority="128" operator="lessThan">
      <formula>0</formula>
    </cfRule>
  </conditionalFormatting>
  <conditionalFormatting sqref="W8">
    <cfRule type="cellIs" dxfId="800" priority="124" operator="greaterThan">
      <formula>0</formula>
    </cfRule>
    <cfRule type="cellIs" dxfId="799" priority="125" operator="lessThan">
      <formula>0</formula>
    </cfRule>
  </conditionalFormatting>
  <conditionalFormatting sqref="I9:U9">
    <cfRule type="cellIs" dxfId="798" priority="97" operator="greaterThan">
      <formula>0.8</formula>
    </cfRule>
    <cfRule type="cellIs" dxfId="797" priority="98" operator="between">
      <formula>0.51</formula>
      <formula>0.8</formula>
    </cfRule>
    <cfRule type="cellIs" dxfId="796" priority="99" operator="lessThan">
      <formula>0.5</formula>
    </cfRule>
  </conditionalFormatting>
  <conditionalFormatting sqref="V71 V78">
    <cfRule type="cellIs" dxfId="795" priority="96" operator="lessThan">
      <formula>0</formula>
    </cfRule>
  </conditionalFormatting>
  <conditionalFormatting sqref="V81:V83">
    <cfRule type="cellIs" dxfId="794" priority="94" operator="lessThan">
      <formula>0</formula>
    </cfRule>
  </conditionalFormatting>
  <conditionalFormatting sqref="W3:W7">
    <cfRule type="cellIs" dxfId="793" priority="92" operator="greaterThan">
      <formula>0</formula>
    </cfRule>
    <cfRule type="cellIs" dxfId="792" priority="93" operator="lessThan">
      <formula>0</formula>
    </cfRule>
  </conditionalFormatting>
  <conditionalFormatting sqref="W11:W12">
    <cfRule type="cellIs" dxfId="791" priority="28" operator="greaterThan">
      <formula>0</formula>
    </cfRule>
    <cfRule type="cellIs" dxfId="790" priority="29" operator="lessThan">
      <formula>0</formula>
    </cfRule>
  </conditionalFormatting>
  <conditionalFormatting sqref="V11:V12">
    <cfRule type="cellIs" dxfId="789" priority="9" operator="lessThan">
      <formula>0</formula>
    </cfRule>
    <cfRule type="cellIs" dxfId="788" priority="10" operator="lessThan">
      <formula>0</formula>
    </cfRule>
    <cfRule type="cellIs" dxfId="787" priority="11" operator="lessThan">
      <formula>0</formula>
    </cfRule>
    <cfRule type="cellIs" dxfId="786" priority="12" operator="lessThan">
      <formula>0</formula>
    </cfRule>
    <cfRule type="cellIs" dxfId="785" priority="13" operator="lessThan">
      <formula>0</formula>
    </cfRule>
    <cfRule type="cellIs" dxfId="784" priority="14" operator="greaterThan">
      <formula>0</formula>
    </cfRule>
    <cfRule type="cellIs" dxfId="783" priority="15" operator="lessThan">
      <formula>0</formula>
    </cfRule>
  </conditionalFormatting>
  <conditionalFormatting sqref="X3:X8">
    <cfRule type="cellIs" dxfId="782" priority="16" operator="greaterThan">
      <formula>0</formula>
    </cfRule>
    <cfRule type="cellIs" dxfId="781" priority="17" operator="lessThan">
      <formula>0</formula>
    </cfRule>
  </conditionalFormatting>
  <conditionalFormatting sqref="V53:V58">
    <cfRule type="cellIs" dxfId="780" priority="8" operator="lessThan">
      <formula>0</formula>
    </cfRule>
  </conditionalFormatting>
  <conditionalFormatting sqref="V72:V77">
    <cfRule type="cellIs" dxfId="779" priority="7" operator="lessThan">
      <formula>0</formula>
    </cfRule>
  </conditionalFormatting>
  <conditionalFormatting sqref="X43:X49">
    <cfRule type="cellIs" dxfId="778" priority="5" operator="lessThan">
      <formula>0</formula>
    </cfRule>
    <cfRule type="cellIs" dxfId="777" priority="6" operator="greaterThan">
      <formula>0</formula>
    </cfRule>
  </conditionalFormatting>
  <conditionalFormatting sqref="V86:V87">
    <cfRule type="cellIs" dxfId="776" priority="4" operator="lessThan">
      <formula>0</formula>
    </cfRule>
  </conditionalFormatting>
  <conditionalFormatting sqref="V88:V89">
    <cfRule type="cellIs" dxfId="775" priority="3" operator="lessThan">
      <formula>0</formula>
    </cfRule>
  </conditionalFormatting>
  <conditionalFormatting sqref="V91:V92">
    <cfRule type="cellIs" dxfId="774" priority="2" operator="lessThan">
      <formula>0</formula>
    </cfRule>
  </conditionalFormatting>
  <conditionalFormatting sqref="V93">
    <cfRule type="cellIs" dxfId="773" priority="1" operator="lessThan">
      <formula>0</formula>
    </cfRule>
  </conditionalFormatting>
  <dataValidations count="1">
    <dataValidation type="list" allowBlank="1" showInputMessage="1" showErrorMessage="1" sqref="C2:C10 C12:C15 C17:C22 C24 C30:C53 C55:C56 C105:C141 C143:C188 C190:C248 C251 C253:C308 C315:C346 C349:C374 C376:C384 C386:C413 C415:C418 C421:C425 C427 C429:C430 C432:C454 C456:C490 C493:C504 C506:C535 C537:C589 C592:C626" xr:uid="{00000000-0002-0000-1000-000000000000}">
      <formula1>$G$1:$G$16</formula1>
    </dataValidation>
  </dataValidations>
  <pageMargins left="0.25" right="0.25" top="0.75" bottom="0.75" header="0.3" footer="0.3"/>
  <pageSetup paperSize="9" scale="10"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2:I18"/>
  <sheetViews>
    <sheetView workbookViewId="0">
      <selection activeCell="D32" sqref="D32"/>
    </sheetView>
  </sheetViews>
  <sheetFormatPr defaultRowHeight="12.75" x14ac:dyDescent="0.35"/>
  <cols>
    <col min="2" max="2" width="55.6640625" style="1205" bestFit="1" customWidth="1"/>
    <col min="4" max="4" width="73" style="1205" bestFit="1" customWidth="1"/>
    <col min="5" max="5" width="11.53125" style="1205" customWidth="1"/>
    <col min="7" max="7" width="73" style="1205" bestFit="1" customWidth="1"/>
    <col min="9" max="9" width="10" style="1205" bestFit="1" customWidth="1"/>
  </cols>
  <sheetData>
    <row r="2" spans="2:9" ht="13.15" customHeight="1" x14ac:dyDescent="0.4">
      <c r="B2" s="647" t="s">
        <v>3627</v>
      </c>
      <c r="D2" s="647" t="s">
        <v>3628</v>
      </c>
      <c r="E2" s="647" t="s">
        <v>509</v>
      </c>
      <c r="F2" s="647" t="s">
        <v>3629</v>
      </c>
      <c r="G2" s="647" t="s">
        <v>3630</v>
      </c>
      <c r="H2" s="647" t="s">
        <v>509</v>
      </c>
      <c r="I2" s="647" t="s">
        <v>3629</v>
      </c>
    </row>
    <row r="4" spans="2:9" ht="13.15" customHeight="1" x14ac:dyDescent="0.4">
      <c r="B4" s="295" t="s">
        <v>3631</v>
      </c>
      <c r="C4">
        <v>450</v>
      </c>
      <c r="D4" s="295" t="s">
        <v>3632</v>
      </c>
      <c r="E4" s="295"/>
      <c r="F4">
        <f>12*60</f>
        <v>720</v>
      </c>
      <c r="G4" s="295" t="s">
        <v>3633</v>
      </c>
      <c r="H4" s="295"/>
      <c r="I4" s="647">
        <v>1200</v>
      </c>
    </row>
    <row r="6" spans="2:9" x14ac:dyDescent="0.35">
      <c r="B6" s="295" t="s">
        <v>3634</v>
      </c>
      <c r="C6">
        <f>12*50</f>
        <v>600</v>
      </c>
      <c r="D6" s="295" t="s">
        <v>3635</v>
      </c>
      <c r="E6" s="295">
        <f>12*50</f>
        <v>600</v>
      </c>
      <c r="G6" s="295" t="s">
        <v>3635</v>
      </c>
      <c r="H6" s="295">
        <v>450</v>
      </c>
    </row>
    <row r="7" spans="2:9" x14ac:dyDescent="0.35">
      <c r="D7" s="295" t="s">
        <v>3636</v>
      </c>
      <c r="E7">
        <f>29*4</f>
        <v>116</v>
      </c>
      <c r="G7" s="295" t="s">
        <v>3636</v>
      </c>
      <c r="H7">
        <f>29*4</f>
        <v>116</v>
      </c>
    </row>
    <row r="8" spans="2:9" x14ac:dyDescent="0.35">
      <c r="B8" t="s">
        <v>3637</v>
      </c>
      <c r="C8">
        <v>29</v>
      </c>
    </row>
    <row r="9" spans="2:9" x14ac:dyDescent="0.35">
      <c r="D9" s="295" t="s">
        <v>3638</v>
      </c>
      <c r="E9">
        <v>30</v>
      </c>
      <c r="G9" s="295" t="s">
        <v>3638</v>
      </c>
      <c r="H9" s="295" t="s">
        <v>3639</v>
      </c>
    </row>
    <row r="10" spans="2:9" x14ac:dyDescent="0.35">
      <c r="D10" s="295" t="s">
        <v>413</v>
      </c>
      <c r="E10">
        <v>20</v>
      </c>
      <c r="G10" s="295" t="s">
        <v>413</v>
      </c>
      <c r="H10" s="295" t="s">
        <v>3639</v>
      </c>
    </row>
    <row r="11" spans="2:9" x14ac:dyDescent="0.35">
      <c r="D11" s="295" t="s">
        <v>3640</v>
      </c>
      <c r="E11">
        <v>25</v>
      </c>
      <c r="G11" s="295" t="s">
        <v>3640</v>
      </c>
      <c r="H11" s="295" t="s">
        <v>3639</v>
      </c>
    </row>
    <row r="12" spans="2:9" x14ac:dyDescent="0.35">
      <c r="D12" s="1035" t="s">
        <v>3641</v>
      </c>
      <c r="G12" s="1035" t="s">
        <v>3641</v>
      </c>
      <c r="H12" s="295" t="s">
        <v>3639</v>
      </c>
    </row>
    <row r="14" spans="2:9" x14ac:dyDescent="0.35">
      <c r="E14" s="295" t="s">
        <v>3642</v>
      </c>
      <c r="H14" s="295" t="s">
        <v>3642</v>
      </c>
    </row>
    <row r="15" spans="2:9" ht="13.15" customHeight="1" x14ac:dyDescent="0.4">
      <c r="E15" s="647">
        <f>SUM(E6:E14)</f>
        <v>791</v>
      </c>
      <c r="H15" s="647">
        <f>SUM(H6:H14)</f>
        <v>566</v>
      </c>
    </row>
    <row r="17" spans="7:9" ht="13.15" customHeight="1" x14ac:dyDescent="0.4">
      <c r="G17" s="647" t="s">
        <v>3643</v>
      </c>
      <c r="I17" s="647">
        <f>I4-H15</f>
        <v>634</v>
      </c>
    </row>
    <row r="18" spans="7:9" x14ac:dyDescent="0.35">
      <c r="G18" s="295" t="s">
        <v>3644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F2:N41"/>
  <sheetViews>
    <sheetView zoomScale="150" zoomScaleNormal="150" workbookViewId="0">
      <selection activeCell="I29" sqref="I29"/>
    </sheetView>
  </sheetViews>
  <sheetFormatPr defaultRowHeight="12.75" x14ac:dyDescent="0.35"/>
  <cols>
    <col min="6" max="6" width="22.86328125" style="1205" bestFit="1" customWidth="1"/>
    <col min="7" max="7" width="10" style="1205" bestFit="1" customWidth="1"/>
    <col min="9" max="9" width="21.59765625" style="1205" customWidth="1"/>
  </cols>
  <sheetData>
    <row r="2" spans="6:9" ht="13.15" customHeight="1" x14ac:dyDescent="0.4">
      <c r="F2" s="647" t="s">
        <v>3645</v>
      </c>
      <c r="G2" s="647" t="s">
        <v>3646</v>
      </c>
      <c r="H2" s="647" t="s">
        <v>3647</v>
      </c>
      <c r="I2" s="647" t="s">
        <v>3648</v>
      </c>
    </row>
    <row r="3" spans="6:9" ht="13.15" customHeight="1" x14ac:dyDescent="0.4">
      <c r="F3" s="647" t="s">
        <v>3649</v>
      </c>
    </row>
    <row r="4" spans="6:9" x14ac:dyDescent="0.35">
      <c r="F4" s="295" t="s">
        <v>3650</v>
      </c>
      <c r="G4" s="1177">
        <v>579</v>
      </c>
      <c r="H4" s="1177">
        <f>G4/4</f>
        <v>144.75</v>
      </c>
    </row>
    <row r="5" spans="6:9" x14ac:dyDescent="0.35">
      <c r="F5" s="295" t="s">
        <v>3651</v>
      </c>
      <c r="G5" s="1177">
        <v>768</v>
      </c>
      <c r="H5" s="1177">
        <f>G5/4</f>
        <v>192</v>
      </c>
    </row>
    <row r="6" spans="6:9" x14ac:dyDescent="0.35">
      <c r="F6" s="295" t="s">
        <v>8503</v>
      </c>
      <c r="G6" s="1177">
        <v>540</v>
      </c>
      <c r="H6" s="1177">
        <f>G6/4</f>
        <v>135</v>
      </c>
      <c r="I6" s="295" t="s">
        <v>3652</v>
      </c>
    </row>
    <row r="7" spans="6:9" x14ac:dyDescent="0.35">
      <c r="F7" s="295" t="s">
        <v>3653</v>
      </c>
      <c r="G7" s="1177"/>
      <c r="H7" s="1177">
        <f>G7/4</f>
        <v>0</v>
      </c>
      <c r="I7" s="295" t="s">
        <v>3654</v>
      </c>
    </row>
    <row r="8" spans="6:9" ht="13.5" customHeight="1" thickBot="1" x14ac:dyDescent="0.45">
      <c r="G8" s="1207">
        <f>SUM(G4:G7)</f>
        <v>1887</v>
      </c>
      <c r="H8" s="1008">
        <f>G8/4</f>
        <v>471.75</v>
      </c>
    </row>
    <row r="9" spans="6:9" ht="13.15" customHeight="1" x14ac:dyDescent="0.4">
      <c r="G9" s="997"/>
      <c r="H9" s="997"/>
    </row>
    <row r="10" spans="6:9" ht="13.15" customHeight="1" x14ac:dyDescent="0.4">
      <c r="F10" s="647" t="s">
        <v>3655</v>
      </c>
    </row>
    <row r="11" spans="6:9" x14ac:dyDescent="0.35">
      <c r="F11" s="295" t="s">
        <v>3656</v>
      </c>
      <c r="G11" s="1177">
        <v>850</v>
      </c>
      <c r="H11" s="1177">
        <f t="shared" ref="H11:H16" si="0">G11/4</f>
        <v>212.5</v>
      </c>
    </row>
    <row r="12" spans="6:9" x14ac:dyDescent="0.35">
      <c r="F12" s="295" t="s">
        <v>3657</v>
      </c>
      <c r="G12" s="1177">
        <v>20</v>
      </c>
      <c r="H12" s="1177">
        <f t="shared" si="0"/>
        <v>5</v>
      </c>
      <c r="I12" s="295" t="s">
        <v>3658</v>
      </c>
    </row>
    <row r="13" spans="6:9" x14ac:dyDescent="0.35">
      <c r="F13" s="295" t="s">
        <v>3659</v>
      </c>
      <c r="G13" s="1177">
        <v>100</v>
      </c>
      <c r="H13" s="1177">
        <f t="shared" si="0"/>
        <v>25</v>
      </c>
      <c r="I13" s="295" t="s">
        <v>3660</v>
      </c>
    </row>
    <row r="14" spans="6:9" x14ac:dyDescent="0.35">
      <c r="F14" s="295" t="s">
        <v>3661</v>
      </c>
      <c r="G14" s="1177">
        <v>30</v>
      </c>
      <c r="H14" s="1177">
        <f t="shared" si="0"/>
        <v>7.5</v>
      </c>
      <c r="I14" s="295" t="s">
        <v>3660</v>
      </c>
    </row>
    <row r="15" spans="6:9" x14ac:dyDescent="0.35">
      <c r="F15" s="295" t="s">
        <v>3662</v>
      </c>
      <c r="G15" s="1177">
        <v>25</v>
      </c>
      <c r="H15" s="1177">
        <f t="shared" si="0"/>
        <v>6.25</v>
      </c>
    </row>
    <row r="16" spans="6:9" x14ac:dyDescent="0.35">
      <c r="F16" s="295" t="s">
        <v>3663</v>
      </c>
      <c r="G16" s="1177">
        <v>20</v>
      </c>
      <c r="H16" s="1177">
        <f t="shared" si="0"/>
        <v>5</v>
      </c>
      <c r="I16" s="295" t="s">
        <v>3660</v>
      </c>
    </row>
    <row r="17" spans="6:14" ht="13.5" customHeight="1" thickBot="1" x14ac:dyDescent="0.45">
      <c r="G17" s="1008"/>
      <c r="H17" s="1008"/>
    </row>
    <row r="18" spans="6:14" ht="13.15" customHeight="1" x14ac:dyDescent="0.4">
      <c r="G18" s="997"/>
      <c r="H18" s="997"/>
    </row>
    <row r="19" spans="6:14" ht="13.15" customHeight="1" x14ac:dyDescent="0.4">
      <c r="F19" s="647" t="s">
        <v>3664</v>
      </c>
      <c r="G19" s="997"/>
      <c r="H19" s="997"/>
    </row>
    <row r="20" spans="6:14" x14ac:dyDescent="0.35">
      <c r="F20" s="295" t="s">
        <v>533</v>
      </c>
      <c r="G20" s="1177">
        <v>200</v>
      </c>
      <c r="H20" s="1177">
        <f>G20/4</f>
        <v>50</v>
      </c>
    </row>
    <row r="21" spans="6:14" x14ac:dyDescent="0.35">
      <c r="F21" s="295" t="s">
        <v>3665</v>
      </c>
      <c r="G21" s="1177"/>
      <c r="H21" s="1177">
        <f>G21/4</f>
        <v>0</v>
      </c>
    </row>
    <row r="22" spans="6:14" x14ac:dyDescent="0.35">
      <c r="F22" s="295" t="s">
        <v>3666</v>
      </c>
      <c r="G22" s="1177">
        <v>25</v>
      </c>
      <c r="H22" s="1177">
        <f>G22/4</f>
        <v>6.25</v>
      </c>
    </row>
    <row r="23" spans="6:14" x14ac:dyDescent="0.35">
      <c r="F23" s="295"/>
      <c r="G23" s="1177"/>
      <c r="H23" s="1177">
        <f>G23/4</f>
        <v>0</v>
      </c>
    </row>
    <row r="24" spans="6:14" x14ac:dyDescent="0.35">
      <c r="F24" s="295"/>
      <c r="G24" s="1177"/>
      <c r="H24" s="1177">
        <f>G24/4</f>
        <v>0</v>
      </c>
    </row>
    <row r="25" spans="6:14" x14ac:dyDescent="0.35">
      <c r="G25" s="1177"/>
      <c r="H25" s="1177"/>
      <c r="K25" t="s">
        <v>8505</v>
      </c>
      <c r="N25">
        <v>50</v>
      </c>
    </row>
    <row r="26" spans="6:14" ht="13.5" customHeight="1" thickBot="1" x14ac:dyDescent="0.45">
      <c r="G26" s="1008"/>
      <c r="H26" s="1008"/>
      <c r="K26" t="s">
        <v>8506</v>
      </c>
      <c r="N26">
        <v>170</v>
      </c>
    </row>
    <row r="27" spans="6:14" x14ac:dyDescent="0.35">
      <c r="K27" t="s">
        <v>8507</v>
      </c>
      <c r="N27">
        <v>240</v>
      </c>
    </row>
    <row r="28" spans="6:14" ht="13.5" customHeight="1" thickBot="1" x14ac:dyDescent="0.45">
      <c r="F28" s="647" t="s">
        <v>3668</v>
      </c>
      <c r="G28" s="1206">
        <f>SUM(G11:G27)</f>
        <v>1270</v>
      </c>
      <c r="H28" s="1008">
        <f>SUM(H11:H27)</f>
        <v>317.5</v>
      </c>
      <c r="K28" t="s">
        <v>8509</v>
      </c>
      <c r="N28">
        <v>300</v>
      </c>
    </row>
    <row r="29" spans="6:14" ht="13.15" customHeight="1" x14ac:dyDescent="0.4">
      <c r="F29" s="647"/>
      <c r="G29" s="997"/>
      <c r="H29" s="997"/>
      <c r="I29" s="1208"/>
      <c r="K29" t="s">
        <v>8508</v>
      </c>
      <c r="N29">
        <v>450</v>
      </c>
    </row>
    <row r="30" spans="6:14" ht="13.5" customHeight="1" thickBot="1" x14ac:dyDescent="0.45">
      <c r="F30" s="1209" t="s">
        <v>8504</v>
      </c>
      <c r="G30" s="1210">
        <f>G8-G28</f>
        <v>617</v>
      </c>
      <c r="H30" s="1210">
        <f>H8-H28</f>
        <v>154.25</v>
      </c>
    </row>
    <row r="32" spans="6:14" ht="13.15" customHeight="1" x14ac:dyDescent="0.4">
      <c r="F32" s="647" t="s">
        <v>3669</v>
      </c>
    </row>
    <row r="33" spans="6:14" x14ac:dyDescent="0.35">
      <c r="F33" s="295" t="s">
        <v>3670</v>
      </c>
      <c r="G33" s="1177">
        <v>950</v>
      </c>
      <c r="H33" s="1177"/>
      <c r="K33" t="s">
        <v>8510</v>
      </c>
      <c r="N33">
        <v>75</v>
      </c>
    </row>
    <row r="34" spans="6:14" x14ac:dyDescent="0.35">
      <c r="F34" s="295" t="s">
        <v>3671</v>
      </c>
      <c r="G34" s="1177">
        <v>100</v>
      </c>
      <c r="H34" s="1177"/>
      <c r="K34" t="s">
        <v>8511</v>
      </c>
      <c r="N34">
        <v>255</v>
      </c>
    </row>
    <row r="35" spans="6:14" x14ac:dyDescent="0.35">
      <c r="F35" s="295" t="s">
        <v>3672</v>
      </c>
      <c r="G35" s="1177">
        <v>100</v>
      </c>
      <c r="H35" s="1177"/>
      <c r="K35" t="s">
        <v>8512</v>
      </c>
      <c r="N35">
        <v>360</v>
      </c>
    </row>
    <row r="36" spans="6:14" x14ac:dyDescent="0.35">
      <c r="F36" s="295" t="s">
        <v>3673</v>
      </c>
      <c r="G36" s="1177">
        <v>100</v>
      </c>
      <c r="H36" s="1177"/>
      <c r="K36" t="s">
        <v>8513</v>
      </c>
      <c r="N36">
        <v>450</v>
      </c>
    </row>
    <row r="37" spans="6:14" x14ac:dyDescent="0.35">
      <c r="F37" s="295" t="s">
        <v>3674</v>
      </c>
      <c r="G37" s="1177">
        <v>300</v>
      </c>
      <c r="H37" s="1177"/>
      <c r="K37" t="s">
        <v>8514</v>
      </c>
      <c r="N37">
        <v>675</v>
      </c>
    </row>
    <row r="38" spans="6:14" x14ac:dyDescent="0.35">
      <c r="F38" s="295"/>
      <c r="G38" s="1177"/>
      <c r="H38" s="1177"/>
    </row>
    <row r="39" spans="6:14" ht="13.5" customHeight="1" thickBot="1" x14ac:dyDescent="0.45">
      <c r="F39" s="295"/>
      <c r="G39" s="1008">
        <f>SUM(G32:G38)</f>
        <v>1550</v>
      </c>
      <c r="H39" s="1177"/>
    </row>
    <row r="40" spans="6:14" x14ac:dyDescent="0.35">
      <c r="G40" s="1177"/>
      <c r="H40" s="1177"/>
    </row>
    <row r="41" spans="6:14" x14ac:dyDescent="0.35">
      <c r="G41" s="1177"/>
      <c r="H41" s="1177"/>
    </row>
  </sheetData>
  <conditionalFormatting sqref="G30">
    <cfRule type="cellIs" dxfId="772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AD186"/>
  <sheetViews>
    <sheetView workbookViewId="0">
      <pane xSplit="8" ySplit="2" topLeftCell="I3" activePane="bottomRight" state="frozen"/>
      <selection pane="topRight" activeCell="H1" sqref="H1"/>
      <selection pane="bottomLeft" activeCell="A3" sqref="A3"/>
      <selection pane="bottomRight" activeCell="T24" sqref="T24"/>
    </sheetView>
  </sheetViews>
  <sheetFormatPr defaultColWidth="9.1328125" defaultRowHeight="12.75" x14ac:dyDescent="0.35"/>
  <cols>
    <col min="1" max="1" width="28.53125" style="293" customWidth="1"/>
    <col min="2" max="2" width="25.6640625" style="293" customWidth="1"/>
    <col min="3" max="3" width="12" style="293" bestFit="1" customWidth="1"/>
    <col min="4" max="4" width="12.53125" style="293" bestFit="1" customWidth="1"/>
    <col min="5" max="5" width="10.1328125" style="293" customWidth="1"/>
    <col min="6" max="6" width="11.53125" style="293" customWidth="1"/>
    <col min="7" max="7" width="7.33203125" style="293" customWidth="1"/>
    <col min="8" max="8" width="28.796875" style="293" bestFit="1" customWidth="1"/>
    <col min="9" max="9" width="8.46484375" style="293" bestFit="1" customWidth="1"/>
    <col min="10" max="10" width="12.33203125" style="293" customWidth="1"/>
    <col min="11" max="22" width="10.53125" style="293" customWidth="1"/>
    <col min="23" max="28" width="10.19921875" style="293" bestFit="1" customWidth="1"/>
    <col min="29" max="29" width="9.1328125" style="293" customWidth="1"/>
    <col min="30" max="30" width="10.19921875" style="293" bestFit="1" customWidth="1"/>
    <col min="31" max="31" width="9.1328125" style="293" customWidth="1"/>
    <col min="32" max="16384" width="9.1328125" style="293"/>
  </cols>
  <sheetData>
    <row r="1" spans="1:30" ht="13.15" customHeight="1" x14ac:dyDescent="0.4">
      <c r="D1" s="295" t="s">
        <v>3675</v>
      </c>
      <c r="E1" s="297" t="s">
        <v>3676</v>
      </c>
      <c r="F1" s="297"/>
    </row>
    <row r="2" spans="1:30" ht="13.15" customHeight="1" x14ac:dyDescent="0.4">
      <c r="A2" s="293" t="s">
        <v>3677</v>
      </c>
      <c r="D2" s="297" t="s">
        <v>74</v>
      </c>
      <c r="E2" s="297" t="s">
        <v>74</v>
      </c>
      <c r="F2" s="297"/>
      <c r="J2" s="297" t="s">
        <v>5</v>
      </c>
      <c r="K2" s="996">
        <v>45877</v>
      </c>
      <c r="L2" s="708">
        <f t="shared" ref="L2:R2" si="0">K2+7</f>
        <v>45884</v>
      </c>
      <c r="M2" s="708">
        <f t="shared" si="0"/>
        <v>45891</v>
      </c>
      <c r="N2" s="708">
        <f t="shared" si="0"/>
        <v>45898</v>
      </c>
      <c r="O2" s="708">
        <f t="shared" si="0"/>
        <v>45905</v>
      </c>
      <c r="P2" s="708">
        <f t="shared" si="0"/>
        <v>45912</v>
      </c>
      <c r="Q2" s="708">
        <f t="shared" si="0"/>
        <v>45919</v>
      </c>
      <c r="R2" s="708">
        <f t="shared" si="0"/>
        <v>45926</v>
      </c>
      <c r="S2" s="708">
        <v>45961</v>
      </c>
      <c r="T2" s="708">
        <f>S2+30</f>
        <v>45991</v>
      </c>
      <c r="U2" s="708">
        <f>T2+30</f>
        <v>46021</v>
      </c>
      <c r="V2" s="708">
        <f>U2+31</f>
        <v>46052</v>
      </c>
      <c r="W2" s="708">
        <f>V2+30</f>
        <v>46082</v>
      </c>
      <c r="X2" s="708">
        <f>W2+29</f>
        <v>46111</v>
      </c>
      <c r="Y2" s="708">
        <f t="shared" ref="Y2:AD2" si="1">X2+30</f>
        <v>46141</v>
      </c>
      <c r="Z2" s="708">
        <f t="shared" si="1"/>
        <v>46171</v>
      </c>
      <c r="AA2" s="708">
        <f t="shared" si="1"/>
        <v>46201</v>
      </c>
      <c r="AB2" s="708">
        <f t="shared" si="1"/>
        <v>46231</v>
      </c>
      <c r="AC2" s="708">
        <f t="shared" si="1"/>
        <v>46261</v>
      </c>
      <c r="AD2" s="708">
        <f t="shared" si="1"/>
        <v>46291</v>
      </c>
    </row>
    <row r="3" spans="1:30" ht="13.15" customHeight="1" x14ac:dyDescent="0.4">
      <c r="C3" s="297" t="s">
        <v>3678</v>
      </c>
      <c r="D3" s="1005" t="s">
        <v>134</v>
      </c>
      <c r="K3" s="681"/>
      <c r="L3" s="681"/>
      <c r="M3" s="681"/>
      <c r="N3" s="681"/>
      <c r="O3" s="681"/>
      <c r="P3" s="681"/>
      <c r="Q3" s="681"/>
      <c r="R3" s="681"/>
      <c r="T3" s="681"/>
      <c r="U3" s="681"/>
      <c r="V3" s="681"/>
      <c r="W3" s="681"/>
      <c r="X3" s="681"/>
      <c r="Y3" s="681"/>
      <c r="Z3" s="681"/>
      <c r="AA3" s="681"/>
      <c r="AB3" s="681"/>
      <c r="AC3" s="681"/>
      <c r="AD3" s="681"/>
    </row>
    <row r="4" spans="1:30" ht="13.15" customHeight="1" x14ac:dyDescent="0.4">
      <c r="A4" s="293" t="s">
        <v>3679</v>
      </c>
      <c r="B4" s="295" t="s">
        <v>3680</v>
      </c>
      <c r="C4" s="1006">
        <f>C5/12</f>
        <v>3750</v>
      </c>
      <c r="D4" s="681">
        <f>'Sales 2024'!AB18</f>
        <v>3565.8991666666666</v>
      </c>
      <c r="E4" s="681"/>
      <c r="F4" s="295" t="s">
        <v>3681</v>
      </c>
      <c r="G4" s="295"/>
      <c r="H4" s="647" t="s">
        <v>3682</v>
      </c>
      <c r="I4" s="647"/>
      <c r="J4" s="689">
        <f t="shared" ref="J4:J11" si="2">SUM(K4:Y4)</f>
        <v>0</v>
      </c>
      <c r="K4" s="681"/>
      <c r="L4" s="681"/>
      <c r="M4" s="681"/>
      <c r="N4" s="681"/>
      <c r="O4" s="681"/>
      <c r="P4" s="681"/>
      <c r="Q4" s="681"/>
      <c r="R4" s="681"/>
      <c r="S4" s="681"/>
      <c r="T4" s="681"/>
      <c r="U4" s="681"/>
      <c r="V4" s="681"/>
      <c r="W4" s="681"/>
      <c r="X4" s="681"/>
      <c r="Y4" s="681"/>
      <c r="Z4" s="681"/>
      <c r="AA4" s="681"/>
      <c r="AB4" s="681"/>
      <c r="AC4" s="681"/>
      <c r="AD4" s="681"/>
    </row>
    <row r="5" spans="1:30" ht="13.15" customHeight="1" x14ac:dyDescent="0.4">
      <c r="A5" s="295" t="s">
        <v>3683</v>
      </c>
      <c r="B5" s="295" t="s">
        <v>3684</v>
      </c>
      <c r="C5" s="1007">
        <v>45000</v>
      </c>
      <c r="D5" s="952">
        <f ca="1">'Sales 2024'!AB36</f>
        <v>44498.861428571428</v>
      </c>
      <c r="E5" s="681"/>
      <c r="H5" s="295" t="s">
        <v>3685</v>
      </c>
      <c r="I5" s="295"/>
      <c r="J5" s="689">
        <f t="shared" si="2"/>
        <v>0</v>
      </c>
      <c r="K5" s="681"/>
      <c r="L5" s="681"/>
      <c r="M5" s="681"/>
      <c r="N5" s="681"/>
      <c r="O5" s="681"/>
      <c r="P5" s="681"/>
      <c r="Q5" s="681"/>
      <c r="R5" s="681"/>
      <c r="S5" s="681"/>
      <c r="T5" s="681"/>
      <c r="U5" s="681"/>
      <c r="V5" s="681"/>
      <c r="W5" s="681"/>
      <c r="X5" s="681"/>
      <c r="Y5" s="681"/>
      <c r="Z5" s="681"/>
      <c r="AA5" s="681"/>
      <c r="AB5" s="681"/>
      <c r="AC5" s="681"/>
      <c r="AD5" s="681"/>
    </row>
    <row r="6" spans="1:30" ht="13.5" customHeight="1" thickBot="1" x14ac:dyDescent="0.45">
      <c r="A6" s="295" t="s">
        <v>3686</v>
      </c>
      <c r="B6" s="950">
        <v>0.7</v>
      </c>
      <c r="C6" s="1004">
        <f>C5*B6/12</f>
        <v>2624.9999999999995</v>
      </c>
      <c r="D6" s="1004">
        <f>'Sales 2024'!W20/'Sales 2024'!AB3</f>
        <v>2927.8469583333335</v>
      </c>
      <c r="E6" s="952">
        <f>D6/1.35</f>
        <v>2168.775524691358</v>
      </c>
      <c r="F6" s="295" t="s">
        <v>3687</v>
      </c>
      <c r="G6" s="295"/>
      <c r="H6" s="295" t="s">
        <v>3688</v>
      </c>
      <c r="I6" s="295"/>
      <c r="J6" s="689">
        <f t="shared" si="2"/>
        <v>500</v>
      </c>
      <c r="K6" s="681"/>
      <c r="L6" s="681"/>
      <c r="M6" s="681"/>
      <c r="N6" s="681"/>
      <c r="O6" s="681"/>
      <c r="P6" s="681"/>
      <c r="Q6" s="681"/>
      <c r="R6" s="681"/>
      <c r="S6" s="681"/>
      <c r="T6" s="681"/>
      <c r="U6" s="681">
        <v>500</v>
      </c>
      <c r="V6" s="681"/>
      <c r="W6" s="681"/>
      <c r="Y6" s="681"/>
      <c r="Z6" s="681"/>
      <c r="AA6" s="681"/>
      <c r="AB6" s="681"/>
      <c r="AC6" s="681"/>
      <c r="AD6" s="681"/>
    </row>
    <row r="7" spans="1:30" ht="13.15" customHeight="1" thickTop="1" x14ac:dyDescent="0.35">
      <c r="A7" s="293" t="s">
        <v>181</v>
      </c>
      <c r="D7" s="950">
        <f>D6/D4</f>
        <v>0.82106835372751952</v>
      </c>
      <c r="E7" s="681"/>
      <c r="F7" s="293" t="s">
        <v>3689</v>
      </c>
      <c r="H7" s="295" t="s">
        <v>3690</v>
      </c>
      <c r="I7" s="295"/>
      <c r="J7" s="689">
        <f t="shared" si="2"/>
        <v>7000</v>
      </c>
      <c r="K7" s="681"/>
      <c r="L7" s="681"/>
      <c r="M7" s="681"/>
      <c r="N7" s="681"/>
      <c r="O7" s="681"/>
      <c r="P7" s="681"/>
      <c r="S7" s="681"/>
      <c r="T7" s="681">
        <v>7000</v>
      </c>
      <c r="U7" s="681"/>
      <c r="V7" s="681"/>
      <c r="W7" s="681"/>
      <c r="Y7" s="681"/>
      <c r="Z7" s="681"/>
      <c r="AA7" s="681"/>
      <c r="AB7" s="681"/>
      <c r="AC7" s="681"/>
      <c r="AD7" s="681"/>
    </row>
    <row r="8" spans="1:30" x14ac:dyDescent="0.35">
      <c r="A8" s="295"/>
      <c r="B8" s="295"/>
      <c r="C8" s="295"/>
      <c r="D8" s="681">
        <v>0</v>
      </c>
      <c r="E8" s="681">
        <v>0</v>
      </c>
      <c r="H8" s="295" t="s">
        <v>3691</v>
      </c>
      <c r="I8" s="295"/>
      <c r="J8" s="689">
        <f t="shared" si="2"/>
        <v>2438</v>
      </c>
      <c r="K8" s="681"/>
      <c r="M8" s="681"/>
      <c r="N8" s="681"/>
      <c r="O8" s="681"/>
      <c r="Q8" s="681">
        <f>465+465+328</f>
        <v>1258</v>
      </c>
      <c r="R8" s="681">
        <v>780</v>
      </c>
      <c r="S8" s="681"/>
      <c r="T8" s="681"/>
      <c r="U8" s="681"/>
      <c r="V8" s="681"/>
      <c r="W8" s="681">
        <v>400</v>
      </c>
      <c r="Y8" s="681"/>
      <c r="Z8" s="681"/>
      <c r="AA8" s="681"/>
      <c r="AB8" s="681"/>
      <c r="AC8" s="681"/>
      <c r="AD8" s="681"/>
    </row>
    <row r="9" spans="1:30" ht="13.15" customHeight="1" x14ac:dyDescent="0.4">
      <c r="A9" s="294" t="s">
        <v>3649</v>
      </c>
      <c r="B9" s="294"/>
      <c r="C9" s="952">
        <f>C6</f>
        <v>2624.9999999999995</v>
      </c>
      <c r="D9" s="952">
        <f>D7+D6+D8</f>
        <v>2928.6680266870612</v>
      </c>
      <c r="E9" s="952">
        <f>E7+E6+E8</f>
        <v>2168.775524691358</v>
      </c>
      <c r="H9" s="295" t="s">
        <v>181</v>
      </c>
      <c r="I9" s="295"/>
      <c r="J9" s="689">
        <f t="shared" si="2"/>
        <v>0</v>
      </c>
      <c r="K9" s="681"/>
      <c r="M9" s="681"/>
      <c r="N9" s="681"/>
      <c r="O9" s="681"/>
      <c r="P9" s="681"/>
      <c r="Q9" s="681"/>
      <c r="R9" s="681"/>
      <c r="S9" s="681"/>
      <c r="T9" s="681"/>
      <c r="U9" s="681"/>
      <c r="V9" s="681"/>
      <c r="W9" s="681"/>
      <c r="X9" s="681"/>
      <c r="Y9" s="681"/>
      <c r="Z9" s="681"/>
      <c r="AA9" s="681"/>
      <c r="AB9" s="681"/>
      <c r="AC9" s="681"/>
      <c r="AD9" s="681"/>
    </row>
    <row r="10" spans="1:30" x14ac:dyDescent="0.35">
      <c r="B10" s="295" t="s">
        <v>3692</v>
      </c>
      <c r="C10" s="1010">
        <f>C9/160</f>
        <v>16.406249999999996</v>
      </c>
      <c r="D10" s="1010">
        <f>D9/160</f>
        <v>18.304175166794131</v>
      </c>
      <c r="E10" s="1010">
        <f>E9/160</f>
        <v>13.554847029320987</v>
      </c>
      <c r="H10" s="295" t="s">
        <v>3693</v>
      </c>
      <c r="I10" s="295"/>
      <c r="J10" s="689">
        <f t="shared" si="2"/>
        <v>0</v>
      </c>
      <c r="K10" s="681"/>
      <c r="L10" s="681"/>
      <c r="M10" s="681"/>
      <c r="N10" s="681"/>
      <c r="O10" s="681"/>
      <c r="P10" s="681"/>
      <c r="Q10" s="681"/>
      <c r="R10" s="681"/>
      <c r="S10" s="681"/>
      <c r="T10" s="681"/>
      <c r="U10" s="681"/>
      <c r="V10" s="681"/>
      <c r="W10" s="681"/>
      <c r="X10" s="681"/>
      <c r="Y10" s="681"/>
      <c r="Z10" s="681"/>
      <c r="AA10" s="681"/>
      <c r="AB10" s="681"/>
      <c r="AC10" s="681"/>
      <c r="AD10" s="681"/>
    </row>
    <row r="11" spans="1:30" x14ac:dyDescent="0.35">
      <c r="A11" s="1011"/>
      <c r="B11" s="1011"/>
      <c r="C11" s="1012"/>
      <c r="D11" s="1012"/>
      <c r="E11" s="1013"/>
      <c r="F11" s="1014"/>
      <c r="G11" s="950"/>
      <c r="H11" s="295"/>
      <c r="I11" s="295"/>
      <c r="J11" s="689">
        <f t="shared" si="2"/>
        <v>0</v>
      </c>
      <c r="L11" s="681"/>
      <c r="M11" s="681"/>
      <c r="N11" s="681"/>
      <c r="O11" s="681"/>
      <c r="P11" s="681"/>
      <c r="Q11" s="681"/>
      <c r="R11" s="681"/>
      <c r="S11" s="681"/>
      <c r="T11" s="681"/>
      <c r="U11" s="681"/>
      <c r="V11" s="681"/>
      <c r="W11" s="681"/>
      <c r="X11" s="681"/>
      <c r="Y11" s="681"/>
      <c r="Z11" s="681"/>
      <c r="AA11" s="681"/>
      <c r="AB11" s="681"/>
      <c r="AC11" s="681"/>
      <c r="AD11" s="681"/>
    </row>
    <row r="12" spans="1:30" ht="13.5" customHeight="1" thickBot="1" x14ac:dyDescent="0.45">
      <c r="A12" s="293" t="s">
        <v>3657</v>
      </c>
      <c r="C12" s="295" t="s">
        <v>3694</v>
      </c>
      <c r="D12" s="681">
        <v>54</v>
      </c>
      <c r="E12" s="681">
        <v>65</v>
      </c>
      <c r="F12" s="1002">
        <f t="shared" ref="F12:F24" si="3">D12/$D$103</f>
        <v>2.8225946963097187E-2</v>
      </c>
      <c r="G12" s="950"/>
      <c r="H12" s="741" t="s">
        <v>3695</v>
      </c>
      <c r="I12" s="741"/>
      <c r="J12" s="687">
        <f>SUM(J4:J11)</f>
        <v>9938</v>
      </c>
      <c r="K12" s="687">
        <f t="shared" ref="K12:Q12" si="4">SUM(K3:K11)</f>
        <v>0</v>
      </c>
      <c r="L12" s="687">
        <f t="shared" si="4"/>
        <v>0</v>
      </c>
      <c r="M12" s="687">
        <f t="shared" si="4"/>
        <v>0</v>
      </c>
      <c r="N12" s="687">
        <f t="shared" si="4"/>
        <v>0</v>
      </c>
      <c r="O12" s="687">
        <f t="shared" si="4"/>
        <v>0</v>
      </c>
      <c r="P12" s="687">
        <f t="shared" si="4"/>
        <v>0</v>
      </c>
      <c r="Q12" s="687">
        <f t="shared" si="4"/>
        <v>1258</v>
      </c>
      <c r="R12" s="687"/>
      <c r="S12" s="687">
        <f t="shared" ref="S12:AD12" si="5">SUM(S3:S11)</f>
        <v>0</v>
      </c>
      <c r="T12" s="687">
        <f t="shared" si="5"/>
        <v>7000</v>
      </c>
      <c r="U12" s="687">
        <f t="shared" si="5"/>
        <v>500</v>
      </c>
      <c r="V12" s="687">
        <f t="shared" si="5"/>
        <v>0</v>
      </c>
      <c r="W12" s="687">
        <f t="shared" si="5"/>
        <v>400</v>
      </c>
      <c r="X12" s="687">
        <f t="shared" si="5"/>
        <v>0</v>
      </c>
      <c r="Y12" s="687">
        <f t="shared" si="5"/>
        <v>0</v>
      </c>
      <c r="Z12" s="687">
        <f t="shared" si="5"/>
        <v>0</v>
      </c>
      <c r="AA12" s="687">
        <f t="shared" si="5"/>
        <v>0</v>
      </c>
      <c r="AB12" s="687">
        <f t="shared" si="5"/>
        <v>0</v>
      </c>
      <c r="AC12" s="687">
        <f t="shared" si="5"/>
        <v>0</v>
      </c>
      <c r="AD12" s="687">
        <f t="shared" si="5"/>
        <v>0</v>
      </c>
    </row>
    <row r="13" spans="1:30" ht="13.15" customHeight="1" x14ac:dyDescent="0.4">
      <c r="A13" s="293" t="s">
        <v>3696</v>
      </c>
      <c r="C13" s="295" t="s">
        <v>3697</v>
      </c>
      <c r="D13" s="681">
        <v>28.44</v>
      </c>
      <c r="E13" s="681">
        <v>28.44</v>
      </c>
      <c r="F13" s="1002">
        <f t="shared" si="3"/>
        <v>1.4865665400564519E-2</v>
      </c>
      <c r="G13" s="950"/>
      <c r="H13" s="647" t="s">
        <v>3698</v>
      </c>
      <c r="I13" s="647"/>
      <c r="K13" s="681"/>
      <c r="L13" s="681"/>
      <c r="M13" s="681"/>
      <c r="N13" s="681"/>
      <c r="O13" s="681"/>
      <c r="P13" s="681"/>
      <c r="Q13" s="681"/>
      <c r="R13" s="681"/>
      <c r="S13" s="681"/>
      <c r="T13" s="681"/>
      <c r="Y13" s="681"/>
      <c r="Z13" s="681"/>
      <c r="AA13" s="681"/>
      <c r="AB13" s="681"/>
      <c r="AC13" s="681"/>
      <c r="AD13" s="681"/>
    </row>
    <row r="14" spans="1:30" x14ac:dyDescent="0.35">
      <c r="A14" s="293" t="s">
        <v>3659</v>
      </c>
      <c r="C14" s="295" t="s">
        <v>3699</v>
      </c>
      <c r="D14" s="681">
        <v>150</v>
      </c>
      <c r="E14" s="681">
        <v>250</v>
      </c>
      <c r="F14" s="1002">
        <f t="shared" si="3"/>
        <v>7.8405408230825521E-2</v>
      </c>
      <c r="G14" s="950"/>
      <c r="H14" s="1044" t="s">
        <v>3700</v>
      </c>
      <c r="I14" s="295" t="s">
        <v>3701</v>
      </c>
      <c r="J14" s="689">
        <f t="shared" ref="J14:J45" si="6">SUM(K14:AD14)</f>
        <v>3729</v>
      </c>
      <c r="K14" s="681"/>
      <c r="L14" s="681"/>
      <c r="M14" s="681"/>
      <c r="N14" s="681"/>
      <c r="O14" s="681"/>
      <c r="P14" s="681"/>
      <c r="Q14" s="681"/>
      <c r="R14" s="681"/>
      <c r="S14" s="681">
        <v>339</v>
      </c>
      <c r="T14" s="681">
        <v>339</v>
      </c>
      <c r="U14" s="681">
        <v>339</v>
      </c>
      <c r="V14" s="681">
        <v>339</v>
      </c>
      <c r="W14" s="681">
        <v>339</v>
      </c>
      <c r="X14" s="681">
        <v>339</v>
      </c>
      <c r="Y14" s="681">
        <v>339</v>
      </c>
      <c r="Z14" s="681">
        <v>339</v>
      </c>
      <c r="AA14" s="681">
        <v>339</v>
      </c>
      <c r="AB14" s="681">
        <v>339</v>
      </c>
      <c r="AC14" s="681">
        <v>339</v>
      </c>
    </row>
    <row r="15" spans="1:30" x14ac:dyDescent="0.35">
      <c r="A15" s="293" t="s">
        <v>3702</v>
      </c>
      <c r="C15" s="295" t="s">
        <v>3699</v>
      </c>
      <c r="D15" s="681">
        <v>0</v>
      </c>
      <c r="E15" s="681">
        <v>15</v>
      </c>
      <c r="F15" s="1002">
        <f t="shared" si="3"/>
        <v>0</v>
      </c>
      <c r="G15" s="950"/>
      <c r="H15" s="293" t="s">
        <v>3657</v>
      </c>
      <c r="I15" s="295" t="s">
        <v>3703</v>
      </c>
      <c r="J15" s="689">
        <f t="shared" si="6"/>
        <v>616</v>
      </c>
      <c r="K15" s="681"/>
      <c r="L15" s="681"/>
      <c r="M15" s="681"/>
      <c r="N15" s="681"/>
      <c r="O15" s="681"/>
      <c r="P15" s="681"/>
      <c r="Q15" s="681"/>
      <c r="R15" s="681"/>
      <c r="S15" s="681">
        <v>56</v>
      </c>
      <c r="T15" s="681">
        <v>56</v>
      </c>
      <c r="U15" s="681">
        <v>56</v>
      </c>
      <c r="V15" s="681">
        <v>56</v>
      </c>
      <c r="W15" s="681">
        <v>56</v>
      </c>
      <c r="X15" s="681">
        <v>56</v>
      </c>
      <c r="Y15" s="681">
        <v>56</v>
      </c>
      <c r="Z15" s="681">
        <v>56</v>
      </c>
      <c r="AA15" s="681">
        <v>56</v>
      </c>
      <c r="AB15" s="681">
        <v>56</v>
      </c>
      <c r="AC15" s="681">
        <v>56</v>
      </c>
    </row>
    <row r="16" spans="1:30" x14ac:dyDescent="0.35">
      <c r="C16" s="295" t="s">
        <v>3704</v>
      </c>
      <c r="D16" s="681"/>
      <c r="E16" s="681">
        <v>68</v>
      </c>
      <c r="F16" s="1002">
        <f t="shared" si="3"/>
        <v>0</v>
      </c>
      <c r="G16" s="950"/>
      <c r="H16" s="295" t="s">
        <v>3705</v>
      </c>
      <c r="I16" s="295" t="s">
        <v>3706</v>
      </c>
      <c r="J16" s="689">
        <f t="shared" si="6"/>
        <v>340.84</v>
      </c>
      <c r="K16" s="681"/>
      <c r="L16" s="681"/>
      <c r="M16" s="681"/>
      <c r="N16" s="681"/>
      <c r="O16" s="681"/>
      <c r="P16" s="681"/>
      <c r="Q16" s="681"/>
      <c r="R16" s="681">
        <v>28</v>
      </c>
      <c r="S16" s="681">
        <v>28.44</v>
      </c>
      <c r="T16" s="681">
        <v>28.44</v>
      </c>
      <c r="U16" s="681">
        <v>28.44</v>
      </c>
      <c r="V16" s="681">
        <v>28.44</v>
      </c>
      <c r="W16" s="681">
        <v>28.44</v>
      </c>
      <c r="X16" s="681">
        <v>28.44</v>
      </c>
      <c r="Y16" s="681">
        <v>28.44</v>
      </c>
      <c r="Z16" s="681">
        <v>28.44</v>
      </c>
      <c r="AA16" s="681">
        <v>28.44</v>
      </c>
      <c r="AB16" s="681">
        <v>28.44</v>
      </c>
      <c r="AC16" s="681">
        <v>28.44</v>
      </c>
    </row>
    <row r="17" spans="1:29" x14ac:dyDescent="0.35">
      <c r="A17" s="293" t="s">
        <v>3707</v>
      </c>
      <c r="C17" s="295" t="s">
        <v>3708</v>
      </c>
      <c r="D17" s="681">
        <v>24</v>
      </c>
      <c r="E17" s="681">
        <v>27</v>
      </c>
      <c r="F17" s="1002">
        <f t="shared" si="3"/>
        <v>1.2544865316932084E-2</v>
      </c>
      <c r="G17" s="950"/>
      <c r="H17" s="293" t="s">
        <v>3659</v>
      </c>
      <c r="I17" s="295" t="s">
        <v>3709</v>
      </c>
      <c r="J17" s="689">
        <f t="shared" si="6"/>
        <v>2125</v>
      </c>
      <c r="K17" s="681"/>
      <c r="L17" s="681"/>
      <c r="M17" s="681"/>
      <c r="N17" s="681"/>
      <c r="O17" s="681"/>
      <c r="P17" s="681">
        <v>100</v>
      </c>
      <c r="Q17" s="681"/>
      <c r="R17" s="681"/>
      <c r="S17" s="681">
        <v>250</v>
      </c>
      <c r="T17" s="681">
        <v>250</v>
      </c>
      <c r="U17" s="681">
        <v>300</v>
      </c>
      <c r="V17" s="681">
        <v>300</v>
      </c>
      <c r="W17" s="681">
        <v>300</v>
      </c>
      <c r="X17" s="681">
        <v>250</v>
      </c>
      <c r="Y17" s="681">
        <v>75</v>
      </c>
      <c r="Z17" s="681">
        <v>75</v>
      </c>
      <c r="AA17" s="681">
        <v>75</v>
      </c>
      <c r="AB17" s="681">
        <v>75</v>
      </c>
      <c r="AC17" s="681">
        <v>75</v>
      </c>
    </row>
    <row r="18" spans="1:29" x14ac:dyDescent="0.35">
      <c r="A18" s="293" t="s">
        <v>3710</v>
      </c>
      <c r="C18" s="295" t="s">
        <v>3711</v>
      </c>
      <c r="D18" s="576">
        <v>48</v>
      </c>
      <c r="E18" s="576">
        <v>64.28</v>
      </c>
      <c r="F18" s="1002">
        <f t="shared" si="3"/>
        <v>2.5089730633864167E-2</v>
      </c>
      <c r="G18" s="950"/>
      <c r="H18" s="959" t="s">
        <v>3712</v>
      </c>
      <c r="I18" s="295" t="s">
        <v>3709</v>
      </c>
      <c r="J18" s="689">
        <f t="shared" si="6"/>
        <v>1920</v>
      </c>
      <c r="K18" s="681"/>
      <c r="L18" s="681"/>
      <c r="M18" s="681"/>
      <c r="N18" s="681"/>
      <c r="O18" s="681"/>
      <c r="P18" s="681">
        <v>160</v>
      </c>
      <c r="Q18" s="681"/>
      <c r="R18" s="681"/>
      <c r="S18" s="681">
        <v>160</v>
      </c>
      <c r="T18" s="681">
        <v>160</v>
      </c>
      <c r="U18" s="681">
        <v>160</v>
      </c>
      <c r="V18" s="681">
        <v>160</v>
      </c>
      <c r="W18" s="681">
        <v>160</v>
      </c>
      <c r="X18" s="681">
        <v>160</v>
      </c>
      <c r="Y18" s="681">
        <v>160</v>
      </c>
      <c r="Z18" s="681">
        <v>160</v>
      </c>
      <c r="AA18" s="681">
        <v>160</v>
      </c>
      <c r="AB18" s="681">
        <v>160</v>
      </c>
      <c r="AC18" s="681">
        <v>160</v>
      </c>
    </row>
    <row r="19" spans="1:29" x14ac:dyDescent="0.35">
      <c r="A19" s="295" t="s">
        <v>3713</v>
      </c>
      <c r="B19" s="295"/>
      <c r="C19" s="295" t="s">
        <v>3714</v>
      </c>
      <c r="D19" s="1000">
        <v>94</v>
      </c>
      <c r="E19" s="681">
        <v>94</v>
      </c>
      <c r="F19" s="1002">
        <f t="shared" si="3"/>
        <v>4.9134055824650656E-2</v>
      </c>
      <c r="G19" s="950"/>
      <c r="H19" s="959" t="s">
        <v>3715</v>
      </c>
      <c r="I19" s="295" t="s">
        <v>3709</v>
      </c>
      <c r="J19" s="689">
        <f t="shared" si="6"/>
        <v>550</v>
      </c>
      <c r="K19" s="681"/>
      <c r="L19" s="681"/>
      <c r="M19" s="681"/>
      <c r="N19" s="681"/>
      <c r="O19" s="681"/>
      <c r="P19" s="681"/>
      <c r="Q19" s="681"/>
      <c r="R19" s="681"/>
      <c r="S19" s="681">
        <v>50</v>
      </c>
      <c r="T19" s="681">
        <v>50</v>
      </c>
      <c r="U19" s="681">
        <v>50</v>
      </c>
      <c r="V19" s="681">
        <v>50</v>
      </c>
      <c r="W19" s="681">
        <v>50</v>
      </c>
      <c r="X19" s="681">
        <v>50</v>
      </c>
      <c r="Y19" s="681">
        <v>50</v>
      </c>
      <c r="Z19" s="681">
        <v>50</v>
      </c>
      <c r="AA19" s="681">
        <v>50</v>
      </c>
      <c r="AB19" s="681">
        <v>50</v>
      </c>
      <c r="AC19" s="681">
        <v>50</v>
      </c>
    </row>
    <row r="20" spans="1:29" x14ac:dyDescent="0.35">
      <c r="A20" s="293" t="s">
        <v>3662</v>
      </c>
      <c r="C20" s="295" t="s">
        <v>3701</v>
      </c>
      <c r="D20" s="1000">
        <v>110</v>
      </c>
      <c r="E20" s="681">
        <v>110</v>
      </c>
      <c r="F20" s="1002">
        <f t="shared" si="3"/>
        <v>5.7497299369272045E-2</v>
      </c>
      <c r="G20" s="950"/>
      <c r="H20" s="959" t="s">
        <v>3716</v>
      </c>
      <c r="J20" s="689">
        <f t="shared" si="6"/>
        <v>1100</v>
      </c>
      <c r="S20" s="732">
        <v>100</v>
      </c>
      <c r="T20" s="732">
        <v>100</v>
      </c>
      <c r="U20" s="732">
        <v>100</v>
      </c>
      <c r="V20" s="732">
        <v>100</v>
      </c>
      <c r="W20" s="732">
        <v>100</v>
      </c>
      <c r="X20" s="732">
        <v>100</v>
      </c>
      <c r="Y20" s="732">
        <v>100</v>
      </c>
      <c r="Z20" s="732">
        <v>100</v>
      </c>
      <c r="AA20" s="732">
        <v>100</v>
      </c>
      <c r="AB20" s="732">
        <v>100</v>
      </c>
      <c r="AC20" s="732">
        <v>100</v>
      </c>
    </row>
    <row r="21" spans="1:29" x14ac:dyDescent="0.35">
      <c r="A21" s="752"/>
      <c r="B21" s="752"/>
      <c r="C21" s="752"/>
      <c r="D21" s="1000"/>
      <c r="E21" s="998"/>
      <c r="F21" s="1002">
        <f t="shared" si="3"/>
        <v>0</v>
      </c>
      <c r="G21" s="950"/>
      <c r="H21" s="959" t="s">
        <v>3717</v>
      </c>
      <c r="J21" s="689">
        <f t="shared" si="6"/>
        <v>0</v>
      </c>
    </row>
    <row r="22" spans="1:29" x14ac:dyDescent="0.35">
      <c r="A22" s="293" t="s">
        <v>3676</v>
      </c>
      <c r="C22" s="295" t="s">
        <v>3699</v>
      </c>
      <c r="D22" s="681">
        <v>13</v>
      </c>
      <c r="E22" s="681">
        <v>13</v>
      </c>
      <c r="F22" s="1002">
        <f t="shared" si="3"/>
        <v>6.7951353800048781E-3</v>
      </c>
      <c r="G22" s="950"/>
      <c r="H22" s="959" t="s">
        <v>3718</v>
      </c>
      <c r="J22" s="689">
        <f t="shared" si="6"/>
        <v>3060</v>
      </c>
      <c r="U22" s="732">
        <v>340</v>
      </c>
      <c r="V22" s="732">
        <v>340</v>
      </c>
      <c r="W22" s="732">
        <v>340</v>
      </c>
      <c r="X22" s="732">
        <v>340</v>
      </c>
      <c r="Y22" s="732">
        <v>340</v>
      </c>
      <c r="Z22" s="732">
        <v>340</v>
      </c>
      <c r="AA22" s="732">
        <v>340</v>
      </c>
      <c r="AB22" s="732">
        <v>340</v>
      </c>
      <c r="AC22" s="732">
        <v>340</v>
      </c>
    </row>
    <row r="23" spans="1:29" x14ac:dyDescent="0.35">
      <c r="A23" s="293" t="s">
        <v>3719</v>
      </c>
      <c r="C23" s="295" t="s">
        <v>3699</v>
      </c>
      <c r="D23" s="681">
        <v>21</v>
      </c>
      <c r="E23" s="681">
        <v>28</v>
      </c>
      <c r="F23" s="1002">
        <f t="shared" si="3"/>
        <v>1.0976757152315572E-2</v>
      </c>
      <c r="G23" s="950"/>
      <c r="H23" s="295" t="s">
        <v>3720</v>
      </c>
      <c r="I23" s="295" t="s">
        <v>3704</v>
      </c>
      <c r="J23" s="689">
        <f t="shared" si="6"/>
        <v>525</v>
      </c>
      <c r="K23" s="576"/>
      <c r="L23" s="576"/>
      <c r="M23" s="576"/>
      <c r="N23" s="576"/>
      <c r="O23" s="576"/>
      <c r="P23" s="576">
        <f>35*5</f>
        <v>175</v>
      </c>
      <c r="Q23" s="576">
        <f>35*5</f>
        <v>175</v>
      </c>
      <c r="R23" s="576">
        <f>35*5</f>
        <v>175</v>
      </c>
      <c r="S23" s="681"/>
      <c r="T23" s="681"/>
      <c r="U23" s="681"/>
      <c r="V23" s="681"/>
      <c r="W23" s="681"/>
      <c r="X23" s="681"/>
      <c r="Y23" s="681"/>
      <c r="Z23" s="681"/>
      <c r="AA23" s="681"/>
      <c r="AB23" s="681"/>
      <c r="AC23" s="681"/>
    </row>
    <row r="24" spans="1:29" x14ac:dyDescent="0.35">
      <c r="A24" s="293" t="s">
        <v>3721</v>
      </c>
      <c r="D24" s="681">
        <v>100</v>
      </c>
      <c r="E24" s="681">
        <v>250</v>
      </c>
      <c r="F24" s="1002">
        <f t="shared" si="3"/>
        <v>5.2270272153883676E-2</v>
      </c>
      <c r="G24" s="950"/>
      <c r="H24" s="295" t="s">
        <v>3722</v>
      </c>
      <c r="I24" s="295" t="s">
        <v>3723</v>
      </c>
      <c r="J24" s="689">
        <f t="shared" si="6"/>
        <v>374</v>
      </c>
      <c r="K24" s="681"/>
      <c r="L24" s="681"/>
      <c r="M24" s="681"/>
      <c r="N24" s="681"/>
      <c r="O24" s="681"/>
      <c r="P24" s="681"/>
      <c r="Q24" s="681"/>
      <c r="R24" s="681"/>
      <c r="S24" s="681">
        <v>34</v>
      </c>
      <c r="T24" s="681">
        <v>34</v>
      </c>
      <c r="U24" s="681">
        <v>34</v>
      </c>
      <c r="V24" s="681">
        <v>34</v>
      </c>
      <c r="W24" s="681">
        <v>34</v>
      </c>
      <c r="X24" s="681">
        <v>34</v>
      </c>
      <c r="Y24" s="681">
        <v>34</v>
      </c>
      <c r="Z24" s="681">
        <v>34</v>
      </c>
      <c r="AA24" s="681">
        <v>34</v>
      </c>
      <c r="AB24" s="681">
        <v>34</v>
      </c>
      <c r="AC24" s="681">
        <v>34</v>
      </c>
    </row>
    <row r="25" spans="1:29" x14ac:dyDescent="0.35">
      <c r="D25" s="681"/>
      <c r="E25" s="681"/>
      <c r="F25" s="1002"/>
      <c r="G25" s="950"/>
      <c r="H25" s="295" t="s">
        <v>3724</v>
      </c>
      <c r="I25" s="295" t="s">
        <v>3711</v>
      </c>
      <c r="J25" s="689">
        <f t="shared" si="6"/>
        <v>576</v>
      </c>
      <c r="K25" s="681"/>
      <c r="L25" s="681"/>
      <c r="M25" s="681"/>
      <c r="N25" s="681"/>
      <c r="O25" s="681"/>
      <c r="P25" s="681"/>
      <c r="Q25" s="681"/>
      <c r="R25" s="681">
        <v>48</v>
      </c>
      <c r="S25" s="681">
        <v>48</v>
      </c>
      <c r="T25" s="681">
        <v>48</v>
      </c>
      <c r="U25" s="681">
        <v>48</v>
      </c>
      <c r="V25" s="681">
        <v>48</v>
      </c>
      <c r="W25" s="681">
        <v>48</v>
      </c>
      <c r="X25" s="681">
        <v>48</v>
      </c>
      <c r="Y25" s="681">
        <v>48</v>
      </c>
      <c r="Z25" s="681">
        <v>48</v>
      </c>
      <c r="AA25" s="681">
        <v>48</v>
      </c>
      <c r="AB25" s="681">
        <v>48</v>
      </c>
      <c r="AC25" s="681">
        <v>48</v>
      </c>
    </row>
    <row r="26" spans="1:29" x14ac:dyDescent="0.35">
      <c r="A26" s="295" t="s">
        <v>3725</v>
      </c>
      <c r="B26" s="295" t="s">
        <v>3726</v>
      </c>
      <c r="C26" s="295" t="s">
        <v>3709</v>
      </c>
      <c r="D26" s="681">
        <v>22</v>
      </c>
      <c r="E26" s="681"/>
      <c r="F26" s="1002">
        <f t="shared" ref="F26:F42" si="7">D26/$D$103</f>
        <v>1.1499459873854409E-2</v>
      </c>
      <c r="G26" s="950"/>
      <c r="H26" s="752" t="s">
        <v>3727</v>
      </c>
      <c r="I26" s="295" t="s">
        <v>3714</v>
      </c>
      <c r="J26" s="689">
        <f t="shared" si="6"/>
        <v>1188</v>
      </c>
      <c r="K26" s="681"/>
      <c r="L26" s="998"/>
      <c r="M26" s="681"/>
      <c r="N26" s="681"/>
      <c r="O26" s="681"/>
      <c r="P26" s="681"/>
      <c r="Q26" s="681">
        <v>99</v>
      </c>
      <c r="R26" s="681"/>
      <c r="S26" s="681">
        <v>99</v>
      </c>
      <c r="T26" s="681">
        <v>99</v>
      </c>
      <c r="U26" s="681">
        <v>99</v>
      </c>
      <c r="V26" s="681">
        <v>99</v>
      </c>
      <c r="W26" s="681">
        <v>99</v>
      </c>
      <c r="X26" s="681">
        <v>99</v>
      </c>
      <c r="Y26" s="681">
        <v>99</v>
      </c>
      <c r="Z26" s="681">
        <v>99</v>
      </c>
      <c r="AA26" s="681">
        <v>99</v>
      </c>
      <c r="AB26" s="681">
        <v>99</v>
      </c>
      <c r="AC26" s="681">
        <v>99</v>
      </c>
    </row>
    <row r="27" spans="1:29" x14ac:dyDescent="0.35">
      <c r="A27" s="293" t="s">
        <v>3728</v>
      </c>
      <c r="D27" s="681">
        <v>340</v>
      </c>
      <c r="E27" s="681">
        <v>300</v>
      </c>
      <c r="F27" s="1002">
        <f t="shared" si="7"/>
        <v>0.17771892532320452</v>
      </c>
      <c r="G27" s="950"/>
      <c r="H27" s="295" t="s">
        <v>3729</v>
      </c>
      <c r="I27" s="295" t="s">
        <v>3701</v>
      </c>
      <c r="J27" s="689">
        <f t="shared" si="6"/>
        <v>1210</v>
      </c>
      <c r="K27" s="681"/>
      <c r="L27" s="681"/>
      <c r="M27" s="681"/>
      <c r="N27" s="681"/>
      <c r="O27" s="681"/>
      <c r="P27" s="681"/>
      <c r="Q27" s="681"/>
      <c r="R27" s="681"/>
      <c r="S27" s="681">
        <v>110</v>
      </c>
      <c r="T27" s="681">
        <v>110</v>
      </c>
      <c r="U27" s="681">
        <v>110</v>
      </c>
      <c r="V27" s="681">
        <v>110</v>
      </c>
      <c r="W27" s="681">
        <v>110</v>
      </c>
      <c r="X27" s="681">
        <v>110</v>
      </c>
      <c r="Y27" s="681">
        <v>110</v>
      </c>
      <c r="Z27" s="681">
        <v>110</v>
      </c>
      <c r="AA27" s="681">
        <v>110</v>
      </c>
      <c r="AB27" s="681">
        <v>110</v>
      </c>
      <c r="AC27" s="681">
        <v>110</v>
      </c>
    </row>
    <row r="28" spans="1:29" x14ac:dyDescent="0.35">
      <c r="A28" s="959" t="s">
        <v>3700</v>
      </c>
      <c r="C28" s="295" t="s">
        <v>3730</v>
      </c>
      <c r="D28" s="681">
        <v>339</v>
      </c>
      <c r="E28" s="681">
        <v>0</v>
      </c>
      <c r="F28" s="1002">
        <f t="shared" si="7"/>
        <v>0.17719622260166568</v>
      </c>
      <c r="G28" s="950"/>
      <c r="H28" s="295" t="s">
        <v>3725</v>
      </c>
      <c r="I28" s="295" t="s">
        <v>3709</v>
      </c>
      <c r="J28" s="689">
        <f t="shared" si="6"/>
        <v>264</v>
      </c>
      <c r="K28" s="681"/>
      <c r="L28" s="681"/>
      <c r="M28" s="681"/>
      <c r="N28" s="681"/>
      <c r="O28" s="681"/>
      <c r="P28" s="681">
        <v>22</v>
      </c>
      <c r="Q28" s="681"/>
      <c r="R28" s="681"/>
      <c r="S28" s="681">
        <v>22</v>
      </c>
      <c r="T28" s="681">
        <v>22</v>
      </c>
      <c r="U28" s="681">
        <v>22</v>
      </c>
      <c r="V28" s="681">
        <v>22</v>
      </c>
      <c r="W28" s="681">
        <v>22</v>
      </c>
      <c r="X28" s="681">
        <v>22</v>
      </c>
      <c r="Y28" s="681">
        <v>22</v>
      </c>
      <c r="Z28" s="681">
        <v>22</v>
      </c>
      <c r="AA28" s="681">
        <v>22</v>
      </c>
      <c r="AB28" s="681">
        <v>22</v>
      </c>
      <c r="AC28" s="681">
        <v>22</v>
      </c>
    </row>
    <row r="29" spans="1:29" x14ac:dyDescent="0.35">
      <c r="A29" s="959" t="s">
        <v>3731</v>
      </c>
      <c r="C29" s="295" t="s">
        <v>3732</v>
      </c>
      <c r="D29" s="681">
        <v>65</v>
      </c>
      <c r="E29" s="681">
        <v>0</v>
      </c>
      <c r="F29" s="1002">
        <f t="shared" si="7"/>
        <v>3.3975676900024392E-2</v>
      </c>
      <c r="G29" s="950"/>
      <c r="H29" s="752" t="s">
        <v>3717</v>
      </c>
      <c r="I29" s="295"/>
      <c r="J29" s="689">
        <f t="shared" si="6"/>
        <v>1100</v>
      </c>
      <c r="K29" s="681"/>
      <c r="L29" s="998"/>
      <c r="M29" s="681"/>
      <c r="N29" s="681"/>
      <c r="O29" s="681"/>
      <c r="P29" s="681"/>
      <c r="Q29" s="681"/>
      <c r="R29" s="681"/>
      <c r="S29" s="681">
        <v>100</v>
      </c>
      <c r="T29" s="681">
        <v>100</v>
      </c>
      <c r="U29" s="681">
        <v>100</v>
      </c>
      <c r="V29" s="681">
        <v>100</v>
      </c>
      <c r="W29" s="681">
        <v>100</v>
      </c>
      <c r="X29" s="681">
        <v>100</v>
      </c>
      <c r="Y29" s="681">
        <v>100</v>
      </c>
      <c r="Z29" s="681">
        <v>100</v>
      </c>
      <c r="AA29" s="681">
        <v>100</v>
      </c>
      <c r="AB29" s="681">
        <v>100</v>
      </c>
      <c r="AC29" s="681">
        <v>100</v>
      </c>
    </row>
    <row r="30" spans="1:29" x14ac:dyDescent="0.35">
      <c r="A30" s="959" t="s">
        <v>3733</v>
      </c>
      <c r="C30" s="295"/>
      <c r="D30" s="681">
        <v>50</v>
      </c>
      <c r="E30" s="681">
        <v>0</v>
      </c>
      <c r="F30" s="1002">
        <f t="shared" si="7"/>
        <v>2.6135136076941838E-2</v>
      </c>
      <c r="G30" s="950"/>
      <c r="H30" s="293" t="s">
        <v>3676</v>
      </c>
      <c r="I30" s="295" t="s">
        <v>3734</v>
      </c>
      <c r="J30" s="689">
        <f t="shared" si="6"/>
        <v>156</v>
      </c>
      <c r="K30" s="681"/>
      <c r="L30" s="681"/>
      <c r="M30" s="681"/>
      <c r="N30" s="681"/>
      <c r="O30" s="681"/>
      <c r="P30" s="681">
        <v>13</v>
      </c>
      <c r="Q30" s="681"/>
      <c r="R30" s="681"/>
      <c r="S30" s="681">
        <v>13</v>
      </c>
      <c r="T30" s="681">
        <v>13</v>
      </c>
      <c r="U30" s="681">
        <v>13</v>
      </c>
      <c r="V30" s="681">
        <v>13</v>
      </c>
      <c r="W30" s="681">
        <v>13</v>
      </c>
      <c r="X30" s="681">
        <v>13</v>
      </c>
      <c r="Y30" s="681">
        <v>13</v>
      </c>
      <c r="Z30" s="681">
        <v>13</v>
      </c>
      <c r="AA30" s="681">
        <v>13</v>
      </c>
      <c r="AB30" s="681">
        <v>13</v>
      </c>
      <c r="AC30" s="681">
        <v>13</v>
      </c>
    </row>
    <row r="31" spans="1:29" x14ac:dyDescent="0.35">
      <c r="A31" s="295" t="s">
        <v>3735</v>
      </c>
      <c r="B31" s="295"/>
      <c r="C31" s="295" t="s">
        <v>3736</v>
      </c>
      <c r="D31" s="576">
        <v>15</v>
      </c>
      <c r="E31" s="576">
        <v>15</v>
      </c>
      <c r="F31" s="1002">
        <f t="shared" si="7"/>
        <v>7.8405408230825518E-3</v>
      </c>
      <c r="G31" s="950"/>
      <c r="H31" s="295" t="s">
        <v>3719</v>
      </c>
      <c r="I31" s="295" t="s">
        <v>3737</v>
      </c>
      <c r="J31" s="689">
        <f t="shared" si="6"/>
        <v>252</v>
      </c>
      <c r="K31" s="681"/>
      <c r="L31" s="681"/>
      <c r="M31" s="681"/>
      <c r="N31" s="681"/>
      <c r="O31" s="681"/>
      <c r="P31" s="681"/>
      <c r="Q31" s="681">
        <v>21</v>
      </c>
      <c r="R31" s="681"/>
      <c r="S31" s="681">
        <v>21</v>
      </c>
      <c r="T31" s="681">
        <v>21</v>
      </c>
      <c r="U31" s="681">
        <v>21</v>
      </c>
      <c r="V31" s="681">
        <v>21</v>
      </c>
      <c r="W31" s="681">
        <v>21</v>
      </c>
      <c r="X31" s="681">
        <v>21</v>
      </c>
      <c r="Y31" s="681">
        <v>21</v>
      </c>
      <c r="Z31" s="681">
        <v>21</v>
      </c>
      <c r="AA31" s="681">
        <v>21</v>
      </c>
      <c r="AB31" s="681">
        <v>21</v>
      </c>
      <c r="AC31" s="681">
        <v>21</v>
      </c>
    </row>
    <row r="32" spans="1:29" x14ac:dyDescent="0.35">
      <c r="A32" s="295" t="s">
        <v>3738</v>
      </c>
      <c r="B32" s="295" t="s">
        <v>3739</v>
      </c>
      <c r="C32" s="295"/>
      <c r="D32" s="576"/>
      <c r="E32" s="576"/>
      <c r="F32" s="1002">
        <f t="shared" si="7"/>
        <v>0</v>
      </c>
      <c r="G32" s="950"/>
      <c r="H32" s="293" t="s">
        <v>3721</v>
      </c>
      <c r="J32" s="689">
        <f t="shared" si="6"/>
        <v>1300</v>
      </c>
      <c r="K32" s="681"/>
      <c r="L32" s="681"/>
      <c r="M32" s="681"/>
      <c r="N32" s="681"/>
      <c r="O32" s="681"/>
      <c r="P32" s="681"/>
      <c r="Q32" s="681">
        <v>100</v>
      </c>
      <c r="R32" s="681">
        <v>100</v>
      </c>
      <c r="S32" s="681">
        <v>100</v>
      </c>
      <c r="T32" s="681">
        <v>100</v>
      </c>
      <c r="U32" s="681">
        <v>100</v>
      </c>
      <c r="V32" s="681">
        <v>100</v>
      </c>
      <c r="W32" s="681">
        <v>100</v>
      </c>
      <c r="X32" s="681">
        <v>100</v>
      </c>
      <c r="Y32" s="681">
        <v>100</v>
      </c>
      <c r="Z32" s="681">
        <v>100</v>
      </c>
      <c r="AA32" s="681">
        <v>100</v>
      </c>
      <c r="AB32" s="681">
        <v>100</v>
      </c>
      <c r="AC32" s="681">
        <v>100</v>
      </c>
    </row>
    <row r="33" spans="1:29" x14ac:dyDescent="0.35">
      <c r="A33" s="295" t="s">
        <v>3740</v>
      </c>
      <c r="B33" s="295"/>
      <c r="C33" s="295"/>
      <c r="D33" s="576"/>
      <c r="E33" s="576">
        <v>21</v>
      </c>
      <c r="F33" s="1002">
        <f t="shared" si="7"/>
        <v>0</v>
      </c>
      <c r="G33" s="950"/>
      <c r="H33" s="293" t="s">
        <v>3728</v>
      </c>
      <c r="J33" s="689">
        <f t="shared" si="6"/>
        <v>3965</v>
      </c>
      <c r="K33" s="576"/>
      <c r="L33" s="576"/>
      <c r="M33" s="576"/>
      <c r="N33" s="576"/>
      <c r="O33" s="576"/>
      <c r="P33" s="576">
        <v>75</v>
      </c>
      <c r="Q33" s="576">
        <v>75</v>
      </c>
      <c r="R33" s="576">
        <v>75</v>
      </c>
      <c r="S33" s="576">
        <f t="shared" ref="S33:AC33" si="8">85*4</f>
        <v>340</v>
      </c>
      <c r="T33" s="576">
        <f t="shared" si="8"/>
        <v>340</v>
      </c>
      <c r="U33" s="576">
        <f t="shared" si="8"/>
        <v>340</v>
      </c>
      <c r="V33" s="576">
        <f t="shared" si="8"/>
        <v>340</v>
      </c>
      <c r="W33" s="576">
        <f t="shared" si="8"/>
        <v>340</v>
      </c>
      <c r="X33" s="576">
        <f t="shared" si="8"/>
        <v>340</v>
      </c>
      <c r="Y33" s="576">
        <f t="shared" si="8"/>
        <v>340</v>
      </c>
      <c r="Z33" s="576">
        <f t="shared" si="8"/>
        <v>340</v>
      </c>
      <c r="AA33" s="576">
        <f t="shared" si="8"/>
        <v>340</v>
      </c>
      <c r="AB33" s="576">
        <f t="shared" si="8"/>
        <v>340</v>
      </c>
      <c r="AC33" s="576">
        <f t="shared" si="8"/>
        <v>340</v>
      </c>
    </row>
    <row r="34" spans="1:29" x14ac:dyDescent="0.35">
      <c r="A34" s="295" t="s">
        <v>3741</v>
      </c>
      <c r="B34" s="295" t="s">
        <v>3742</v>
      </c>
      <c r="D34" s="576">
        <v>90</v>
      </c>
      <c r="E34" s="576"/>
      <c r="F34" s="1002">
        <f t="shared" si="7"/>
        <v>4.7043244938495307E-2</v>
      </c>
      <c r="G34" s="950"/>
      <c r="H34" s="295" t="s">
        <v>3735</v>
      </c>
      <c r="I34" s="295" t="s">
        <v>3736</v>
      </c>
      <c r="J34" s="689">
        <f t="shared" si="6"/>
        <v>180</v>
      </c>
      <c r="K34" s="681"/>
      <c r="L34" s="681"/>
      <c r="M34" s="681"/>
      <c r="N34" s="681"/>
      <c r="O34" s="681"/>
      <c r="P34" s="681">
        <v>15</v>
      </c>
      <c r="Q34" s="681"/>
      <c r="R34" s="681"/>
      <c r="S34" s="681">
        <v>15</v>
      </c>
      <c r="T34" s="681">
        <v>15</v>
      </c>
      <c r="U34" s="681">
        <v>15</v>
      </c>
      <c r="V34" s="681">
        <v>15</v>
      </c>
      <c r="W34" s="681">
        <v>15</v>
      </c>
      <c r="X34" s="681">
        <v>15</v>
      </c>
      <c r="Y34" s="681">
        <v>15</v>
      </c>
      <c r="Z34" s="681">
        <v>15</v>
      </c>
      <c r="AA34" s="681">
        <v>15</v>
      </c>
      <c r="AB34" s="681">
        <v>15</v>
      </c>
      <c r="AC34" s="681">
        <v>15</v>
      </c>
    </row>
    <row r="35" spans="1:29" x14ac:dyDescent="0.35">
      <c r="A35" s="295" t="s">
        <v>3743</v>
      </c>
      <c r="B35" s="295" t="s">
        <v>3744</v>
      </c>
      <c r="C35" s="295" t="s">
        <v>3709</v>
      </c>
      <c r="D35" s="576">
        <v>12</v>
      </c>
      <c r="E35" s="576"/>
      <c r="F35" s="1002">
        <f t="shared" si="7"/>
        <v>6.2724326584660418E-3</v>
      </c>
      <c r="G35" s="950"/>
      <c r="H35" s="295" t="s">
        <v>3745</v>
      </c>
      <c r="I35" s="295" t="s">
        <v>3711</v>
      </c>
      <c r="J35" s="689">
        <f t="shared" si="6"/>
        <v>0</v>
      </c>
      <c r="K35" s="681"/>
      <c r="L35" s="681"/>
      <c r="M35" s="681"/>
      <c r="N35" s="681"/>
      <c r="O35" s="681"/>
      <c r="P35" s="681"/>
      <c r="Q35" s="681"/>
      <c r="R35" s="681"/>
      <c r="S35" s="681"/>
      <c r="T35" s="681"/>
      <c r="U35" s="681"/>
      <c r="V35" s="681"/>
      <c r="W35" s="681"/>
      <c r="X35" s="681"/>
      <c r="Y35" s="681"/>
      <c r="Z35" s="681"/>
      <c r="AA35" s="681"/>
      <c r="AB35" s="681"/>
      <c r="AC35" s="681"/>
    </row>
    <row r="36" spans="1:29" x14ac:dyDescent="0.35">
      <c r="A36" s="295" t="s">
        <v>3746</v>
      </c>
      <c r="B36" s="295" t="s">
        <v>3747</v>
      </c>
      <c r="C36" s="295" t="s">
        <v>3730</v>
      </c>
      <c r="D36" s="732"/>
      <c r="E36" s="732"/>
      <c r="F36" s="1002">
        <f t="shared" si="7"/>
        <v>0</v>
      </c>
      <c r="G36" s="950"/>
      <c r="H36" s="295" t="s">
        <v>3748</v>
      </c>
      <c r="I36" s="295" t="s">
        <v>3736</v>
      </c>
      <c r="J36" s="689">
        <f t="shared" si="6"/>
        <v>0</v>
      </c>
      <c r="K36" s="681"/>
      <c r="L36" s="681"/>
      <c r="M36" s="681"/>
      <c r="N36" s="681"/>
      <c r="O36" s="681"/>
      <c r="P36" s="681"/>
      <c r="Q36" s="681"/>
      <c r="R36" s="681"/>
      <c r="S36" s="681"/>
      <c r="T36" s="681"/>
      <c r="U36" s="681"/>
      <c r="V36" s="681"/>
      <c r="W36" s="681"/>
      <c r="X36" s="681"/>
      <c r="Y36" s="681"/>
      <c r="Z36" s="681"/>
      <c r="AA36" s="681"/>
      <c r="AB36" s="681"/>
      <c r="AC36" s="681"/>
    </row>
    <row r="37" spans="1:29" x14ac:dyDescent="0.35">
      <c r="A37" s="295" t="s">
        <v>3645</v>
      </c>
      <c r="B37" s="295" t="s">
        <v>3749</v>
      </c>
      <c r="C37" s="295"/>
      <c r="D37" s="732"/>
      <c r="E37" s="732"/>
      <c r="F37" s="1002">
        <f t="shared" si="7"/>
        <v>0</v>
      </c>
      <c r="G37" s="950"/>
      <c r="H37" s="935" t="s">
        <v>3743</v>
      </c>
      <c r="I37" s="295" t="s">
        <v>3709</v>
      </c>
      <c r="J37" s="689">
        <f t="shared" si="6"/>
        <v>144</v>
      </c>
      <c r="K37" s="681"/>
      <c r="L37" s="681"/>
      <c r="M37" s="681"/>
      <c r="N37" s="681"/>
      <c r="O37" s="681"/>
      <c r="P37" s="681">
        <v>12</v>
      </c>
      <c r="Q37" s="681"/>
      <c r="R37" s="681"/>
      <c r="S37" s="681">
        <v>12</v>
      </c>
      <c r="T37" s="681">
        <v>12</v>
      </c>
      <c r="U37" s="681">
        <v>12</v>
      </c>
      <c r="V37" s="681">
        <v>12</v>
      </c>
      <c r="W37" s="681">
        <v>12</v>
      </c>
      <c r="X37" s="681">
        <v>12</v>
      </c>
      <c r="Y37" s="681">
        <v>12</v>
      </c>
      <c r="Z37" s="681">
        <v>12</v>
      </c>
      <c r="AA37" s="681">
        <v>12</v>
      </c>
      <c r="AB37" s="681">
        <v>12</v>
      </c>
      <c r="AC37" s="681">
        <v>12</v>
      </c>
    </row>
    <row r="38" spans="1:29" x14ac:dyDescent="0.35">
      <c r="A38" s="295"/>
      <c r="B38" s="295"/>
      <c r="E38" s="732"/>
      <c r="F38" s="1002">
        <f t="shared" si="7"/>
        <v>0</v>
      </c>
      <c r="G38" s="950"/>
      <c r="H38" s="935" t="s">
        <v>3741</v>
      </c>
      <c r="I38" s="295"/>
      <c r="J38" s="689">
        <f t="shared" si="6"/>
        <v>1080</v>
      </c>
      <c r="K38" s="681"/>
      <c r="L38" s="681"/>
      <c r="M38" s="681"/>
      <c r="N38" s="681"/>
      <c r="O38" s="681"/>
      <c r="P38" s="681">
        <v>45</v>
      </c>
      <c r="Q38" s="681"/>
      <c r="R38" s="681">
        <v>45</v>
      </c>
      <c r="S38" s="681">
        <v>90</v>
      </c>
      <c r="T38" s="681">
        <v>90</v>
      </c>
      <c r="U38" s="681">
        <v>90</v>
      </c>
      <c r="V38" s="681">
        <v>90</v>
      </c>
      <c r="W38" s="681">
        <v>90</v>
      </c>
      <c r="X38" s="681">
        <v>90</v>
      </c>
      <c r="Y38" s="681">
        <v>90</v>
      </c>
      <c r="Z38" s="681">
        <v>90</v>
      </c>
      <c r="AA38" s="681">
        <v>90</v>
      </c>
      <c r="AB38" s="681">
        <v>90</v>
      </c>
      <c r="AC38" s="681">
        <v>90</v>
      </c>
    </row>
    <row r="39" spans="1:29" x14ac:dyDescent="0.35">
      <c r="A39" s="295" t="s">
        <v>3750</v>
      </c>
      <c r="B39" s="295" t="s">
        <v>3751</v>
      </c>
      <c r="D39" s="957">
        <v>5</v>
      </c>
      <c r="E39" s="732"/>
      <c r="F39" s="1002">
        <f t="shared" si="7"/>
        <v>2.6135136076941841E-3</v>
      </c>
      <c r="G39" s="950"/>
      <c r="H39" s="935" t="s">
        <v>3752</v>
      </c>
      <c r="I39" s="295"/>
      <c r="J39" s="689">
        <f t="shared" si="6"/>
        <v>0</v>
      </c>
      <c r="K39" s="681"/>
      <c r="L39" s="681"/>
      <c r="M39" s="681"/>
      <c r="N39" s="681"/>
      <c r="O39" s="681"/>
      <c r="P39" s="681"/>
      <c r="Q39" s="681"/>
      <c r="R39" s="681"/>
      <c r="S39" s="681"/>
      <c r="T39" s="681"/>
      <c r="U39" s="681"/>
      <c r="V39" s="681"/>
      <c r="W39" s="681"/>
      <c r="X39" s="681"/>
      <c r="Y39" s="681"/>
      <c r="Z39" s="681"/>
      <c r="AA39" s="681"/>
      <c r="AB39" s="681"/>
      <c r="AC39" s="681"/>
    </row>
    <row r="40" spans="1:29" x14ac:dyDescent="0.35">
      <c r="A40" s="295"/>
      <c r="B40" s="295"/>
      <c r="E40" s="681"/>
      <c r="F40" s="1002">
        <f t="shared" si="7"/>
        <v>0</v>
      </c>
      <c r="G40" s="950"/>
      <c r="H40" s="935" t="s">
        <v>3645</v>
      </c>
      <c r="I40" s="295"/>
      <c r="J40" s="689">
        <f t="shared" si="6"/>
        <v>0</v>
      </c>
      <c r="K40" s="681"/>
      <c r="L40" s="681"/>
      <c r="M40" s="681"/>
      <c r="N40" s="681"/>
      <c r="O40" s="681"/>
      <c r="P40" s="681"/>
      <c r="Q40" s="681"/>
      <c r="R40" s="681"/>
      <c r="S40" s="681"/>
      <c r="T40" s="681"/>
      <c r="U40" s="681"/>
      <c r="V40" s="681"/>
      <c r="W40" s="681"/>
      <c r="X40" s="681"/>
      <c r="Y40" s="681"/>
      <c r="Z40" s="681"/>
      <c r="AA40" s="681"/>
      <c r="AB40" s="681"/>
      <c r="AC40" s="681"/>
    </row>
    <row r="41" spans="1:29" x14ac:dyDescent="0.35">
      <c r="A41" s="295"/>
      <c r="C41" s="681"/>
      <c r="D41" s="681"/>
      <c r="E41" s="681"/>
      <c r="F41" s="1002">
        <f t="shared" si="7"/>
        <v>0</v>
      </c>
      <c r="G41" s="950"/>
      <c r="H41" s="295"/>
      <c r="J41" s="689">
        <f t="shared" si="6"/>
        <v>0</v>
      </c>
      <c r="K41" s="681"/>
      <c r="L41" s="681"/>
      <c r="M41" s="681"/>
      <c r="N41" s="681"/>
      <c r="O41" s="681"/>
      <c r="P41" s="681"/>
      <c r="Q41" s="681"/>
      <c r="R41" s="681"/>
      <c r="S41" s="681"/>
      <c r="T41" s="681"/>
      <c r="U41" s="681"/>
      <c r="V41" s="681"/>
      <c r="W41" s="681"/>
      <c r="X41" s="681"/>
      <c r="Y41" s="681"/>
      <c r="Z41" s="681"/>
      <c r="AA41" s="681"/>
      <c r="AB41" s="681"/>
      <c r="AC41" s="681"/>
    </row>
    <row r="42" spans="1:29" ht="13.5" customHeight="1" thickBot="1" x14ac:dyDescent="0.45">
      <c r="A42" s="294" t="s">
        <v>3753</v>
      </c>
      <c r="B42" s="294"/>
      <c r="C42" s="294"/>
      <c r="D42" s="1015">
        <f>SUM(D11:D41)</f>
        <v>1580.44</v>
      </c>
      <c r="E42" s="1015">
        <f>SUM(E11:E41)</f>
        <v>1348.72</v>
      </c>
      <c r="F42" s="1002">
        <f t="shared" si="7"/>
        <v>0.82610028922883927</v>
      </c>
      <c r="G42" s="950"/>
      <c r="H42" s="295"/>
      <c r="J42" s="689">
        <f t="shared" si="6"/>
        <v>0</v>
      </c>
      <c r="K42" s="681"/>
      <c r="L42" s="681"/>
      <c r="M42" s="681"/>
      <c r="N42" s="681"/>
      <c r="O42" s="681"/>
      <c r="P42" s="681"/>
      <c r="Q42" s="681"/>
      <c r="R42" s="681"/>
      <c r="S42" s="681"/>
      <c r="T42" s="681"/>
      <c r="U42" s="681"/>
      <c r="V42" s="681"/>
      <c r="W42" s="681"/>
      <c r="X42" s="681"/>
      <c r="Y42" s="681"/>
      <c r="Z42" s="681"/>
      <c r="AA42" s="681"/>
      <c r="AB42" s="681"/>
      <c r="AC42" s="681"/>
    </row>
    <row r="43" spans="1:29" ht="13.5" customHeight="1" thickTop="1" x14ac:dyDescent="0.4">
      <c r="H43" s="647" t="s">
        <v>3754</v>
      </c>
      <c r="J43" s="689">
        <f t="shared" si="6"/>
        <v>0</v>
      </c>
      <c r="K43" s="681"/>
      <c r="L43" s="681"/>
      <c r="M43" s="681"/>
      <c r="N43" s="681"/>
      <c r="O43" s="681"/>
      <c r="P43" s="681"/>
      <c r="Q43" s="681"/>
      <c r="R43" s="681"/>
      <c r="S43" s="681"/>
      <c r="T43" s="681"/>
      <c r="U43" s="681"/>
      <c r="V43" s="681"/>
      <c r="W43" s="681"/>
      <c r="X43" s="681"/>
      <c r="Y43" s="681"/>
      <c r="Z43" s="681"/>
      <c r="AA43" s="681"/>
      <c r="AB43" s="681"/>
      <c r="AC43" s="681"/>
    </row>
    <row r="44" spans="1:29" ht="13.5" customHeight="1" thickBot="1" x14ac:dyDescent="0.45">
      <c r="A44" s="686" t="s">
        <v>3755</v>
      </c>
      <c r="B44" s="686" t="s">
        <v>3756</v>
      </c>
      <c r="C44" s="1008">
        <f>C6-(D42-D38-D40)</f>
        <v>1044.5599999999995</v>
      </c>
      <c r="D44" s="1008">
        <f>D6-D42</f>
        <v>1347.4069583333335</v>
      </c>
      <c r="E44" s="1008">
        <f>E9-E42</f>
        <v>820.05552469135796</v>
      </c>
      <c r="F44" s="686"/>
      <c r="H44" s="295" t="s">
        <v>3757</v>
      </c>
      <c r="I44" s="295" t="s">
        <v>3709</v>
      </c>
      <c r="J44" s="689">
        <f t="shared" si="6"/>
        <v>120</v>
      </c>
      <c r="K44" s="681"/>
      <c r="L44" s="681"/>
      <c r="M44" s="681"/>
      <c r="N44" s="681"/>
      <c r="O44" s="681"/>
      <c r="P44" s="681">
        <v>10</v>
      </c>
      <c r="Q44" s="681"/>
      <c r="R44" s="681"/>
      <c r="S44" s="681">
        <v>10</v>
      </c>
      <c r="T44" s="681">
        <v>10</v>
      </c>
      <c r="U44" s="681">
        <v>10</v>
      </c>
      <c r="V44" s="681">
        <v>10</v>
      </c>
      <c r="W44" s="681">
        <v>10</v>
      </c>
      <c r="X44" s="681">
        <v>10</v>
      </c>
      <c r="Y44" s="681">
        <v>10</v>
      </c>
      <c r="Z44" s="681">
        <v>10</v>
      </c>
      <c r="AA44" s="681">
        <v>10</v>
      </c>
      <c r="AB44" s="681">
        <v>10</v>
      </c>
      <c r="AC44" s="681">
        <v>10</v>
      </c>
    </row>
    <row r="45" spans="1:29" ht="13.15" customHeight="1" x14ac:dyDescent="0.4">
      <c r="A45" s="295"/>
      <c r="B45" s="295"/>
      <c r="C45" s="295"/>
      <c r="D45" s="295"/>
      <c r="G45" s="647"/>
      <c r="H45" s="295" t="s">
        <v>1549</v>
      </c>
      <c r="I45" s="295" t="s">
        <v>3736</v>
      </c>
      <c r="J45" s="689">
        <f t="shared" si="6"/>
        <v>120</v>
      </c>
      <c r="K45" s="681"/>
      <c r="L45" s="681"/>
      <c r="M45" s="681"/>
      <c r="N45" s="681"/>
      <c r="O45" s="681"/>
      <c r="P45" s="681">
        <v>10</v>
      </c>
      <c r="Q45" s="681"/>
      <c r="R45" s="681"/>
      <c r="S45" s="681">
        <v>10</v>
      </c>
      <c r="T45" s="681">
        <v>10</v>
      </c>
      <c r="U45" s="681">
        <v>10</v>
      </c>
      <c r="V45" s="681">
        <v>10</v>
      </c>
      <c r="W45" s="681">
        <v>10</v>
      </c>
      <c r="X45" s="681">
        <v>10</v>
      </c>
      <c r="Y45" s="681">
        <v>10</v>
      </c>
      <c r="Z45" s="681">
        <v>10</v>
      </c>
      <c r="AA45" s="681">
        <v>10</v>
      </c>
      <c r="AB45" s="681">
        <v>10</v>
      </c>
      <c r="AC45" s="681">
        <v>10</v>
      </c>
    </row>
    <row r="46" spans="1:29" ht="13.15" customHeight="1" x14ac:dyDescent="0.4">
      <c r="A46" s="647" t="s">
        <v>3758</v>
      </c>
      <c r="B46" s="647" t="s">
        <v>3759</v>
      </c>
      <c r="C46" s="647"/>
      <c r="D46" s="297" t="s">
        <v>3760</v>
      </c>
      <c r="E46" s="297" t="s">
        <v>3761</v>
      </c>
      <c r="F46" s="647" t="s">
        <v>3762</v>
      </c>
      <c r="H46" s="935" t="s">
        <v>3763</v>
      </c>
      <c r="I46" s="295" t="s">
        <v>3764</v>
      </c>
      <c r="J46" s="689">
        <f t="shared" ref="J46:J63" si="9">SUM(K46:AD46)</f>
        <v>0</v>
      </c>
      <c r="K46" s="681"/>
      <c r="L46" s="681"/>
      <c r="M46" s="681"/>
      <c r="N46" s="681"/>
      <c r="O46" s="681"/>
      <c r="P46" s="681">
        <v>0</v>
      </c>
      <c r="Q46" s="681"/>
      <c r="R46" s="681"/>
      <c r="S46" s="681">
        <v>0</v>
      </c>
      <c r="T46" s="681">
        <v>0</v>
      </c>
      <c r="U46" s="681">
        <v>0</v>
      </c>
      <c r="V46" s="681">
        <v>0</v>
      </c>
      <c r="W46" s="681">
        <v>0</v>
      </c>
      <c r="X46" s="681">
        <v>0</v>
      </c>
      <c r="Y46" s="681">
        <v>0</v>
      </c>
      <c r="Z46" s="681">
        <v>0</v>
      </c>
      <c r="AA46" s="681">
        <v>0</v>
      </c>
      <c r="AB46" s="681">
        <v>0</v>
      </c>
      <c r="AC46" s="681">
        <v>0</v>
      </c>
    </row>
    <row r="47" spans="1:29" x14ac:dyDescent="0.35">
      <c r="A47" s="295"/>
      <c r="B47" s="295"/>
      <c r="C47" s="295"/>
      <c r="D47" s="295"/>
      <c r="G47" s="295"/>
      <c r="H47" s="935" t="s">
        <v>3765</v>
      </c>
      <c r="I47" s="295" t="s">
        <v>3736</v>
      </c>
      <c r="J47" s="689">
        <f t="shared" si="9"/>
        <v>0</v>
      </c>
      <c r="K47" s="681"/>
      <c r="L47" s="681"/>
      <c r="M47" s="681"/>
      <c r="N47" s="681"/>
      <c r="O47" s="681"/>
      <c r="P47" s="681"/>
      <c r="Q47" s="681"/>
      <c r="R47" s="681"/>
      <c r="S47" s="681"/>
      <c r="T47" s="681"/>
      <c r="U47" s="681"/>
      <c r="V47" s="681"/>
      <c r="W47" s="681"/>
      <c r="X47" s="681"/>
      <c r="Y47" s="681"/>
      <c r="Z47" s="681"/>
      <c r="AA47" s="681"/>
      <c r="AB47" s="681"/>
      <c r="AC47" s="681"/>
    </row>
    <row r="48" spans="1:29" x14ac:dyDescent="0.35">
      <c r="A48" s="295" t="s">
        <v>3757</v>
      </c>
      <c r="B48" s="295" t="s">
        <v>3766</v>
      </c>
      <c r="C48" s="295" t="s">
        <v>3709</v>
      </c>
      <c r="D48" s="293">
        <v>10</v>
      </c>
      <c r="E48" s="1006">
        <f>D48*12</f>
        <v>120</v>
      </c>
      <c r="F48" s="1002">
        <f t="shared" ref="F48:F81" si="10">D48/$D$103</f>
        <v>5.2270272153883681E-3</v>
      </c>
      <c r="G48" s="950"/>
      <c r="H48" s="935" t="s">
        <v>3767</v>
      </c>
      <c r="I48" s="295" t="s">
        <v>3723</v>
      </c>
      <c r="J48" s="689">
        <f t="shared" si="9"/>
        <v>55</v>
      </c>
      <c r="K48" s="681"/>
      <c r="L48" s="681"/>
      <c r="M48" s="681"/>
      <c r="N48" s="681"/>
      <c r="O48" s="681"/>
      <c r="P48" s="681"/>
      <c r="Q48" s="681"/>
      <c r="R48" s="681"/>
      <c r="S48" s="681">
        <v>5</v>
      </c>
      <c r="T48" s="681">
        <v>5</v>
      </c>
      <c r="U48" s="681">
        <v>5</v>
      </c>
      <c r="V48" s="681">
        <v>5</v>
      </c>
      <c r="W48" s="681">
        <v>5</v>
      </c>
      <c r="X48" s="681">
        <v>5</v>
      </c>
      <c r="Y48" s="681">
        <v>5</v>
      </c>
      <c r="Z48" s="681">
        <v>5</v>
      </c>
      <c r="AA48" s="681">
        <v>5</v>
      </c>
      <c r="AB48" s="681">
        <v>5</v>
      </c>
      <c r="AC48" s="681">
        <v>5</v>
      </c>
    </row>
    <row r="49" spans="1:30" x14ac:dyDescent="0.35">
      <c r="A49" s="959" t="s">
        <v>1549</v>
      </c>
      <c r="B49" s="959" t="s">
        <v>382</v>
      </c>
      <c r="C49" s="959" t="s">
        <v>3736</v>
      </c>
      <c r="D49" s="958">
        <v>9.98</v>
      </c>
      <c r="E49" s="1006">
        <f>D49*12</f>
        <v>119.76</v>
      </c>
      <c r="F49" s="1002">
        <f t="shared" si="10"/>
        <v>5.2165731609575914E-3</v>
      </c>
      <c r="G49" s="950"/>
      <c r="H49" s="935" t="s">
        <v>3768</v>
      </c>
      <c r="I49" s="295" t="s">
        <v>3737</v>
      </c>
      <c r="J49" s="689">
        <f t="shared" si="9"/>
        <v>192</v>
      </c>
      <c r="K49" s="681"/>
      <c r="L49" s="681"/>
      <c r="M49" s="681"/>
      <c r="N49" s="681"/>
      <c r="O49" s="681"/>
      <c r="P49" s="681">
        <v>16</v>
      </c>
      <c r="Q49" s="681"/>
      <c r="R49" s="681"/>
      <c r="S49" s="681">
        <v>16</v>
      </c>
      <c r="T49" s="681">
        <v>16</v>
      </c>
      <c r="U49" s="681">
        <v>16</v>
      </c>
      <c r="V49" s="681">
        <v>16</v>
      </c>
      <c r="W49" s="681">
        <v>16</v>
      </c>
      <c r="X49" s="681">
        <v>16</v>
      </c>
      <c r="Y49" s="681">
        <v>16</v>
      </c>
      <c r="Z49" s="681">
        <v>16</v>
      </c>
      <c r="AA49" s="681">
        <v>16</v>
      </c>
      <c r="AB49" s="681">
        <v>16</v>
      </c>
      <c r="AC49" s="681">
        <v>16</v>
      </c>
    </row>
    <row r="50" spans="1:30" x14ac:dyDescent="0.35">
      <c r="A50" s="295" t="s">
        <v>3769</v>
      </c>
      <c r="B50" s="295" t="s">
        <v>3770</v>
      </c>
      <c r="C50" s="295"/>
      <c r="D50" s="293">
        <f>E50/12</f>
        <v>7.916666666666667</v>
      </c>
      <c r="E50" s="1006">
        <v>95</v>
      </c>
      <c r="F50" s="1002">
        <f t="shared" si="10"/>
        <v>4.1380632121824582E-3</v>
      </c>
      <c r="G50" s="950"/>
      <c r="H50" s="935" t="s">
        <v>3771</v>
      </c>
      <c r="I50" s="295" t="s">
        <v>3708</v>
      </c>
      <c r="J50" s="689">
        <f t="shared" si="9"/>
        <v>220</v>
      </c>
      <c r="K50" s="681"/>
      <c r="L50" s="681"/>
      <c r="M50" s="681"/>
      <c r="N50" s="681"/>
      <c r="O50" s="681"/>
      <c r="P50" s="681"/>
      <c r="Q50" s="681"/>
      <c r="R50" s="681"/>
      <c r="S50" s="681">
        <v>20</v>
      </c>
      <c r="T50" s="681">
        <v>20</v>
      </c>
      <c r="U50" s="681">
        <v>20</v>
      </c>
      <c r="V50" s="681">
        <v>20</v>
      </c>
      <c r="W50" s="681">
        <v>20</v>
      </c>
      <c r="X50" s="681">
        <v>20</v>
      </c>
      <c r="Y50" s="681">
        <v>20</v>
      </c>
      <c r="Z50" s="681">
        <v>20</v>
      </c>
      <c r="AA50" s="681">
        <v>20</v>
      </c>
      <c r="AB50" s="681">
        <v>20</v>
      </c>
      <c r="AC50" s="681">
        <v>20</v>
      </c>
    </row>
    <row r="51" spans="1:30" x14ac:dyDescent="0.35">
      <c r="A51" s="295" t="s">
        <v>3763</v>
      </c>
      <c r="B51" s="295" t="s">
        <v>3772</v>
      </c>
      <c r="C51" s="295" t="s">
        <v>3708</v>
      </c>
      <c r="E51" s="1006"/>
      <c r="F51" s="1002">
        <f t="shared" si="10"/>
        <v>0</v>
      </c>
      <c r="G51" s="950"/>
      <c r="H51" s="295" t="s">
        <v>3773</v>
      </c>
      <c r="I51" s="295" t="s">
        <v>3736</v>
      </c>
      <c r="J51" s="689">
        <f t="shared" si="9"/>
        <v>420</v>
      </c>
      <c r="K51" s="681"/>
      <c r="L51" s="681"/>
      <c r="M51" s="681"/>
      <c r="N51" s="681"/>
      <c r="O51" s="681"/>
      <c r="P51" s="681">
        <v>35</v>
      </c>
      <c r="Q51" s="681"/>
      <c r="R51" s="681"/>
      <c r="S51" s="681">
        <v>35</v>
      </c>
      <c r="T51" s="681">
        <v>35</v>
      </c>
      <c r="U51" s="681">
        <v>35</v>
      </c>
      <c r="V51" s="681">
        <v>35</v>
      </c>
      <c r="W51" s="681">
        <v>35</v>
      </c>
      <c r="X51" s="681">
        <v>35</v>
      </c>
      <c r="Y51" s="681">
        <v>35</v>
      </c>
      <c r="Z51" s="681">
        <v>35</v>
      </c>
      <c r="AA51" s="681">
        <v>35</v>
      </c>
      <c r="AB51" s="681">
        <v>35</v>
      </c>
      <c r="AC51" s="681">
        <v>35</v>
      </c>
    </row>
    <row r="52" spans="1:30" x14ac:dyDescent="0.35">
      <c r="A52" s="295" t="s">
        <v>3774</v>
      </c>
      <c r="B52" s="295" t="s">
        <v>3775</v>
      </c>
      <c r="C52" s="295" t="s">
        <v>3736</v>
      </c>
      <c r="D52" s="295">
        <f>273/12</f>
        <v>22.75</v>
      </c>
      <c r="E52" s="1006">
        <f>D52*12</f>
        <v>273</v>
      </c>
      <c r="F52" s="1002">
        <f t="shared" si="10"/>
        <v>1.1891486915008537E-2</v>
      </c>
      <c r="G52" s="950"/>
      <c r="H52" s="295" t="s">
        <v>3776</v>
      </c>
      <c r="I52" s="295" t="s">
        <v>3777</v>
      </c>
      <c r="J52" s="689">
        <f t="shared" si="9"/>
        <v>180</v>
      </c>
      <c r="K52" s="681"/>
      <c r="L52" s="681"/>
      <c r="M52" s="681"/>
      <c r="N52" s="681"/>
      <c r="O52" s="681"/>
      <c r="P52" s="681">
        <v>15</v>
      </c>
      <c r="Q52" s="681"/>
      <c r="R52" s="681"/>
      <c r="S52" s="681">
        <v>15</v>
      </c>
      <c r="T52" s="681">
        <v>15</v>
      </c>
      <c r="U52" s="681">
        <v>15</v>
      </c>
      <c r="V52" s="681">
        <v>15</v>
      </c>
      <c r="W52" s="681">
        <v>15</v>
      </c>
      <c r="X52" s="681">
        <v>15</v>
      </c>
      <c r="Y52" s="681">
        <v>15</v>
      </c>
      <c r="Z52" s="681">
        <v>15</v>
      </c>
      <c r="AA52" s="681">
        <v>15</v>
      </c>
      <c r="AB52" s="681">
        <v>15</v>
      </c>
      <c r="AC52" s="681">
        <v>15</v>
      </c>
    </row>
    <row r="53" spans="1:30" x14ac:dyDescent="0.35">
      <c r="A53" s="295" t="s">
        <v>3778</v>
      </c>
      <c r="B53" s="295" t="s">
        <v>3779</v>
      </c>
      <c r="C53" s="295" t="s">
        <v>3708</v>
      </c>
      <c r="D53" s="295">
        <v>45</v>
      </c>
      <c r="E53" s="1006">
        <f>D53*12</f>
        <v>540</v>
      </c>
      <c r="F53" s="1002">
        <f t="shared" si="10"/>
        <v>2.3521622469247654E-2</v>
      </c>
      <c r="G53" s="950"/>
      <c r="H53" s="935" t="s">
        <v>3780</v>
      </c>
      <c r="I53" s="295" t="s">
        <v>3736</v>
      </c>
      <c r="J53" s="689">
        <f t="shared" si="9"/>
        <v>0</v>
      </c>
      <c r="K53" s="681"/>
      <c r="L53" s="681"/>
      <c r="M53" s="681"/>
      <c r="N53" s="681"/>
      <c r="O53" s="681"/>
      <c r="P53" s="681"/>
      <c r="Q53" s="681"/>
      <c r="R53" s="681"/>
      <c r="S53" s="681"/>
      <c r="T53" s="681"/>
      <c r="U53" s="681"/>
      <c r="V53" s="681"/>
      <c r="W53" s="681"/>
      <c r="X53" s="681"/>
      <c r="Y53" s="681"/>
      <c r="Z53" s="681"/>
      <c r="AA53" s="681"/>
      <c r="AB53" s="681"/>
      <c r="AC53" s="681"/>
    </row>
    <row r="54" spans="1:30" x14ac:dyDescent="0.35">
      <c r="A54" s="295" t="s">
        <v>3781</v>
      </c>
      <c r="B54" s="295" t="s">
        <v>3782</v>
      </c>
      <c r="C54" s="295" t="s">
        <v>3736</v>
      </c>
      <c r="D54" s="295">
        <v>34.130000000000003</v>
      </c>
      <c r="E54" s="1006">
        <f>39+(10*34)</f>
        <v>379</v>
      </c>
      <c r="F54" s="1002">
        <f t="shared" si="10"/>
        <v>1.7839843886120501E-2</v>
      </c>
      <c r="G54" s="950"/>
      <c r="H54" s="935" t="s">
        <v>3783</v>
      </c>
      <c r="I54" s="295" t="s">
        <v>3699</v>
      </c>
      <c r="J54" s="689">
        <f t="shared" si="9"/>
        <v>0</v>
      </c>
      <c r="K54" s="681"/>
      <c r="L54" s="681"/>
      <c r="M54" s="681"/>
      <c r="N54" s="681"/>
      <c r="O54" s="681"/>
      <c r="P54" s="681"/>
      <c r="Q54" s="681"/>
      <c r="R54" s="681"/>
      <c r="S54" s="681"/>
      <c r="T54" s="681"/>
      <c r="U54" s="681"/>
      <c r="V54" s="681"/>
      <c r="W54" s="681"/>
      <c r="X54" s="681"/>
      <c r="Y54" s="681"/>
      <c r="Z54" s="681"/>
      <c r="AA54" s="681"/>
      <c r="AB54" s="681"/>
      <c r="AC54" s="681"/>
    </row>
    <row r="55" spans="1:30" x14ac:dyDescent="0.35">
      <c r="A55" s="295" t="s">
        <v>3784</v>
      </c>
      <c r="B55" s="295" t="s">
        <v>3785</v>
      </c>
      <c r="C55" s="295"/>
      <c r="D55" s="295">
        <f>E55/12</f>
        <v>10.5</v>
      </c>
      <c r="E55" s="1006">
        <v>126</v>
      </c>
      <c r="F55" s="1002">
        <f t="shared" si="10"/>
        <v>5.4883785761577859E-3</v>
      </c>
      <c r="G55" s="950"/>
      <c r="H55" s="935" t="s">
        <v>3786</v>
      </c>
      <c r="I55" s="295" t="s">
        <v>3764</v>
      </c>
      <c r="J55" s="689">
        <f t="shared" si="9"/>
        <v>77</v>
      </c>
      <c r="K55" s="681"/>
      <c r="L55" s="681"/>
      <c r="M55" s="681"/>
      <c r="N55" s="681"/>
      <c r="O55" s="681"/>
      <c r="P55" s="681"/>
      <c r="Q55" s="681"/>
      <c r="R55" s="681"/>
      <c r="S55" s="681">
        <v>7</v>
      </c>
      <c r="T55" s="681">
        <v>7</v>
      </c>
      <c r="U55" s="681">
        <v>7</v>
      </c>
      <c r="V55" s="681">
        <v>7</v>
      </c>
      <c r="W55" s="681">
        <v>7</v>
      </c>
      <c r="X55" s="681">
        <v>7</v>
      </c>
      <c r="Y55" s="681">
        <v>7</v>
      </c>
      <c r="Z55" s="681">
        <v>7</v>
      </c>
      <c r="AA55" s="681">
        <v>7</v>
      </c>
      <c r="AB55" s="681">
        <v>7</v>
      </c>
      <c r="AC55" s="681">
        <v>7</v>
      </c>
    </row>
    <row r="56" spans="1:30" x14ac:dyDescent="0.35">
      <c r="A56" s="295" t="s">
        <v>3787</v>
      </c>
      <c r="B56" s="295" t="s">
        <v>3788</v>
      </c>
      <c r="C56" s="295"/>
      <c r="D56" s="295">
        <f>E56/12</f>
        <v>4.916666666666667</v>
      </c>
      <c r="E56" s="1006">
        <v>59</v>
      </c>
      <c r="F56" s="1002">
        <f t="shared" si="10"/>
        <v>2.5699550475659478E-3</v>
      </c>
      <c r="G56" s="950"/>
      <c r="H56" s="295" t="s">
        <v>3789</v>
      </c>
      <c r="I56" s="295" t="s">
        <v>3790</v>
      </c>
      <c r="J56" s="689">
        <f t="shared" si="9"/>
        <v>121</v>
      </c>
      <c r="K56" s="681"/>
      <c r="L56" s="681"/>
      <c r="M56" s="681"/>
      <c r="N56" s="681"/>
      <c r="O56" s="681"/>
      <c r="P56" s="681"/>
      <c r="Q56" s="681"/>
      <c r="R56" s="681"/>
      <c r="S56" s="681">
        <v>11</v>
      </c>
      <c r="T56" s="681">
        <v>11</v>
      </c>
      <c r="U56" s="681">
        <v>11</v>
      </c>
      <c r="V56" s="681">
        <v>11</v>
      </c>
      <c r="W56" s="681">
        <v>11</v>
      </c>
      <c r="X56" s="681">
        <v>11</v>
      </c>
      <c r="Y56" s="681">
        <v>11</v>
      </c>
      <c r="Z56" s="681">
        <v>11</v>
      </c>
      <c r="AA56" s="681">
        <v>11</v>
      </c>
      <c r="AB56" s="681">
        <v>11</v>
      </c>
      <c r="AC56" s="681">
        <v>11</v>
      </c>
    </row>
    <row r="57" spans="1:30" x14ac:dyDescent="0.35">
      <c r="A57" s="295" t="s">
        <v>3783</v>
      </c>
      <c r="B57" s="295" t="s">
        <v>3791</v>
      </c>
      <c r="C57" s="295" t="s">
        <v>3703</v>
      </c>
      <c r="D57" s="295"/>
      <c r="E57" s="1006"/>
      <c r="F57" s="1002">
        <f t="shared" si="10"/>
        <v>0</v>
      </c>
      <c r="G57" s="950"/>
      <c r="H57" s="295" t="s">
        <v>3792</v>
      </c>
      <c r="I57" s="295" t="s">
        <v>3793</v>
      </c>
      <c r="J57" s="689">
        <f t="shared" si="9"/>
        <v>600</v>
      </c>
      <c r="K57" s="681"/>
      <c r="L57" s="681"/>
      <c r="M57" s="681"/>
      <c r="N57" s="681"/>
      <c r="O57" s="681"/>
      <c r="P57" s="681">
        <v>50</v>
      </c>
      <c r="Q57" s="681"/>
      <c r="R57" s="681"/>
      <c r="S57" s="681">
        <v>50</v>
      </c>
      <c r="T57" s="681">
        <v>50</v>
      </c>
      <c r="U57" s="681">
        <v>50</v>
      </c>
      <c r="V57" s="681">
        <v>50</v>
      </c>
      <c r="W57" s="681">
        <v>50</v>
      </c>
      <c r="X57" s="681">
        <v>50</v>
      </c>
      <c r="Y57" s="681">
        <v>50</v>
      </c>
      <c r="Z57" s="681">
        <v>50</v>
      </c>
      <c r="AA57" s="681">
        <v>50</v>
      </c>
      <c r="AB57" s="681">
        <v>50</v>
      </c>
      <c r="AC57" s="681">
        <v>50</v>
      </c>
    </row>
    <row r="58" spans="1:30" x14ac:dyDescent="0.35">
      <c r="A58" s="295" t="s">
        <v>3786</v>
      </c>
      <c r="B58" s="295" t="s">
        <v>3794</v>
      </c>
      <c r="C58" s="295" t="s">
        <v>3708</v>
      </c>
      <c r="D58" s="295">
        <v>7</v>
      </c>
      <c r="E58" s="1006">
        <f>D58*12</f>
        <v>84</v>
      </c>
      <c r="F58" s="1002">
        <f t="shared" si="10"/>
        <v>3.6589190507718577E-3</v>
      </c>
      <c r="G58" s="950"/>
      <c r="H58" s="295" t="s">
        <v>3795</v>
      </c>
      <c r="I58" s="295"/>
      <c r="J58" s="689">
        <f t="shared" si="9"/>
        <v>0</v>
      </c>
      <c r="K58" s="681"/>
      <c r="L58" s="681"/>
      <c r="M58" s="681"/>
      <c r="N58" s="681"/>
      <c r="O58" s="681"/>
      <c r="P58" s="681"/>
      <c r="Q58" s="681"/>
      <c r="R58" s="681"/>
      <c r="S58" s="681"/>
      <c r="T58" s="681"/>
      <c r="U58" s="681"/>
      <c r="V58" s="681"/>
      <c r="W58" s="681"/>
      <c r="X58" s="681"/>
      <c r="Y58" s="681"/>
      <c r="Z58" s="681"/>
      <c r="AA58" s="681"/>
      <c r="AB58" s="681"/>
      <c r="AC58" s="681"/>
    </row>
    <row r="59" spans="1:30" x14ac:dyDescent="0.35">
      <c r="A59" s="295" t="s">
        <v>3789</v>
      </c>
      <c r="B59" s="295" t="s">
        <v>3796</v>
      </c>
      <c r="C59" s="295" t="s">
        <v>3790</v>
      </c>
      <c r="D59" s="295">
        <v>11</v>
      </c>
      <c r="E59" s="1006">
        <f>D59*12</f>
        <v>132</v>
      </c>
      <c r="F59" s="1002">
        <f t="shared" si="10"/>
        <v>5.7497299369272045E-3</v>
      </c>
      <c r="G59" s="950"/>
      <c r="H59" s="999" t="s">
        <v>3797</v>
      </c>
      <c r="I59" s="295" t="s">
        <v>3709</v>
      </c>
      <c r="J59" s="689">
        <f t="shared" si="9"/>
        <v>72</v>
      </c>
      <c r="K59" s="681"/>
      <c r="L59" s="681"/>
      <c r="M59" s="681"/>
      <c r="N59" s="681"/>
      <c r="O59" s="681"/>
      <c r="P59" s="681">
        <v>6</v>
      </c>
      <c r="Q59" s="681"/>
      <c r="R59" s="681"/>
      <c r="S59" s="681">
        <v>6</v>
      </c>
      <c r="T59" s="681">
        <v>6</v>
      </c>
      <c r="U59" s="681">
        <v>6</v>
      </c>
      <c r="V59" s="681">
        <v>6</v>
      </c>
      <c r="W59" s="681">
        <v>6</v>
      </c>
      <c r="X59" s="681">
        <v>6</v>
      </c>
      <c r="Y59" s="681">
        <v>6</v>
      </c>
      <c r="Z59" s="681">
        <v>6</v>
      </c>
      <c r="AA59" s="681">
        <v>6</v>
      </c>
      <c r="AB59" s="681">
        <v>6</v>
      </c>
      <c r="AC59" s="681">
        <v>6</v>
      </c>
    </row>
    <row r="60" spans="1:30" x14ac:dyDescent="0.35">
      <c r="A60" s="295" t="s">
        <v>3253</v>
      </c>
      <c r="B60" s="295" t="s">
        <v>3798</v>
      </c>
      <c r="C60" s="295" t="s">
        <v>3793</v>
      </c>
      <c r="D60" s="295">
        <v>50</v>
      </c>
      <c r="E60" s="1006">
        <f>D60*12</f>
        <v>600</v>
      </c>
      <c r="F60" s="1002">
        <f t="shared" si="10"/>
        <v>2.6135136076941838E-2</v>
      </c>
      <c r="G60" s="950"/>
      <c r="H60" s="935" t="s">
        <v>3799</v>
      </c>
      <c r="I60" s="295" t="s">
        <v>3699</v>
      </c>
      <c r="J60" s="689">
        <f t="shared" si="9"/>
        <v>0</v>
      </c>
      <c r="K60" s="681"/>
      <c r="L60" s="681"/>
      <c r="M60" s="681"/>
      <c r="N60" s="681"/>
      <c r="O60" s="681"/>
      <c r="P60" s="681"/>
      <c r="Q60" s="681"/>
      <c r="R60" s="681"/>
      <c r="T60" s="681"/>
      <c r="U60" s="681"/>
      <c r="V60" s="681"/>
      <c r="W60" s="681"/>
      <c r="X60" s="681"/>
      <c r="Y60" s="681"/>
      <c r="Z60" s="681"/>
      <c r="AA60" s="681"/>
      <c r="AB60" s="681"/>
      <c r="AC60" s="681"/>
      <c r="AD60" s="681"/>
    </row>
    <row r="61" spans="1:30" x14ac:dyDescent="0.35">
      <c r="A61" s="295" t="s">
        <v>3800</v>
      </c>
      <c r="B61" s="295" t="s">
        <v>3801</v>
      </c>
      <c r="C61" s="295" t="s">
        <v>3802</v>
      </c>
      <c r="D61" s="1001">
        <v>6</v>
      </c>
      <c r="E61" s="1006">
        <f>D61*12</f>
        <v>72</v>
      </c>
      <c r="F61" s="1002">
        <f t="shared" si="10"/>
        <v>3.1362163292330209E-3</v>
      </c>
      <c r="G61" s="950"/>
      <c r="H61" s="935" t="s">
        <v>3803</v>
      </c>
      <c r="I61" s="295" t="s">
        <v>3699</v>
      </c>
      <c r="J61" s="689">
        <f t="shared" si="9"/>
        <v>0</v>
      </c>
      <c r="K61" s="681"/>
      <c r="L61" s="681"/>
      <c r="M61" s="681"/>
      <c r="N61" s="681"/>
      <c r="O61" s="681"/>
      <c r="P61" s="681"/>
      <c r="Q61" s="681"/>
      <c r="R61" s="681"/>
      <c r="T61" s="681"/>
      <c r="U61" s="681"/>
      <c r="V61" s="681"/>
      <c r="W61" s="681"/>
      <c r="X61" s="681"/>
      <c r="Y61" s="681"/>
      <c r="Z61" s="681"/>
      <c r="AA61" s="681"/>
      <c r="AB61" s="681"/>
      <c r="AC61" s="681"/>
      <c r="AD61" s="681"/>
    </row>
    <row r="62" spans="1:30" x14ac:dyDescent="0.35">
      <c r="A62" s="295" t="s">
        <v>3799</v>
      </c>
      <c r="B62" s="295" t="s">
        <v>3804</v>
      </c>
      <c r="C62" s="295" t="s">
        <v>3699</v>
      </c>
      <c r="D62" s="295"/>
      <c r="E62" s="1009"/>
      <c r="F62" s="1002">
        <f t="shared" si="10"/>
        <v>0</v>
      </c>
      <c r="G62" s="950"/>
      <c r="H62" s="295"/>
      <c r="J62" s="689">
        <f t="shared" si="9"/>
        <v>0</v>
      </c>
      <c r="K62" s="681"/>
      <c r="L62" s="681"/>
      <c r="M62" s="681"/>
      <c r="N62" s="681"/>
      <c r="O62" s="681"/>
      <c r="P62" s="681"/>
      <c r="Q62" s="681"/>
      <c r="R62" s="681"/>
      <c r="T62" s="681"/>
      <c r="U62" s="681"/>
      <c r="V62" s="681"/>
      <c r="W62" s="681"/>
      <c r="X62" s="681"/>
      <c r="Y62" s="681"/>
      <c r="Z62" s="681"/>
      <c r="AA62" s="681"/>
      <c r="AB62" s="681"/>
      <c r="AC62" s="681"/>
      <c r="AD62" s="681"/>
    </row>
    <row r="63" spans="1:30" ht="13.5" customHeight="1" thickBot="1" x14ac:dyDescent="0.45">
      <c r="A63" s="295" t="s">
        <v>3803</v>
      </c>
      <c r="B63" s="295" t="s">
        <v>3804</v>
      </c>
      <c r="C63" s="295" t="s">
        <v>3699</v>
      </c>
      <c r="D63" s="295"/>
      <c r="E63" s="1009"/>
      <c r="F63" s="1002">
        <f t="shared" si="10"/>
        <v>0</v>
      </c>
      <c r="G63" s="950"/>
      <c r="H63" s="686" t="s">
        <v>3805</v>
      </c>
      <c r="I63" s="686"/>
      <c r="J63" s="738">
        <f t="shared" si="9"/>
        <v>27931.839999999997</v>
      </c>
      <c r="K63" s="687">
        <f t="shared" ref="K63:AD63" si="11">SUM(K13:K62)</f>
        <v>0</v>
      </c>
      <c r="L63" s="687">
        <f t="shared" si="11"/>
        <v>0</v>
      </c>
      <c r="M63" s="687">
        <f t="shared" si="11"/>
        <v>0</v>
      </c>
      <c r="N63" s="687">
        <f t="shared" si="11"/>
        <v>0</v>
      </c>
      <c r="O63" s="687">
        <f t="shared" si="11"/>
        <v>0</v>
      </c>
      <c r="P63" s="687">
        <f t="shared" si="11"/>
        <v>759</v>
      </c>
      <c r="Q63" s="687">
        <f t="shared" si="11"/>
        <v>470</v>
      </c>
      <c r="R63" s="687">
        <f t="shared" si="11"/>
        <v>471</v>
      </c>
      <c r="S63" s="687">
        <f t="shared" si="11"/>
        <v>2172.44</v>
      </c>
      <c r="T63" s="687">
        <f t="shared" si="11"/>
        <v>2172.44</v>
      </c>
      <c r="U63" s="687">
        <f t="shared" si="11"/>
        <v>2562.44</v>
      </c>
      <c r="V63" s="687">
        <f t="shared" si="11"/>
        <v>2562.44</v>
      </c>
      <c r="W63" s="687">
        <f t="shared" si="11"/>
        <v>2562.44</v>
      </c>
      <c r="X63" s="687">
        <f t="shared" si="11"/>
        <v>2512.44</v>
      </c>
      <c r="Y63" s="687">
        <f t="shared" si="11"/>
        <v>2337.44</v>
      </c>
      <c r="Z63" s="687">
        <f t="shared" si="11"/>
        <v>2337.44</v>
      </c>
      <c r="AA63" s="687">
        <f t="shared" si="11"/>
        <v>2337.44</v>
      </c>
      <c r="AB63" s="687">
        <f t="shared" si="11"/>
        <v>2337.44</v>
      </c>
      <c r="AC63" s="687">
        <f t="shared" si="11"/>
        <v>2337.44</v>
      </c>
      <c r="AD63" s="687">
        <f t="shared" si="11"/>
        <v>0</v>
      </c>
    </row>
    <row r="64" spans="1:30" x14ac:dyDescent="0.35">
      <c r="A64" s="295" t="s">
        <v>3806</v>
      </c>
      <c r="B64" s="295" t="s">
        <v>3807</v>
      </c>
      <c r="C64" s="295" t="s">
        <v>3777</v>
      </c>
      <c r="D64" s="295">
        <v>15</v>
      </c>
      <c r="E64" s="1006">
        <f t="shared" ref="E64:E75" si="12">D64*12</f>
        <v>180</v>
      </c>
      <c r="F64" s="1002">
        <f t="shared" si="10"/>
        <v>7.8405408230825518E-3</v>
      </c>
      <c r="G64" s="950"/>
    </row>
    <row r="65" spans="1:30" ht="13.5" customHeight="1" thickBot="1" x14ac:dyDescent="0.45">
      <c r="A65" s="295" t="s">
        <v>3808</v>
      </c>
      <c r="B65" s="295" t="s">
        <v>3809</v>
      </c>
      <c r="C65" s="295" t="s">
        <v>3810</v>
      </c>
      <c r="D65" s="295">
        <v>7</v>
      </c>
      <c r="E65" s="1006">
        <f t="shared" si="12"/>
        <v>84</v>
      </c>
      <c r="F65" s="1002">
        <f t="shared" si="10"/>
        <v>3.6589190507718577E-3</v>
      </c>
      <c r="G65" s="950"/>
      <c r="H65" s="698" t="s">
        <v>3811</v>
      </c>
      <c r="I65" s="847"/>
      <c r="J65" s="747">
        <f>SUM(K65:AD65)</f>
        <v>37089.839999999997</v>
      </c>
      <c r="K65" s="699">
        <f t="shared" ref="K65:AD65" si="13">SUM(K63+K12)</f>
        <v>0</v>
      </c>
      <c r="L65" s="699">
        <f t="shared" si="13"/>
        <v>0</v>
      </c>
      <c r="M65" s="699">
        <f t="shared" si="13"/>
        <v>0</v>
      </c>
      <c r="N65" s="699">
        <f t="shared" si="13"/>
        <v>0</v>
      </c>
      <c r="O65" s="699">
        <f t="shared" si="13"/>
        <v>0</v>
      </c>
      <c r="P65" s="699">
        <f t="shared" si="13"/>
        <v>759</v>
      </c>
      <c r="Q65" s="699">
        <f t="shared" si="13"/>
        <v>1728</v>
      </c>
      <c r="R65" s="699">
        <f t="shared" si="13"/>
        <v>471</v>
      </c>
      <c r="S65" s="699">
        <f t="shared" si="13"/>
        <v>2172.44</v>
      </c>
      <c r="T65" s="699">
        <f t="shared" si="13"/>
        <v>9172.44</v>
      </c>
      <c r="U65" s="699">
        <f t="shared" si="13"/>
        <v>3062.44</v>
      </c>
      <c r="V65" s="699">
        <f t="shared" si="13"/>
        <v>2562.44</v>
      </c>
      <c r="W65" s="699">
        <f t="shared" si="13"/>
        <v>2962.44</v>
      </c>
      <c r="X65" s="699">
        <f t="shared" si="13"/>
        <v>2512.44</v>
      </c>
      <c r="Y65" s="699">
        <f t="shared" si="13"/>
        <v>2337.44</v>
      </c>
      <c r="Z65" s="699">
        <f t="shared" si="13"/>
        <v>2337.44</v>
      </c>
      <c r="AA65" s="699">
        <f t="shared" si="13"/>
        <v>2337.44</v>
      </c>
      <c r="AB65" s="699">
        <f t="shared" si="13"/>
        <v>2337.44</v>
      </c>
      <c r="AC65" s="699">
        <f t="shared" si="13"/>
        <v>2337.44</v>
      </c>
      <c r="AD65" s="699">
        <f t="shared" si="13"/>
        <v>0</v>
      </c>
    </row>
    <row r="66" spans="1:30" ht="13.15" customHeight="1" thickTop="1" x14ac:dyDescent="0.35">
      <c r="A66" s="295" t="s">
        <v>3812</v>
      </c>
      <c r="B66" s="295" t="s">
        <v>3813</v>
      </c>
      <c r="C66" s="295" t="s">
        <v>3810</v>
      </c>
      <c r="D66" s="295"/>
      <c r="E66" s="1006">
        <f t="shared" si="12"/>
        <v>0</v>
      </c>
      <c r="F66" s="1002">
        <f t="shared" si="10"/>
        <v>0</v>
      </c>
      <c r="G66" s="950"/>
      <c r="H66" s="295"/>
      <c r="I66" s="295"/>
      <c r="J66" s="295"/>
      <c r="K66" s="681"/>
      <c r="L66" s="576"/>
      <c r="M66" s="576"/>
      <c r="N66" s="576"/>
      <c r="O66" s="576"/>
      <c r="P66" s="576"/>
      <c r="Q66" s="576"/>
      <c r="R66" s="576"/>
      <c r="S66" s="576"/>
      <c r="T66" s="576"/>
      <c r="U66" s="576"/>
      <c r="V66" s="576"/>
    </row>
    <row r="67" spans="1:30" ht="13.15" customHeight="1" x14ac:dyDescent="0.4">
      <c r="A67" s="295" t="s">
        <v>3814</v>
      </c>
      <c r="B67" s="295" t="s">
        <v>3815</v>
      </c>
      <c r="C67" s="295" t="s">
        <v>3816</v>
      </c>
      <c r="D67" s="295">
        <v>12</v>
      </c>
      <c r="E67" s="1006">
        <f t="shared" si="12"/>
        <v>144</v>
      </c>
      <c r="F67" s="1002">
        <f t="shared" si="10"/>
        <v>6.2724326584660418E-3</v>
      </c>
      <c r="G67" s="950"/>
      <c r="H67" s="691" t="s">
        <v>3817</v>
      </c>
      <c r="I67" s="691"/>
      <c r="J67" s="689">
        <f>SUM(K67:AD67)</f>
        <v>-1000</v>
      </c>
      <c r="K67" s="707">
        <v>-1000</v>
      </c>
      <c r="L67" s="689"/>
      <c r="M67" s="689"/>
      <c r="N67" s="689"/>
      <c r="O67" s="689"/>
      <c r="P67" s="689"/>
      <c r="Q67" s="689"/>
      <c r="R67" s="689"/>
      <c r="S67" s="689"/>
      <c r="T67" s="689"/>
      <c r="U67" s="689"/>
      <c r="V67" s="689"/>
      <c r="W67" s="689"/>
      <c r="X67" s="689"/>
      <c r="Y67" s="689"/>
      <c r="Z67" s="689"/>
      <c r="AA67" s="689"/>
      <c r="AB67" s="689"/>
      <c r="AC67" s="689"/>
      <c r="AD67" s="689"/>
    </row>
    <row r="68" spans="1:30" ht="13.15" customHeight="1" x14ac:dyDescent="0.4">
      <c r="A68" s="295" t="s">
        <v>3818</v>
      </c>
      <c r="B68" s="295" t="s">
        <v>3819</v>
      </c>
      <c r="C68" s="295" t="s">
        <v>3810</v>
      </c>
      <c r="D68" s="295">
        <v>7</v>
      </c>
      <c r="E68" s="1006">
        <f t="shared" si="12"/>
        <v>84</v>
      </c>
      <c r="F68" s="1002">
        <f t="shared" si="10"/>
        <v>3.6589190507718577E-3</v>
      </c>
      <c r="G68" s="950"/>
      <c r="H68" s="691" t="s">
        <v>3820</v>
      </c>
      <c r="I68" s="691"/>
      <c r="J68" s="689">
        <f>SUM(K68:AD68)</f>
        <v>1500</v>
      </c>
      <c r="K68" s="689"/>
      <c r="L68" s="689"/>
      <c r="M68" s="689"/>
      <c r="N68" s="689"/>
      <c r="O68" s="689"/>
      <c r="P68" s="689">
        <v>1500</v>
      </c>
      <c r="Q68" s="689"/>
      <c r="R68" s="689"/>
      <c r="S68" s="689"/>
      <c r="T68" s="689"/>
      <c r="U68" s="689"/>
      <c r="V68" s="689"/>
      <c r="W68" s="689"/>
      <c r="X68" s="689"/>
      <c r="Y68" s="689"/>
      <c r="Z68" s="689"/>
      <c r="AA68" s="689"/>
      <c r="AB68" s="689"/>
      <c r="AC68" s="689"/>
      <c r="AD68" s="689"/>
    </row>
    <row r="69" spans="1:30" ht="13.15" customHeight="1" x14ac:dyDescent="0.4">
      <c r="A69" s="295" t="s">
        <v>3821</v>
      </c>
      <c r="B69" s="295" t="s">
        <v>3822</v>
      </c>
      <c r="C69" s="295" t="s">
        <v>3737</v>
      </c>
      <c r="D69" s="293">
        <v>15</v>
      </c>
      <c r="E69" s="1006">
        <f t="shared" si="12"/>
        <v>180</v>
      </c>
      <c r="F69" s="1002">
        <f t="shared" si="10"/>
        <v>7.8405408230825518E-3</v>
      </c>
      <c r="G69" s="950"/>
      <c r="H69" s="691" t="s">
        <v>160</v>
      </c>
      <c r="I69" s="691"/>
      <c r="J69" s="689">
        <f>SUM(K69:AD69)</f>
        <v>164</v>
      </c>
      <c r="K69" s="707">
        <v>164</v>
      </c>
      <c r="L69" s="689"/>
      <c r="M69" s="689"/>
      <c r="N69" s="689"/>
      <c r="O69" s="689"/>
      <c r="P69" s="689"/>
      <c r="Q69" s="689"/>
      <c r="R69" s="689"/>
      <c r="S69" s="689"/>
      <c r="T69" s="689"/>
      <c r="U69" s="689"/>
      <c r="V69" s="689"/>
      <c r="W69" s="689"/>
      <c r="X69" s="689"/>
      <c r="Y69" s="689"/>
      <c r="Z69" s="689"/>
      <c r="AA69" s="689"/>
      <c r="AB69" s="689"/>
      <c r="AC69" s="689"/>
      <c r="AD69" s="689"/>
    </row>
    <row r="70" spans="1:30" ht="13.15" customHeight="1" x14ac:dyDescent="0.4">
      <c r="A70" s="295" t="s">
        <v>3823</v>
      </c>
      <c r="B70" s="295" t="s">
        <v>3824</v>
      </c>
      <c r="D70" s="293">
        <v>10</v>
      </c>
      <c r="E70" s="1006">
        <f t="shared" si="12"/>
        <v>120</v>
      </c>
      <c r="F70" s="1002">
        <f t="shared" si="10"/>
        <v>5.2270272153883681E-3</v>
      </c>
      <c r="G70" s="950"/>
      <c r="H70" s="691" t="s">
        <v>181</v>
      </c>
      <c r="I70" s="691"/>
      <c r="J70" s="689">
        <f>SUM(K70:AD70)</f>
        <v>1100</v>
      </c>
      <c r="K70" s="689"/>
      <c r="L70" s="689"/>
      <c r="M70" s="689"/>
      <c r="N70" s="689"/>
      <c r="O70" s="689"/>
      <c r="P70" s="689"/>
      <c r="Q70" s="689"/>
      <c r="R70" s="689"/>
      <c r="S70" s="689"/>
      <c r="T70" s="689">
        <v>1100</v>
      </c>
      <c r="U70" s="689"/>
      <c r="V70" s="689"/>
      <c r="W70" s="689"/>
      <c r="X70" s="689"/>
      <c r="Y70" s="689"/>
      <c r="Z70" s="689"/>
      <c r="AA70" s="689"/>
      <c r="AB70" s="689"/>
      <c r="AC70" s="689"/>
      <c r="AD70" s="689"/>
    </row>
    <row r="71" spans="1:30" ht="13.15" customHeight="1" x14ac:dyDescent="0.4">
      <c r="A71" s="295" t="s">
        <v>3825</v>
      </c>
      <c r="B71" s="295" t="s">
        <v>3826</v>
      </c>
      <c r="C71" s="295"/>
      <c r="D71" s="295">
        <v>25</v>
      </c>
      <c r="E71" s="1006">
        <f t="shared" si="12"/>
        <v>300</v>
      </c>
      <c r="F71" s="1002">
        <f t="shared" si="10"/>
        <v>1.3067568038470919E-2</v>
      </c>
      <c r="G71" s="950"/>
      <c r="H71" s="691" t="s">
        <v>3827</v>
      </c>
      <c r="I71" s="691"/>
      <c r="J71" s="689">
        <f>SUM(K71:AD71)</f>
        <v>3290</v>
      </c>
      <c r="K71" s="707">
        <f>350+495+2000+445</f>
        <v>3290</v>
      </c>
      <c r="L71" s="689"/>
      <c r="M71" s="689"/>
      <c r="N71" s="689"/>
      <c r="O71" s="689"/>
      <c r="P71" s="689"/>
      <c r="Q71" s="689"/>
      <c r="R71" s="689"/>
      <c r="S71" s="689"/>
      <c r="T71" s="689"/>
      <c r="U71" s="689"/>
      <c r="V71" s="689"/>
      <c r="W71" s="689"/>
      <c r="X71" s="689"/>
      <c r="Y71" s="689"/>
      <c r="Z71" s="689"/>
      <c r="AA71" s="689"/>
      <c r="AB71" s="689"/>
      <c r="AC71" s="689"/>
      <c r="AD71" s="689"/>
    </row>
    <row r="72" spans="1:30" ht="13.15" customHeight="1" x14ac:dyDescent="0.4">
      <c r="A72" s="295" t="s">
        <v>3828</v>
      </c>
      <c r="B72" s="295" t="s">
        <v>3829</v>
      </c>
      <c r="D72" s="295">
        <v>20</v>
      </c>
      <c r="E72" s="1006">
        <f t="shared" si="12"/>
        <v>240</v>
      </c>
      <c r="F72" s="1002">
        <f t="shared" si="10"/>
        <v>1.0454054430776736E-2</v>
      </c>
      <c r="G72" s="950"/>
      <c r="H72" s="691" t="s">
        <v>3830</v>
      </c>
      <c r="I72" s="691"/>
      <c r="J72" s="689">
        <f t="shared" ref="J72:J78" si="14">SUM(K72:Y72)</f>
        <v>0</v>
      </c>
      <c r="K72" s="689"/>
      <c r="L72" s="689"/>
      <c r="M72" s="689"/>
      <c r="N72" s="689"/>
      <c r="O72" s="689"/>
      <c r="P72" s="689"/>
      <c r="Q72" s="689"/>
      <c r="R72" s="689"/>
      <c r="S72" s="689"/>
      <c r="T72" s="689"/>
      <c r="U72" s="689"/>
      <c r="V72" s="689"/>
      <c r="W72" s="689"/>
      <c r="X72" s="689"/>
      <c r="Y72" s="689"/>
      <c r="Z72" s="689"/>
      <c r="AA72" s="689"/>
      <c r="AB72" s="689"/>
      <c r="AC72" s="689"/>
      <c r="AD72" s="689"/>
    </row>
    <row r="73" spans="1:30" ht="13.15" customHeight="1" x14ac:dyDescent="0.4">
      <c r="A73" s="295" t="s">
        <v>3831</v>
      </c>
      <c r="B73" s="295" t="s">
        <v>3832</v>
      </c>
      <c r="C73" s="295"/>
      <c r="D73" s="295"/>
      <c r="E73" s="1006">
        <f t="shared" si="12"/>
        <v>0</v>
      </c>
      <c r="F73" s="1002">
        <f t="shared" si="10"/>
        <v>0</v>
      </c>
      <c r="G73" s="950"/>
      <c r="H73" s="691" t="s">
        <v>3833</v>
      </c>
      <c r="I73" s="691"/>
      <c r="J73" s="689">
        <f t="shared" si="14"/>
        <v>7000</v>
      </c>
      <c r="K73" s="707">
        <v>7000</v>
      </c>
      <c r="L73" s="689"/>
      <c r="M73" s="689"/>
      <c r="N73" s="689"/>
      <c r="O73" s="689"/>
      <c r="P73" s="689"/>
      <c r="Q73" s="689"/>
      <c r="R73" s="689"/>
      <c r="S73" s="689"/>
      <c r="T73" s="689"/>
      <c r="U73" s="689"/>
      <c r="V73" s="689"/>
      <c r="W73" s="689"/>
      <c r="X73" s="689"/>
      <c r="Y73" s="689"/>
      <c r="Z73" s="689"/>
      <c r="AA73" s="689"/>
      <c r="AB73" s="689"/>
      <c r="AC73" s="689"/>
      <c r="AD73" s="689"/>
    </row>
    <row r="74" spans="1:30" ht="13.15" customHeight="1" x14ac:dyDescent="0.4">
      <c r="A74" s="295" t="s">
        <v>3834</v>
      </c>
      <c r="B74" s="295" t="s">
        <v>3835</v>
      </c>
      <c r="E74" s="1006">
        <f t="shared" si="12"/>
        <v>0</v>
      </c>
      <c r="F74" s="1002">
        <f t="shared" si="10"/>
        <v>0</v>
      </c>
      <c r="G74" s="950"/>
      <c r="H74" s="691" t="s">
        <v>3836</v>
      </c>
      <c r="I74" s="691"/>
      <c r="J74" s="689">
        <f t="shared" si="14"/>
        <v>6321</v>
      </c>
      <c r="K74" s="1122">
        <v>0</v>
      </c>
      <c r="L74" s="1122">
        <v>0</v>
      </c>
      <c r="M74" s="1122"/>
      <c r="N74" s="1122"/>
      <c r="O74" s="1122">
        <v>0</v>
      </c>
      <c r="P74" s="1122">
        <v>0</v>
      </c>
      <c r="Q74" s="1122"/>
      <c r="R74" s="1122">
        <v>125</v>
      </c>
      <c r="S74" s="1122">
        <v>1700</v>
      </c>
      <c r="T74" s="1122">
        <v>1000</v>
      </c>
      <c r="U74" s="1122">
        <v>3101</v>
      </c>
      <c r="V74" s="1122">
        <v>165</v>
      </c>
      <c r="W74" s="1122">
        <v>170</v>
      </c>
      <c r="X74" s="1122">
        <v>30</v>
      </c>
      <c r="Y74" s="1122">
        <v>30</v>
      </c>
      <c r="Z74" s="689"/>
      <c r="AA74" s="689"/>
      <c r="AB74" s="689"/>
      <c r="AC74" s="689"/>
      <c r="AD74" s="689"/>
    </row>
    <row r="75" spans="1:30" ht="13.15" customHeight="1" x14ac:dyDescent="0.4">
      <c r="A75" s="295" t="s">
        <v>3837</v>
      </c>
      <c r="B75" s="295" t="s">
        <v>3838</v>
      </c>
      <c r="D75" s="293">
        <f>30/12</f>
        <v>2.5</v>
      </c>
      <c r="E75" s="1006">
        <f t="shared" si="12"/>
        <v>30</v>
      </c>
      <c r="F75" s="1002">
        <f t="shared" si="10"/>
        <v>1.306756803847092E-3</v>
      </c>
      <c r="G75" s="950"/>
      <c r="H75" s="691" t="s">
        <v>3839</v>
      </c>
      <c r="I75" s="932">
        <f>D107/4.2</f>
        <v>0</v>
      </c>
      <c r="J75" s="689">
        <f t="shared" si="14"/>
        <v>7750</v>
      </c>
      <c r="K75" s="748"/>
      <c r="L75" s="748"/>
      <c r="M75" s="748"/>
      <c r="N75" s="748"/>
      <c r="O75" s="748">
        <v>0</v>
      </c>
      <c r="P75" s="748">
        <v>250</v>
      </c>
      <c r="Q75" s="748">
        <v>250</v>
      </c>
      <c r="R75" s="748">
        <v>250</v>
      </c>
      <c r="S75" s="748">
        <v>1000</v>
      </c>
      <c r="T75" s="748">
        <v>1000</v>
      </c>
      <c r="U75" s="748">
        <v>1000</v>
      </c>
      <c r="V75" s="748">
        <v>1000</v>
      </c>
      <c r="W75" s="748">
        <v>1000</v>
      </c>
      <c r="X75" s="748">
        <v>1000</v>
      </c>
      <c r="Y75" s="748">
        <v>1000</v>
      </c>
      <c r="Z75" s="748">
        <v>2000</v>
      </c>
      <c r="AA75" s="748">
        <v>1500</v>
      </c>
      <c r="AB75" s="748">
        <v>1500</v>
      </c>
      <c r="AC75" s="748">
        <v>1500</v>
      </c>
      <c r="AD75" s="748">
        <v>1500</v>
      </c>
    </row>
    <row r="76" spans="1:30" ht="13.15" customHeight="1" x14ac:dyDescent="0.4">
      <c r="A76" s="295"/>
      <c r="B76" s="295"/>
      <c r="F76" s="1002">
        <f t="shared" si="10"/>
        <v>0</v>
      </c>
      <c r="G76" s="950"/>
      <c r="H76" s="691"/>
      <c r="I76" s="691"/>
      <c r="J76" s="689">
        <f t="shared" si="14"/>
        <v>0</v>
      </c>
      <c r="K76" s="692"/>
      <c r="L76" s="692"/>
      <c r="M76" s="692"/>
      <c r="N76" s="692"/>
      <c r="O76" s="692"/>
      <c r="P76" s="692"/>
      <c r="Q76" s="692"/>
      <c r="R76" s="692"/>
      <c r="S76" s="692"/>
      <c r="T76" s="692"/>
      <c r="U76" s="692"/>
      <c r="V76" s="692"/>
      <c r="W76" s="692"/>
      <c r="X76" s="692"/>
      <c r="Y76" s="692"/>
      <c r="Z76" s="692"/>
      <c r="AA76" s="692"/>
      <c r="AB76" s="692"/>
      <c r="AC76" s="692"/>
      <c r="AD76" s="692"/>
    </row>
    <row r="77" spans="1:30" ht="13.15" customHeight="1" x14ac:dyDescent="0.4">
      <c r="A77" s="295" t="s">
        <v>3840</v>
      </c>
      <c r="B77" s="295"/>
      <c r="F77" s="1002">
        <f t="shared" si="10"/>
        <v>0</v>
      </c>
      <c r="G77" s="950"/>
      <c r="H77" s="691"/>
      <c r="I77" s="691"/>
      <c r="J77" s="689">
        <f t="shared" si="14"/>
        <v>0</v>
      </c>
      <c r="K77" s="692"/>
      <c r="L77" s="692"/>
      <c r="M77" s="692"/>
      <c r="N77" s="692"/>
      <c r="O77" s="692"/>
      <c r="P77" s="692"/>
      <c r="Q77" s="692"/>
      <c r="R77" s="692"/>
      <c r="S77" s="692"/>
      <c r="T77" s="692"/>
      <c r="U77" s="692"/>
      <c r="V77" s="692"/>
      <c r="W77" s="692"/>
      <c r="X77" s="692"/>
      <c r="Y77" s="692"/>
      <c r="Z77" s="692"/>
      <c r="AA77" s="692"/>
      <c r="AB77" s="692"/>
      <c r="AC77" s="692"/>
      <c r="AD77" s="692"/>
    </row>
    <row r="78" spans="1:30" ht="13.15" customHeight="1" x14ac:dyDescent="0.4">
      <c r="A78" s="295" t="s">
        <v>3841</v>
      </c>
      <c r="B78" s="295"/>
      <c r="F78" s="1002">
        <f t="shared" si="10"/>
        <v>0</v>
      </c>
      <c r="G78" s="950"/>
      <c r="H78" s="691" t="s">
        <v>3842</v>
      </c>
      <c r="I78" s="691"/>
      <c r="J78" s="689">
        <f t="shared" si="14"/>
        <v>0</v>
      </c>
      <c r="K78" s="692"/>
      <c r="L78" s="692"/>
      <c r="M78" s="692"/>
      <c r="N78" s="692"/>
      <c r="O78" s="692"/>
      <c r="P78" s="692"/>
      <c r="Q78" s="692"/>
      <c r="R78" s="692"/>
      <c r="S78" s="692"/>
      <c r="T78" s="692"/>
      <c r="U78" s="692"/>
      <c r="V78" s="692"/>
      <c r="W78" s="692"/>
      <c r="X78" s="692"/>
      <c r="Y78" s="692"/>
      <c r="Z78" s="692"/>
      <c r="AA78" s="692"/>
      <c r="AB78" s="692"/>
      <c r="AC78" s="692"/>
      <c r="AD78" s="692"/>
    </row>
    <row r="79" spans="1:30" ht="13.15" customHeight="1" x14ac:dyDescent="0.4">
      <c r="A79" s="295"/>
      <c r="B79" s="295"/>
      <c r="F79" s="1002">
        <f t="shared" si="10"/>
        <v>0</v>
      </c>
      <c r="G79" s="950"/>
      <c r="H79" s="691"/>
      <c r="I79" s="691"/>
      <c r="J79" s="689">
        <f>SUM(K79:AD79)</f>
        <v>0</v>
      </c>
      <c r="K79" s="692"/>
      <c r="L79" s="692"/>
      <c r="M79" s="692"/>
      <c r="N79" s="692"/>
      <c r="O79" s="692"/>
      <c r="P79" s="692"/>
      <c r="Q79" s="692"/>
      <c r="R79" s="692"/>
      <c r="S79" s="692"/>
      <c r="T79" s="692"/>
      <c r="U79" s="692"/>
      <c r="V79" s="692"/>
      <c r="W79" s="692"/>
      <c r="X79" s="692"/>
      <c r="Y79" s="692"/>
      <c r="Z79" s="692"/>
      <c r="AA79" s="692"/>
      <c r="AB79" s="692"/>
      <c r="AC79" s="692"/>
      <c r="AD79" s="692"/>
    </row>
    <row r="80" spans="1:30" ht="13.15" customHeight="1" x14ac:dyDescent="0.4">
      <c r="F80" s="1002">
        <f t="shared" si="10"/>
        <v>0</v>
      </c>
      <c r="H80" s="691"/>
      <c r="I80" s="691"/>
      <c r="J80" s="689">
        <f>SUM(K80:AD80)</f>
        <v>0</v>
      </c>
      <c r="K80" s="692"/>
      <c r="L80" s="692"/>
      <c r="M80" s="692"/>
      <c r="N80" s="692"/>
      <c r="O80" s="692"/>
      <c r="P80" s="692"/>
      <c r="Q80" s="692"/>
      <c r="R80" s="692"/>
      <c r="S80" s="692"/>
      <c r="T80" s="692"/>
      <c r="U80" s="692"/>
      <c r="V80" s="692"/>
      <c r="W80" s="692"/>
      <c r="X80" s="692"/>
      <c r="Y80" s="692"/>
      <c r="Z80" s="692"/>
      <c r="AA80" s="692"/>
      <c r="AB80" s="692"/>
      <c r="AC80" s="692"/>
      <c r="AD80" s="692"/>
    </row>
    <row r="81" spans="1:30" ht="13.15" customHeight="1" x14ac:dyDescent="0.4">
      <c r="A81" s="647" t="s">
        <v>3843</v>
      </c>
      <c r="D81" s="997">
        <f>SUM(D48:D80)</f>
        <v>332.69333333333333</v>
      </c>
      <c r="E81" s="997">
        <f>SUM(E48:E80)</f>
        <v>3961.76</v>
      </c>
      <c r="F81" s="1002">
        <f t="shared" si="10"/>
        <v>0.17389971077116073</v>
      </c>
      <c r="H81" s="691"/>
      <c r="I81" s="691"/>
      <c r="J81" s="689">
        <f>SUM(K81:AD81)</f>
        <v>0</v>
      </c>
      <c r="K81" s="692"/>
      <c r="L81" s="692"/>
      <c r="M81" s="692"/>
      <c r="N81" s="692"/>
      <c r="O81" s="692"/>
      <c r="P81" s="692"/>
      <c r="Q81" s="692"/>
      <c r="R81" s="692"/>
      <c r="S81" s="692"/>
      <c r="T81" s="692"/>
      <c r="U81" s="692"/>
      <c r="V81" s="692"/>
      <c r="W81" s="692"/>
      <c r="X81" s="692"/>
      <c r="Y81" s="692"/>
      <c r="Z81" s="692"/>
      <c r="AA81" s="692"/>
      <c r="AB81" s="692"/>
      <c r="AC81" s="692"/>
      <c r="AD81" s="692"/>
    </row>
    <row r="82" spans="1:30" ht="13.15" customHeight="1" x14ac:dyDescent="0.4">
      <c r="H82" s="749" t="s">
        <v>3844</v>
      </c>
      <c r="I82" s="749"/>
      <c r="J82" s="750">
        <f>SUM(K82:AD82)</f>
        <v>0</v>
      </c>
      <c r="K82" s="748"/>
      <c r="L82" s="748"/>
      <c r="M82" s="748"/>
      <c r="N82" s="748"/>
      <c r="O82" s="748"/>
      <c r="P82" s="748"/>
      <c r="Q82" s="748"/>
      <c r="R82" s="748"/>
      <c r="S82" s="748"/>
      <c r="T82" s="748"/>
      <c r="U82" s="748"/>
      <c r="V82" s="748"/>
      <c r="W82" s="748"/>
      <c r="X82" s="748"/>
      <c r="Y82" s="748"/>
      <c r="Z82" s="748"/>
      <c r="AA82" s="748"/>
      <c r="AB82" s="748"/>
      <c r="AC82" s="748"/>
      <c r="AD82" s="748"/>
    </row>
    <row r="83" spans="1:30" ht="13.15" customHeight="1" x14ac:dyDescent="0.4">
      <c r="A83" s="647" t="s">
        <v>3845</v>
      </c>
      <c r="J83" s="706"/>
      <c r="K83" s="690"/>
      <c r="L83" s="689"/>
      <c r="M83" s="689"/>
      <c r="N83" s="689"/>
      <c r="O83" s="689"/>
      <c r="P83" s="689"/>
      <c r="Q83" s="689"/>
      <c r="R83" s="689"/>
      <c r="S83" s="689"/>
      <c r="T83" s="689"/>
      <c r="U83" s="689"/>
      <c r="V83" s="689"/>
      <c r="W83" s="689"/>
      <c r="X83" s="689"/>
      <c r="Y83" s="689"/>
      <c r="Z83" s="689"/>
      <c r="AA83" s="689"/>
      <c r="AB83" s="689"/>
      <c r="AC83" s="689"/>
      <c r="AD83" s="689"/>
    </row>
    <row r="84" spans="1:30" ht="13.5" customHeight="1" thickBot="1" x14ac:dyDescent="0.45">
      <c r="H84" s="698" t="s">
        <v>3846</v>
      </c>
      <c r="I84" s="847"/>
      <c r="J84" s="747">
        <f>SUM(K84:AD84)</f>
        <v>34125</v>
      </c>
      <c r="K84" s="699">
        <f t="shared" ref="K84:AD84" si="15">SUM(K67:K83)</f>
        <v>9454</v>
      </c>
      <c r="L84" s="699">
        <f t="shared" si="15"/>
        <v>0</v>
      </c>
      <c r="M84" s="699">
        <f t="shared" si="15"/>
        <v>0</v>
      </c>
      <c r="N84" s="699">
        <f t="shared" si="15"/>
        <v>0</v>
      </c>
      <c r="O84" s="699">
        <f t="shared" si="15"/>
        <v>0</v>
      </c>
      <c r="P84" s="699">
        <f t="shared" si="15"/>
        <v>1750</v>
      </c>
      <c r="Q84" s="699">
        <f t="shared" si="15"/>
        <v>250</v>
      </c>
      <c r="R84" s="699">
        <f t="shared" si="15"/>
        <v>375</v>
      </c>
      <c r="S84" s="699">
        <f t="shared" si="15"/>
        <v>2700</v>
      </c>
      <c r="T84" s="699">
        <f t="shared" si="15"/>
        <v>3100</v>
      </c>
      <c r="U84" s="699">
        <f t="shared" si="15"/>
        <v>4101</v>
      </c>
      <c r="V84" s="699">
        <f t="shared" si="15"/>
        <v>1165</v>
      </c>
      <c r="W84" s="699">
        <f t="shared" si="15"/>
        <v>1170</v>
      </c>
      <c r="X84" s="699">
        <f t="shared" si="15"/>
        <v>1030</v>
      </c>
      <c r="Y84" s="699">
        <f t="shared" si="15"/>
        <v>1030</v>
      </c>
      <c r="Z84" s="699">
        <f t="shared" si="15"/>
        <v>2000</v>
      </c>
      <c r="AA84" s="699">
        <f t="shared" si="15"/>
        <v>1500</v>
      </c>
      <c r="AB84" s="699">
        <f t="shared" si="15"/>
        <v>1500</v>
      </c>
      <c r="AC84" s="699">
        <f t="shared" si="15"/>
        <v>1500</v>
      </c>
      <c r="AD84" s="699">
        <f t="shared" si="15"/>
        <v>1500</v>
      </c>
    </row>
    <row r="85" spans="1:30" ht="13.5" customHeight="1" thickTop="1" x14ac:dyDescent="0.4">
      <c r="A85" s="295" t="s">
        <v>3847</v>
      </c>
      <c r="B85" s="295" t="s">
        <v>3848</v>
      </c>
      <c r="E85" s="293">
        <v>41.666666666666657</v>
      </c>
      <c r="F85" s="295">
        <f>E85*12</f>
        <v>499.99999999999989</v>
      </c>
      <c r="H85" s="647" t="s">
        <v>3849</v>
      </c>
      <c r="I85" s="647"/>
      <c r="K85" s="827">
        <v>0</v>
      </c>
      <c r="N85" s="681"/>
    </row>
    <row r="86" spans="1:30" x14ac:dyDescent="0.35">
      <c r="A86" s="295" t="s">
        <v>3850</v>
      </c>
      <c r="B86" s="295" t="s">
        <v>3848</v>
      </c>
      <c r="E86" s="293">
        <v>41.666666666666657</v>
      </c>
      <c r="F86" s="295">
        <f>E86*12</f>
        <v>499.99999999999989</v>
      </c>
      <c r="H86" s="295" t="s">
        <v>3851</v>
      </c>
      <c r="I86" s="295"/>
      <c r="J86" s="295"/>
      <c r="K86" s="681">
        <f t="shared" ref="K86:AD86" si="16">K84-K65</f>
        <v>9454</v>
      </c>
      <c r="L86" s="681">
        <f t="shared" si="16"/>
        <v>0</v>
      </c>
      <c r="M86" s="681">
        <f t="shared" si="16"/>
        <v>0</v>
      </c>
      <c r="N86" s="681">
        <f t="shared" si="16"/>
        <v>0</v>
      </c>
      <c r="O86" s="681">
        <f t="shared" si="16"/>
        <v>0</v>
      </c>
      <c r="P86" s="681">
        <f t="shared" si="16"/>
        <v>991</v>
      </c>
      <c r="Q86" s="681">
        <f t="shared" si="16"/>
        <v>-1478</v>
      </c>
      <c r="R86" s="681">
        <f t="shared" si="16"/>
        <v>-96</v>
      </c>
      <c r="S86" s="681">
        <f t="shared" si="16"/>
        <v>527.55999999999995</v>
      </c>
      <c r="T86" s="681">
        <f t="shared" si="16"/>
        <v>-6072.4400000000005</v>
      </c>
      <c r="U86" s="681">
        <f t="shared" si="16"/>
        <v>1038.56</v>
      </c>
      <c r="V86" s="681">
        <f t="shared" si="16"/>
        <v>-1397.44</v>
      </c>
      <c r="W86" s="681">
        <f t="shared" si="16"/>
        <v>-1792.44</v>
      </c>
      <c r="X86" s="681">
        <f t="shared" si="16"/>
        <v>-1482.44</v>
      </c>
      <c r="Y86" s="681">
        <f t="shared" si="16"/>
        <v>-1307.44</v>
      </c>
      <c r="Z86" s="681">
        <f t="shared" si="16"/>
        <v>-337.44000000000005</v>
      </c>
      <c r="AA86" s="681">
        <f t="shared" si="16"/>
        <v>-837.44</v>
      </c>
      <c r="AB86" s="681">
        <f t="shared" si="16"/>
        <v>-837.44</v>
      </c>
      <c r="AC86" s="681">
        <f t="shared" si="16"/>
        <v>-837.44</v>
      </c>
      <c r="AD86" s="681">
        <f t="shared" si="16"/>
        <v>1500</v>
      </c>
    </row>
    <row r="87" spans="1:30" ht="13.15" customHeight="1" x14ac:dyDescent="0.4">
      <c r="A87" s="295" t="s">
        <v>3852</v>
      </c>
      <c r="B87" s="295" t="s">
        <v>3853</v>
      </c>
      <c r="E87" s="293">
        <v>50</v>
      </c>
      <c r="F87" s="295">
        <f>E87*12</f>
        <v>600</v>
      </c>
      <c r="H87" s="647" t="s">
        <v>3854</v>
      </c>
      <c r="I87" s="295"/>
      <c r="J87" s="295"/>
      <c r="K87" s="827">
        <v>3000</v>
      </c>
      <c r="L87" s="681"/>
      <c r="M87" s="681"/>
      <c r="N87" s="681"/>
      <c r="O87" s="681"/>
      <c r="P87" s="681"/>
      <c r="Q87" s="681"/>
      <c r="R87" s="681"/>
      <c r="S87" s="681"/>
      <c r="T87" s="681"/>
      <c r="U87" s="681"/>
      <c r="V87" s="681"/>
      <c r="W87" s="681"/>
      <c r="X87" s="681"/>
      <c r="Y87" s="681"/>
      <c r="Z87" s="681"/>
      <c r="AA87" s="681"/>
      <c r="AB87" s="681"/>
      <c r="AC87" s="681"/>
      <c r="AD87" s="681"/>
    </row>
    <row r="88" spans="1:30" ht="18" customHeight="1" thickBot="1" x14ac:dyDescent="0.55000000000000004">
      <c r="A88" s="295" t="s">
        <v>3855</v>
      </c>
      <c r="B88" s="295" t="s">
        <v>3856</v>
      </c>
      <c r="H88" s="742" t="s">
        <v>3857</v>
      </c>
      <c r="I88" s="742"/>
      <c r="J88" s="775">
        <f>J65-J84</f>
        <v>2964.8399999999965</v>
      </c>
      <c r="K88" s="743">
        <f>K86+K85+K87</f>
        <v>12454</v>
      </c>
      <c r="L88" s="743">
        <f t="shared" ref="L88:AD88" si="17">K88+L86</f>
        <v>12454</v>
      </c>
      <c r="M88" s="743">
        <f t="shared" si="17"/>
        <v>12454</v>
      </c>
      <c r="N88" s="743">
        <f t="shared" si="17"/>
        <v>12454</v>
      </c>
      <c r="O88" s="743">
        <f t="shared" si="17"/>
        <v>12454</v>
      </c>
      <c r="P88" s="743">
        <f t="shared" si="17"/>
        <v>13445</v>
      </c>
      <c r="Q88" s="743">
        <f t="shared" si="17"/>
        <v>11967</v>
      </c>
      <c r="R88" s="743">
        <f t="shared" si="17"/>
        <v>11871</v>
      </c>
      <c r="S88" s="743">
        <f t="shared" si="17"/>
        <v>12398.56</v>
      </c>
      <c r="T88" s="743">
        <f t="shared" si="17"/>
        <v>6326.119999999999</v>
      </c>
      <c r="U88" s="743">
        <f t="shared" si="17"/>
        <v>7364.6799999999985</v>
      </c>
      <c r="V88" s="743">
        <f t="shared" si="17"/>
        <v>5967.239999999998</v>
      </c>
      <c r="W88" s="743">
        <f t="shared" si="17"/>
        <v>4174.7999999999975</v>
      </c>
      <c r="X88" s="743">
        <f t="shared" si="17"/>
        <v>2692.3599999999974</v>
      </c>
      <c r="Y88" s="743">
        <f t="shared" si="17"/>
        <v>1384.9199999999973</v>
      </c>
      <c r="Z88" s="743">
        <f t="shared" si="17"/>
        <v>1047.4799999999973</v>
      </c>
      <c r="AA88" s="743">
        <f t="shared" si="17"/>
        <v>210.03999999999724</v>
      </c>
      <c r="AB88" s="743">
        <f t="shared" si="17"/>
        <v>-627.40000000000282</v>
      </c>
      <c r="AC88" s="743">
        <f t="shared" si="17"/>
        <v>-1464.8400000000029</v>
      </c>
      <c r="AD88" s="743">
        <f t="shared" si="17"/>
        <v>35.159999999997126</v>
      </c>
    </row>
    <row r="89" spans="1:30" ht="15" customHeight="1" x14ac:dyDescent="0.4">
      <c r="A89" s="295" t="s">
        <v>3858</v>
      </c>
      <c r="B89" s="295" t="s">
        <v>1531</v>
      </c>
      <c r="H89" s="647" t="s">
        <v>3859</v>
      </c>
      <c r="I89" s="647"/>
      <c r="J89" s="647"/>
      <c r="K89" s="736">
        <f t="shared" ref="K89:T89" si="18">K88-$K$71</f>
        <v>9164</v>
      </c>
      <c r="L89" s="736">
        <f t="shared" si="18"/>
        <v>9164</v>
      </c>
      <c r="M89" s="736">
        <f t="shared" si="18"/>
        <v>9164</v>
      </c>
      <c r="N89" s="736">
        <f t="shared" si="18"/>
        <v>9164</v>
      </c>
      <c r="O89" s="736">
        <f t="shared" si="18"/>
        <v>9164</v>
      </c>
      <c r="P89" s="736">
        <f t="shared" si="18"/>
        <v>10155</v>
      </c>
      <c r="Q89" s="736">
        <f t="shared" si="18"/>
        <v>8677</v>
      </c>
      <c r="R89" s="736">
        <f t="shared" si="18"/>
        <v>8581</v>
      </c>
      <c r="S89" s="736">
        <f t="shared" si="18"/>
        <v>9108.56</v>
      </c>
      <c r="T89" s="736">
        <f t="shared" si="18"/>
        <v>3036.119999999999</v>
      </c>
      <c r="U89" s="736"/>
      <c r="V89" s="736"/>
      <c r="W89" s="736"/>
      <c r="X89" s="736"/>
      <c r="Y89" s="736"/>
      <c r="Z89" s="736"/>
      <c r="AA89" s="736"/>
      <c r="AB89" s="736"/>
      <c r="AC89" s="736"/>
      <c r="AD89" s="736"/>
    </row>
    <row r="90" spans="1:30" ht="13.15" customHeight="1" x14ac:dyDescent="0.4">
      <c r="A90" s="295" t="s">
        <v>3860</v>
      </c>
      <c r="B90" s="295" t="s">
        <v>3861</v>
      </c>
      <c r="H90" s="647" t="s">
        <v>3862</v>
      </c>
      <c r="I90" s="647"/>
      <c r="K90" s="576"/>
      <c r="L90" s="576"/>
      <c r="M90" s="576"/>
      <c r="N90" s="576"/>
      <c r="O90" s="737"/>
      <c r="P90" s="737"/>
      <c r="Q90" s="737"/>
      <c r="R90" s="737"/>
      <c r="S90" s="737"/>
      <c r="T90" s="737"/>
      <c r="U90" s="737"/>
      <c r="V90" s="737"/>
      <c r="W90" s="737"/>
      <c r="X90" s="737"/>
      <c r="Y90" s="737"/>
      <c r="Z90" s="737"/>
      <c r="AA90" s="737"/>
      <c r="AB90" s="737"/>
      <c r="AC90" s="737"/>
      <c r="AD90" s="737"/>
    </row>
    <row r="91" spans="1:30" x14ac:dyDescent="0.35">
      <c r="H91" s="295"/>
      <c r="I91" s="295"/>
      <c r="J91" s="689">
        <f>SUM(K91:AD91)</f>
        <v>0</v>
      </c>
      <c r="K91" s="576"/>
      <c r="L91" s="576"/>
      <c r="M91" s="576"/>
      <c r="N91" s="576"/>
      <c r="O91" s="576"/>
      <c r="P91" s="576"/>
      <c r="Q91" s="576"/>
      <c r="R91" s="576"/>
      <c r="S91" s="576"/>
      <c r="T91" s="576"/>
      <c r="U91" s="576"/>
      <c r="V91" s="576"/>
      <c r="W91" s="576"/>
      <c r="X91" s="576"/>
      <c r="Y91" s="576"/>
      <c r="Z91" s="576"/>
      <c r="AA91" s="576"/>
      <c r="AB91" s="576"/>
      <c r="AC91" s="576"/>
      <c r="AD91" s="576"/>
    </row>
    <row r="92" spans="1:30" ht="13.15" customHeight="1" x14ac:dyDescent="0.4">
      <c r="A92" s="647" t="s">
        <v>3843</v>
      </c>
      <c r="D92" s="997">
        <f>SUM(D83:D87)</f>
        <v>0</v>
      </c>
      <c r="E92" s="997">
        <f>SUM(E83:E87)</f>
        <v>133.33333333333331</v>
      </c>
      <c r="F92" s="997">
        <f>SUM(F83:F87)</f>
        <v>1599.9999999999998</v>
      </c>
      <c r="H92" s="295" t="s">
        <v>3863</v>
      </c>
      <c r="I92" s="295"/>
      <c r="J92" s="576">
        <f t="shared" ref="J92:AD92" si="19">J75*25%</f>
        <v>1937.5</v>
      </c>
      <c r="K92" s="576">
        <f t="shared" si="19"/>
        <v>0</v>
      </c>
      <c r="L92" s="576">
        <f t="shared" si="19"/>
        <v>0</v>
      </c>
      <c r="M92" s="576">
        <f t="shared" si="19"/>
        <v>0</v>
      </c>
      <c r="N92" s="576">
        <f t="shared" si="19"/>
        <v>0</v>
      </c>
      <c r="O92" s="576">
        <f t="shared" si="19"/>
        <v>0</v>
      </c>
      <c r="P92" s="576">
        <f t="shared" si="19"/>
        <v>62.5</v>
      </c>
      <c r="Q92" s="576">
        <f t="shared" si="19"/>
        <v>62.5</v>
      </c>
      <c r="R92" s="576">
        <f t="shared" si="19"/>
        <v>62.5</v>
      </c>
      <c r="S92" s="576">
        <f t="shared" si="19"/>
        <v>250</v>
      </c>
      <c r="T92" s="576">
        <f t="shared" si="19"/>
        <v>250</v>
      </c>
      <c r="U92" s="576">
        <f t="shared" si="19"/>
        <v>250</v>
      </c>
      <c r="V92" s="576">
        <f t="shared" si="19"/>
        <v>250</v>
      </c>
      <c r="W92" s="576">
        <f t="shared" si="19"/>
        <v>250</v>
      </c>
      <c r="X92" s="576">
        <f t="shared" si="19"/>
        <v>250</v>
      </c>
      <c r="Y92" s="576">
        <f t="shared" si="19"/>
        <v>250</v>
      </c>
      <c r="Z92" s="576">
        <f t="shared" si="19"/>
        <v>500</v>
      </c>
      <c r="AA92" s="576">
        <f t="shared" si="19"/>
        <v>375</v>
      </c>
      <c r="AB92" s="576">
        <f t="shared" si="19"/>
        <v>375</v>
      </c>
      <c r="AC92" s="576">
        <f t="shared" si="19"/>
        <v>375</v>
      </c>
      <c r="AD92" s="576">
        <f t="shared" si="19"/>
        <v>375</v>
      </c>
    </row>
    <row r="93" spans="1:30" x14ac:dyDescent="0.35">
      <c r="D93" s="1006"/>
      <c r="E93" s="1006"/>
      <c r="F93" s="1006"/>
      <c r="H93" s="295" t="s">
        <v>3864</v>
      </c>
      <c r="I93" s="295"/>
      <c r="J93" s="689">
        <f>SUM(K93:AD93)</f>
        <v>975</v>
      </c>
      <c r="K93" s="576"/>
      <c r="L93" s="576"/>
      <c r="M93" s="576"/>
      <c r="N93" s="576"/>
      <c r="O93" s="576"/>
      <c r="P93" s="576"/>
      <c r="Q93" s="576">
        <v>75</v>
      </c>
      <c r="R93" s="576"/>
      <c r="S93" s="576">
        <v>75</v>
      </c>
      <c r="T93" s="576">
        <v>75</v>
      </c>
      <c r="U93" s="576">
        <v>75</v>
      </c>
      <c r="V93" s="576">
        <v>75</v>
      </c>
      <c r="W93" s="576">
        <v>75</v>
      </c>
      <c r="X93" s="576">
        <v>75</v>
      </c>
      <c r="Y93" s="576">
        <v>75</v>
      </c>
      <c r="Z93" s="576">
        <v>75</v>
      </c>
      <c r="AA93" s="576">
        <v>75</v>
      </c>
      <c r="AB93" s="576">
        <v>75</v>
      </c>
      <c r="AC93" s="576">
        <v>75</v>
      </c>
      <c r="AD93" s="576">
        <v>75</v>
      </c>
    </row>
    <row r="94" spans="1:30" ht="13.15" customHeight="1" x14ac:dyDescent="0.4">
      <c r="D94" s="1006"/>
      <c r="E94" s="1006"/>
      <c r="F94" s="1006"/>
      <c r="I94" s="647"/>
      <c r="J94" s="689">
        <f>SUM(K94:AD94)</f>
        <v>0</v>
      </c>
      <c r="K94" s="737"/>
      <c r="L94" s="737"/>
      <c r="M94" s="737"/>
      <c r="N94" s="737"/>
      <c r="O94" s="737"/>
      <c r="P94" s="737"/>
      <c r="Q94" s="737"/>
      <c r="R94" s="737"/>
      <c r="S94" s="737"/>
      <c r="T94" s="737"/>
      <c r="U94" s="737"/>
      <c r="V94" s="737"/>
      <c r="W94" s="737"/>
      <c r="X94" s="737"/>
      <c r="Y94" s="737"/>
      <c r="Z94" s="737"/>
      <c r="AA94" s="737"/>
      <c r="AB94" s="737"/>
      <c r="AC94" s="737"/>
      <c r="AD94" s="737"/>
    </row>
    <row r="95" spans="1:30" ht="13.5" customHeight="1" thickBot="1" x14ac:dyDescent="0.45">
      <c r="A95" s="647" t="s">
        <v>3865</v>
      </c>
      <c r="B95" s="295"/>
      <c r="C95" s="295"/>
      <c r="D95" s="997">
        <f>D81+D92</f>
        <v>332.69333333333333</v>
      </c>
      <c r="E95" s="997">
        <f>E81+E92</f>
        <v>4095.0933333333337</v>
      </c>
      <c r="F95" s="997" t="e">
        <f>#REF!+F92</f>
        <v>#REF!</v>
      </c>
      <c r="H95" s="686" t="s">
        <v>3866</v>
      </c>
      <c r="I95" s="686"/>
      <c r="J95" s="738">
        <f>SUM(K95:W95)</f>
        <v>1887.5</v>
      </c>
      <c r="K95" s="687">
        <f t="shared" ref="K95:AD95" si="20">SUM(K90:K94)</f>
        <v>0</v>
      </c>
      <c r="L95" s="687">
        <f t="shared" si="20"/>
        <v>0</v>
      </c>
      <c r="M95" s="687">
        <f t="shared" si="20"/>
        <v>0</v>
      </c>
      <c r="N95" s="687">
        <f t="shared" si="20"/>
        <v>0</v>
      </c>
      <c r="O95" s="687">
        <f t="shared" si="20"/>
        <v>0</v>
      </c>
      <c r="P95" s="687">
        <f t="shared" si="20"/>
        <v>62.5</v>
      </c>
      <c r="Q95" s="687">
        <f t="shared" si="20"/>
        <v>137.5</v>
      </c>
      <c r="R95" s="687">
        <f t="shared" si="20"/>
        <v>62.5</v>
      </c>
      <c r="S95" s="687">
        <f t="shared" si="20"/>
        <v>325</v>
      </c>
      <c r="T95" s="687">
        <f t="shared" si="20"/>
        <v>325</v>
      </c>
      <c r="U95" s="687">
        <f t="shared" si="20"/>
        <v>325</v>
      </c>
      <c r="V95" s="687">
        <f t="shared" si="20"/>
        <v>325</v>
      </c>
      <c r="W95" s="687">
        <f t="shared" si="20"/>
        <v>325</v>
      </c>
      <c r="X95" s="687">
        <f t="shared" si="20"/>
        <v>325</v>
      </c>
      <c r="Y95" s="687">
        <f t="shared" si="20"/>
        <v>325</v>
      </c>
      <c r="Z95" s="687">
        <f t="shared" si="20"/>
        <v>575</v>
      </c>
      <c r="AA95" s="687">
        <f t="shared" si="20"/>
        <v>450</v>
      </c>
      <c r="AB95" s="687">
        <f t="shared" si="20"/>
        <v>450</v>
      </c>
      <c r="AC95" s="687">
        <f t="shared" si="20"/>
        <v>450</v>
      </c>
      <c r="AD95" s="687">
        <f t="shared" si="20"/>
        <v>450</v>
      </c>
    </row>
    <row r="96" spans="1:30" ht="15" customHeight="1" x14ac:dyDescent="0.4">
      <c r="H96" s="647"/>
      <c r="I96" s="647"/>
      <c r="J96" s="647"/>
      <c r="K96" s="736"/>
      <c r="L96" s="736"/>
      <c r="M96" s="736"/>
      <c r="N96" s="736"/>
      <c r="O96" s="736"/>
      <c r="P96" s="736"/>
      <c r="Q96" s="736"/>
      <c r="R96" s="736"/>
      <c r="S96" s="736"/>
      <c r="T96" s="736"/>
      <c r="U96" s="736"/>
      <c r="V96" s="736"/>
      <c r="W96" s="736"/>
      <c r="X96" s="736"/>
      <c r="Y96" s="736"/>
      <c r="Z96" s="736"/>
      <c r="AA96" s="736"/>
      <c r="AB96" s="736"/>
      <c r="AC96" s="736"/>
      <c r="AD96" s="736"/>
    </row>
    <row r="97" spans="1:30" ht="18" customHeight="1" thickBot="1" x14ac:dyDescent="0.55000000000000004">
      <c r="H97" s="742" t="s">
        <v>3867</v>
      </c>
      <c r="I97" s="742"/>
      <c r="J97" s="775">
        <f>J88+J95</f>
        <v>4852.3399999999965</v>
      </c>
      <c r="K97" s="743">
        <f>K88-K95</f>
        <v>12454</v>
      </c>
      <c r="L97" s="743">
        <f t="shared" ref="L97:AD97" si="21">K97+L86-L95</f>
        <v>12454</v>
      </c>
      <c r="M97" s="743">
        <f t="shared" si="21"/>
        <v>12454</v>
      </c>
      <c r="N97" s="743">
        <f t="shared" si="21"/>
        <v>12454</v>
      </c>
      <c r="O97" s="743">
        <f t="shared" si="21"/>
        <v>12454</v>
      </c>
      <c r="P97" s="743">
        <f t="shared" si="21"/>
        <v>13382.5</v>
      </c>
      <c r="Q97" s="743">
        <f t="shared" si="21"/>
        <v>11767</v>
      </c>
      <c r="R97" s="743">
        <f t="shared" si="21"/>
        <v>11608.5</v>
      </c>
      <c r="S97" s="743">
        <f t="shared" si="21"/>
        <v>11811.06</v>
      </c>
      <c r="T97" s="743">
        <f t="shared" si="21"/>
        <v>5413.619999999999</v>
      </c>
      <c r="U97" s="743">
        <f t="shared" si="21"/>
        <v>6127.1799999999985</v>
      </c>
      <c r="V97" s="743">
        <f t="shared" si="21"/>
        <v>4404.739999999998</v>
      </c>
      <c r="W97" s="743">
        <f t="shared" si="21"/>
        <v>2287.2999999999979</v>
      </c>
      <c r="X97" s="743">
        <f t="shared" si="21"/>
        <v>479.85999999999785</v>
      </c>
      <c r="Y97" s="743">
        <f t="shared" si="21"/>
        <v>-1152.5800000000022</v>
      </c>
      <c r="Z97" s="743">
        <f t="shared" si="21"/>
        <v>-2065.0200000000023</v>
      </c>
      <c r="AA97" s="743">
        <f t="shared" si="21"/>
        <v>-3352.4600000000023</v>
      </c>
      <c r="AB97" s="743">
        <f t="shared" si="21"/>
        <v>-4639.9000000000024</v>
      </c>
      <c r="AC97" s="743">
        <f t="shared" si="21"/>
        <v>-5927.340000000002</v>
      </c>
      <c r="AD97" s="743">
        <f t="shared" si="21"/>
        <v>-4877.340000000002</v>
      </c>
    </row>
    <row r="98" spans="1:30" ht="15" customHeight="1" x14ac:dyDescent="0.4">
      <c r="H98" s="647"/>
      <c r="I98" s="647"/>
      <c r="J98" s="647"/>
      <c r="K98" s="736"/>
      <c r="L98" s="736"/>
      <c r="M98" s="736"/>
      <c r="N98" s="736"/>
      <c r="O98" s="736"/>
      <c r="P98" s="736"/>
      <c r="Q98" s="736"/>
      <c r="R98" s="736"/>
      <c r="S98" s="736"/>
      <c r="T98" s="736"/>
      <c r="U98" s="736"/>
      <c r="V98" s="736"/>
      <c r="W98" s="736"/>
      <c r="X98" s="736"/>
      <c r="Y98" s="736"/>
      <c r="Z98" s="736"/>
      <c r="AA98" s="736"/>
      <c r="AB98" s="736"/>
      <c r="AC98" s="736"/>
      <c r="AD98" s="736"/>
    </row>
    <row r="100" spans="1:30" ht="13.5" customHeight="1" thickBot="1" x14ac:dyDescent="0.45">
      <c r="H100" s="295" t="s">
        <v>3868</v>
      </c>
      <c r="I100" s="295"/>
      <c r="K100" s="687">
        <v>8101</v>
      </c>
      <c r="L100" s="687">
        <v>8101</v>
      </c>
      <c r="M100" s="687">
        <v>8101</v>
      </c>
      <c r="N100" s="687">
        <v>8101</v>
      </c>
      <c r="O100" s="687">
        <v>5121.18</v>
      </c>
      <c r="P100" s="687">
        <v>5594.18</v>
      </c>
      <c r="Q100" s="687">
        <v>4116.18</v>
      </c>
      <c r="R100" s="687">
        <v>4020.18</v>
      </c>
      <c r="S100" s="687">
        <v>4647.74</v>
      </c>
      <c r="T100" s="687">
        <v>-1324.700000000001</v>
      </c>
      <c r="U100" s="687">
        <v>153.85999999999919</v>
      </c>
      <c r="V100" s="687">
        <v>-803.58000000000084</v>
      </c>
      <c r="W100" s="687">
        <v>-2156.0200000000009</v>
      </c>
      <c r="X100" s="687">
        <v>-3198.4600000000009</v>
      </c>
      <c r="Y100" s="687">
        <v>-4065.900000000001</v>
      </c>
      <c r="Z100" s="687">
        <v>-3963.3400000000011</v>
      </c>
      <c r="AA100" s="687">
        <v>-4360.7800000000007</v>
      </c>
      <c r="AB100" s="687">
        <v>-4758.2200000000012</v>
      </c>
      <c r="AC100" s="687">
        <v>-5155.6600000000017</v>
      </c>
      <c r="AD100" s="687">
        <v>-3655.6600000000021</v>
      </c>
    </row>
    <row r="102" spans="1:30" ht="13.5" customHeight="1" thickBot="1" x14ac:dyDescent="0.45">
      <c r="H102" s="295" t="s">
        <v>3869</v>
      </c>
      <c r="I102" s="295"/>
      <c r="J102" s="295" t="s">
        <v>3870</v>
      </c>
      <c r="K102" s="687">
        <f t="shared" ref="K102:AD102" si="22">K88-K100</f>
        <v>4353</v>
      </c>
      <c r="L102" s="687">
        <f t="shared" si="22"/>
        <v>4353</v>
      </c>
      <c r="M102" s="687">
        <f t="shared" si="22"/>
        <v>4353</v>
      </c>
      <c r="N102" s="687">
        <f t="shared" si="22"/>
        <v>4353</v>
      </c>
      <c r="O102" s="687">
        <f t="shared" si="22"/>
        <v>7332.82</v>
      </c>
      <c r="P102" s="687">
        <f t="shared" si="22"/>
        <v>7850.82</v>
      </c>
      <c r="Q102" s="687">
        <f t="shared" si="22"/>
        <v>7850.82</v>
      </c>
      <c r="R102" s="687">
        <f t="shared" si="22"/>
        <v>7850.82</v>
      </c>
      <c r="S102" s="687">
        <f t="shared" si="22"/>
        <v>7750.82</v>
      </c>
      <c r="T102" s="687">
        <f t="shared" si="22"/>
        <v>7650.82</v>
      </c>
      <c r="U102" s="687">
        <f t="shared" si="22"/>
        <v>7210.82</v>
      </c>
      <c r="V102" s="687">
        <f t="shared" si="22"/>
        <v>6770.8199999999988</v>
      </c>
      <c r="W102" s="687">
        <f t="shared" si="22"/>
        <v>6330.8199999999979</v>
      </c>
      <c r="X102" s="687">
        <f t="shared" si="22"/>
        <v>5890.8199999999979</v>
      </c>
      <c r="Y102" s="687">
        <f t="shared" si="22"/>
        <v>5450.8199999999979</v>
      </c>
      <c r="Z102" s="687">
        <f t="shared" si="22"/>
        <v>5010.8199999999979</v>
      </c>
      <c r="AA102" s="687">
        <f t="shared" si="22"/>
        <v>4570.8199999999979</v>
      </c>
      <c r="AB102" s="687">
        <f t="shared" si="22"/>
        <v>4130.8199999999979</v>
      </c>
      <c r="AC102" s="687">
        <f t="shared" si="22"/>
        <v>3690.8199999999988</v>
      </c>
      <c r="AD102" s="687">
        <f t="shared" si="22"/>
        <v>3690.8199999999993</v>
      </c>
    </row>
    <row r="103" spans="1:30" ht="13.15" customHeight="1" x14ac:dyDescent="0.4">
      <c r="A103" s="295" t="s">
        <v>3871</v>
      </c>
      <c r="B103" s="295"/>
      <c r="C103" s="997">
        <f>D95+D42</f>
        <v>1913.1333333333334</v>
      </c>
      <c r="D103" s="997">
        <f>D95+D42</f>
        <v>1913.1333333333334</v>
      </c>
      <c r="F103" s="295"/>
    </row>
    <row r="104" spans="1:30" ht="13.5" customHeight="1" thickBot="1" x14ac:dyDescent="0.45">
      <c r="A104" s="295"/>
      <c r="B104" s="295"/>
      <c r="C104" s="1009"/>
      <c r="D104" s="1006"/>
      <c r="F104" s="295"/>
      <c r="W104" s="687"/>
    </row>
    <row r="105" spans="1:30" ht="13.5" customHeight="1" thickBot="1" x14ac:dyDescent="0.45">
      <c r="A105" s="295" t="s">
        <v>3755</v>
      </c>
      <c r="B105" s="295"/>
      <c r="C105" s="1008">
        <f>C6-C103</f>
        <v>711.86666666666611</v>
      </c>
      <c r="D105" s="1008">
        <f>D9-D103</f>
        <v>1015.5346933537278</v>
      </c>
    </row>
    <row r="106" spans="1:30" x14ac:dyDescent="0.35">
      <c r="H106" s="295"/>
      <c r="I106" s="295"/>
      <c r="K106" s="295"/>
    </row>
    <row r="121" spans="1:5" ht="13.15" customHeight="1" x14ac:dyDescent="0.4">
      <c r="A121" s="647" t="s">
        <v>3872</v>
      </c>
      <c r="C121" s="997">
        <v>66750</v>
      </c>
    </row>
    <row r="123" spans="1:5" x14ac:dyDescent="0.35">
      <c r="A123" s="295" t="s">
        <v>3873</v>
      </c>
      <c r="C123" s="681">
        <v>27500</v>
      </c>
      <c r="D123" s="681">
        <v>900</v>
      </c>
      <c r="E123" s="950">
        <f t="shared" ref="E123:E129" si="23">C123/C$121</f>
        <v>0.41198501872659177</v>
      </c>
    </row>
    <row r="124" spans="1:5" x14ac:dyDescent="0.35">
      <c r="A124" s="295" t="s">
        <v>3715</v>
      </c>
      <c r="C124" s="681">
        <v>10000</v>
      </c>
      <c r="D124" s="681">
        <v>98</v>
      </c>
      <c r="E124" s="950">
        <f t="shared" si="23"/>
        <v>0.14981273408239701</v>
      </c>
    </row>
    <row r="125" spans="1:5" x14ac:dyDescent="0.35">
      <c r="A125" s="295" t="s">
        <v>3874</v>
      </c>
      <c r="C125" s="681">
        <v>12597</v>
      </c>
      <c r="D125" s="681">
        <v>405</v>
      </c>
      <c r="E125" s="950">
        <f t="shared" si="23"/>
        <v>0.1887191011235955</v>
      </c>
    </row>
    <row r="126" spans="1:5" x14ac:dyDescent="0.35">
      <c r="A126" s="295" t="s">
        <v>3874</v>
      </c>
      <c r="C126" s="576">
        <v>7265</v>
      </c>
      <c r="D126" s="576">
        <v>256</v>
      </c>
      <c r="E126" s="950">
        <f t="shared" si="23"/>
        <v>0.10883895131086142</v>
      </c>
    </row>
    <row r="127" spans="1:5" x14ac:dyDescent="0.35">
      <c r="A127" s="295" t="s">
        <v>3854</v>
      </c>
      <c r="C127" s="576">
        <v>2000</v>
      </c>
      <c r="D127" s="576"/>
      <c r="E127" s="950">
        <f t="shared" si="23"/>
        <v>2.9962546816479401E-2</v>
      </c>
    </row>
    <row r="128" spans="1:5" x14ac:dyDescent="0.35">
      <c r="A128" s="295"/>
      <c r="C128" s="681"/>
      <c r="D128" s="681"/>
      <c r="E128" s="950">
        <f t="shared" si="23"/>
        <v>0</v>
      </c>
    </row>
    <row r="129" spans="1:6" x14ac:dyDescent="0.35">
      <c r="A129" s="295" t="s">
        <v>3875</v>
      </c>
      <c r="C129" s="681">
        <v>5000</v>
      </c>
      <c r="D129" s="681"/>
      <c r="E129" s="950">
        <f t="shared" si="23"/>
        <v>7.4906367041198504E-2</v>
      </c>
    </row>
    <row r="130" spans="1:6" x14ac:dyDescent="0.35">
      <c r="A130" s="295"/>
      <c r="C130" s="681"/>
      <c r="D130" s="681"/>
    </row>
    <row r="131" spans="1:6" ht="13.15" customHeight="1" x14ac:dyDescent="0.4">
      <c r="C131" s="737">
        <f>SUM(C122:C129)</f>
        <v>64362</v>
      </c>
      <c r="D131" s="737">
        <f>SUM(D122:D129)</f>
        <v>1659</v>
      </c>
      <c r="E131" s="945">
        <f>D131/D$103</f>
        <v>0.86716381503293027</v>
      </c>
    </row>
    <row r="132" spans="1:6" x14ac:dyDescent="0.35">
      <c r="C132" s="681"/>
      <c r="D132" s="681"/>
    </row>
    <row r="133" spans="1:6" ht="13.15" customHeight="1" x14ac:dyDescent="0.4">
      <c r="B133" s="647" t="s">
        <v>3876</v>
      </c>
      <c r="C133" s="737">
        <f>C121-C131</f>
        <v>2388</v>
      </c>
      <c r="D133" s="737">
        <f>D103-D131</f>
        <v>254.13333333333344</v>
      </c>
      <c r="E133" s="945">
        <f>D133/D103</f>
        <v>0.13283618496706978</v>
      </c>
    </row>
    <row r="134" spans="1:6" ht="13.15" customHeight="1" x14ac:dyDescent="0.4">
      <c r="B134" s="295" t="s">
        <v>3755</v>
      </c>
      <c r="D134" s="1003">
        <f>D6-D133</f>
        <v>2673.7136250000003</v>
      </c>
    </row>
    <row r="137" spans="1:6" ht="13.15" customHeight="1" x14ac:dyDescent="0.4">
      <c r="A137" s="647" t="s">
        <v>3877</v>
      </c>
      <c r="B137" s="951" t="s">
        <v>3878</v>
      </c>
      <c r="C137" s="951" t="s">
        <v>3879</v>
      </c>
      <c r="D137" s="951" t="s">
        <v>3880</v>
      </c>
      <c r="E137" s="951" t="s">
        <v>3881</v>
      </c>
      <c r="F137" s="647"/>
    </row>
    <row r="139" spans="1:6" x14ac:dyDescent="0.35">
      <c r="A139" s="295" t="s">
        <v>3882</v>
      </c>
      <c r="B139" s="681">
        <f t="shared" ref="B139:B150" si="24">D139*30%</f>
        <v>967.19999999999993</v>
      </c>
      <c r="C139" s="681">
        <v>1289</v>
      </c>
      <c r="D139" s="681">
        <v>3224</v>
      </c>
      <c r="E139" s="681">
        <f>D139-C139</f>
        <v>1935</v>
      </c>
      <c r="F139" s="950">
        <f>E139/D139</f>
        <v>0.60018610421836227</v>
      </c>
    </row>
    <row r="140" spans="1:6" x14ac:dyDescent="0.35">
      <c r="A140" s="295" t="s">
        <v>3883</v>
      </c>
      <c r="B140" s="681">
        <f t="shared" si="24"/>
        <v>1017.5999999999999</v>
      </c>
      <c r="C140" s="681">
        <v>1356.78</v>
      </c>
      <c r="D140" s="681">
        <v>3392</v>
      </c>
      <c r="E140" s="681">
        <f>D140-C140</f>
        <v>2035.22</v>
      </c>
      <c r="F140" s="950">
        <f>E140/D140</f>
        <v>0.60000589622641509</v>
      </c>
    </row>
    <row r="141" spans="1:6" x14ac:dyDescent="0.35">
      <c r="A141" s="295" t="s">
        <v>3884</v>
      </c>
      <c r="B141" s="681">
        <f t="shared" si="24"/>
        <v>2648.7</v>
      </c>
      <c r="C141" s="681">
        <v>3531.97</v>
      </c>
      <c r="D141" s="681">
        <v>8829</v>
      </c>
      <c r="E141" s="681">
        <f>D141-C141</f>
        <v>5297.0300000000007</v>
      </c>
      <c r="F141" s="950">
        <f>E141/D141</f>
        <v>0.59995809264922417</v>
      </c>
    </row>
    <row r="142" spans="1:6" x14ac:dyDescent="0.35">
      <c r="A142" s="845" t="s">
        <v>3885</v>
      </c>
      <c r="B142" s="681">
        <f t="shared" si="24"/>
        <v>2359.1999999999998</v>
      </c>
      <c r="C142" s="681">
        <f t="shared" ref="C142:C150" si="25">D142*60%</f>
        <v>4718.3999999999996</v>
      </c>
      <c r="D142" s="681">
        <v>7864</v>
      </c>
      <c r="E142" s="681"/>
    </row>
    <row r="143" spans="1:6" x14ac:dyDescent="0.35">
      <c r="A143" s="845" t="s">
        <v>3885</v>
      </c>
      <c r="B143" s="681">
        <f t="shared" si="24"/>
        <v>579.6</v>
      </c>
      <c r="C143" s="681">
        <f t="shared" si="25"/>
        <v>1159.2</v>
      </c>
      <c r="D143" s="681">
        <v>1932</v>
      </c>
      <c r="E143" s="681"/>
    </row>
    <row r="144" spans="1:6" x14ac:dyDescent="0.35">
      <c r="A144" s="845" t="s">
        <v>3886</v>
      </c>
      <c r="B144" s="681">
        <f t="shared" si="24"/>
        <v>377.09999999999997</v>
      </c>
      <c r="C144" s="681">
        <f t="shared" si="25"/>
        <v>754.19999999999993</v>
      </c>
      <c r="D144" s="681">
        <v>1257</v>
      </c>
      <c r="E144" s="681"/>
    </row>
    <row r="145" spans="1:6" x14ac:dyDescent="0.35">
      <c r="A145" s="845" t="s">
        <v>3887</v>
      </c>
      <c r="B145" s="681">
        <f t="shared" si="24"/>
        <v>1128.5999999999999</v>
      </c>
      <c r="C145" s="681">
        <f t="shared" si="25"/>
        <v>2257.1999999999998</v>
      </c>
      <c r="D145" s="681">
        <v>3762</v>
      </c>
      <c r="E145" s="681"/>
    </row>
    <row r="146" spans="1:6" x14ac:dyDescent="0.35">
      <c r="A146" s="845" t="s">
        <v>3887</v>
      </c>
      <c r="B146" s="681">
        <f t="shared" si="24"/>
        <v>2276.6999999999998</v>
      </c>
      <c r="C146" s="681">
        <f t="shared" si="25"/>
        <v>4553.3999999999996</v>
      </c>
      <c r="D146" s="681">
        <v>7589</v>
      </c>
      <c r="E146" s="681"/>
    </row>
    <row r="147" spans="1:6" x14ac:dyDescent="0.35">
      <c r="A147" s="845" t="s">
        <v>3887</v>
      </c>
      <c r="B147" s="681">
        <f t="shared" si="24"/>
        <v>653.69999999999993</v>
      </c>
      <c r="C147" s="681">
        <f t="shared" si="25"/>
        <v>1307.3999999999999</v>
      </c>
      <c r="D147" s="681">
        <v>2179</v>
      </c>
      <c r="E147" s="681"/>
    </row>
    <row r="148" spans="1:6" x14ac:dyDescent="0.35">
      <c r="A148" s="845" t="s">
        <v>3887</v>
      </c>
      <c r="B148" s="681">
        <f t="shared" si="24"/>
        <v>988.19999999999993</v>
      </c>
      <c r="C148" s="681">
        <f t="shared" si="25"/>
        <v>1976.3999999999999</v>
      </c>
      <c r="D148" s="681">
        <v>3294</v>
      </c>
      <c r="E148" s="681"/>
    </row>
    <row r="149" spans="1:6" x14ac:dyDescent="0.35">
      <c r="A149" s="845" t="s">
        <v>3887</v>
      </c>
      <c r="B149" s="681">
        <f t="shared" si="24"/>
        <v>197.7</v>
      </c>
      <c r="C149" s="681">
        <f t="shared" si="25"/>
        <v>395.4</v>
      </c>
      <c r="D149" s="681">
        <v>659</v>
      </c>
      <c r="E149" s="681"/>
    </row>
    <row r="150" spans="1:6" x14ac:dyDescent="0.35">
      <c r="A150" s="845" t="s">
        <v>3888</v>
      </c>
      <c r="B150" s="681">
        <f t="shared" si="24"/>
        <v>9289.7999999999993</v>
      </c>
      <c r="C150" s="681">
        <f t="shared" si="25"/>
        <v>18579.599999999999</v>
      </c>
      <c r="D150" s="681">
        <v>30966</v>
      </c>
      <c r="E150" s="681"/>
    </row>
    <row r="151" spans="1:6" x14ac:dyDescent="0.35">
      <c r="A151" s="295"/>
      <c r="C151" s="681"/>
      <c r="D151" s="681"/>
      <c r="E151" s="681"/>
    </row>
    <row r="152" spans="1:6" x14ac:dyDescent="0.35">
      <c r="A152" s="295"/>
      <c r="C152" s="681"/>
      <c r="D152" s="681"/>
      <c r="E152" s="681"/>
    </row>
    <row r="153" spans="1:6" x14ac:dyDescent="0.35">
      <c r="C153" s="681"/>
      <c r="D153" s="681"/>
      <c r="E153" s="681"/>
    </row>
    <row r="154" spans="1:6" ht="13.15" customHeight="1" x14ac:dyDescent="0.4">
      <c r="B154" s="737">
        <f>SUM(B138:B153)</f>
        <v>22484.100000000002</v>
      </c>
      <c r="C154" s="737">
        <f>SUM(C138:C153)</f>
        <v>41878.950000000004</v>
      </c>
      <c r="D154" s="737">
        <f>SUM(D138:D153)</f>
        <v>74947</v>
      </c>
      <c r="E154" s="737">
        <f>SUM(E138:E153)</f>
        <v>9267.25</v>
      </c>
      <c r="F154" s="950">
        <f>E154/D154</f>
        <v>0.12365071317064058</v>
      </c>
    </row>
    <row r="160" spans="1:6" ht="13.15" customHeight="1" x14ac:dyDescent="0.4">
      <c r="A160" s="647" t="s">
        <v>3645</v>
      </c>
    </row>
    <row r="161" spans="1:4" x14ac:dyDescent="0.35">
      <c r="A161" s="295" t="s">
        <v>3662</v>
      </c>
      <c r="B161" s="293">
        <v>25</v>
      </c>
    </row>
    <row r="162" spans="1:4" x14ac:dyDescent="0.35">
      <c r="A162" s="295" t="s">
        <v>3889</v>
      </c>
      <c r="B162" s="293">
        <v>20</v>
      </c>
    </row>
    <row r="163" spans="1:4" x14ac:dyDescent="0.35">
      <c r="A163" s="295" t="s">
        <v>3743</v>
      </c>
      <c r="B163" s="293">
        <v>5</v>
      </c>
    </row>
    <row r="164" spans="1:4" x14ac:dyDescent="0.35">
      <c r="A164" s="295" t="s">
        <v>3721</v>
      </c>
      <c r="B164" s="295">
        <v>60</v>
      </c>
    </row>
    <row r="165" spans="1:4" x14ac:dyDescent="0.35">
      <c r="A165" s="295" t="s">
        <v>3890</v>
      </c>
      <c r="B165" s="295">
        <v>67</v>
      </c>
    </row>
    <row r="168" spans="1:4" x14ac:dyDescent="0.35">
      <c r="B168" s="293">
        <f>SUM(B160:B167)</f>
        <v>177</v>
      </c>
    </row>
    <row r="174" spans="1:4" x14ac:dyDescent="0.35">
      <c r="A174" s="295" t="s">
        <v>3891</v>
      </c>
      <c r="B174" s="295" t="s">
        <v>3892</v>
      </c>
      <c r="C174" s="295" t="s">
        <v>3893</v>
      </c>
      <c r="D174" s="295" t="s">
        <v>3880</v>
      </c>
    </row>
    <row r="175" spans="1:4" ht="13.15" customHeight="1" x14ac:dyDescent="0.4">
      <c r="A175" s="996">
        <v>45339</v>
      </c>
      <c r="B175" s="293">
        <v>12747.86</v>
      </c>
      <c r="D175" s="293">
        <f>B175-B176</f>
        <v>151.17000000000007</v>
      </c>
    </row>
    <row r="176" spans="1:4" ht="13.15" customHeight="1" x14ac:dyDescent="0.4">
      <c r="A176" s="996">
        <v>45342</v>
      </c>
      <c r="B176" s="647">
        <v>12596.69</v>
      </c>
      <c r="C176" s="293">
        <v>12190.99</v>
      </c>
      <c r="D176" s="293">
        <f>B176-C176</f>
        <v>405.70000000000073</v>
      </c>
    </row>
    <row r="177" spans="1:4" ht="13.15" customHeight="1" x14ac:dyDescent="0.4">
      <c r="A177" s="996">
        <v>45344</v>
      </c>
      <c r="B177" s="293">
        <v>405.7</v>
      </c>
    </row>
    <row r="178" spans="1:4" ht="13.15" customHeight="1" x14ac:dyDescent="0.4">
      <c r="A178" s="996"/>
    </row>
    <row r="179" spans="1:4" ht="13.15" customHeight="1" x14ac:dyDescent="0.4">
      <c r="A179" s="996"/>
      <c r="D179" s="647">
        <f>D176-D175</f>
        <v>254.53000000000065</v>
      </c>
    </row>
    <row r="180" spans="1:4" ht="13.15" customHeight="1" x14ac:dyDescent="0.4">
      <c r="A180" s="996"/>
      <c r="B180" s="295" t="s">
        <v>3894</v>
      </c>
      <c r="C180" s="293">
        <f>B177*2</f>
        <v>811.4</v>
      </c>
    </row>
    <row r="181" spans="1:4" ht="13.15" customHeight="1" x14ac:dyDescent="0.4">
      <c r="A181" s="996"/>
    </row>
    <row r="182" spans="1:4" ht="13.15" customHeight="1" x14ac:dyDescent="0.4">
      <c r="A182" s="996" t="s">
        <v>3895</v>
      </c>
    </row>
    <row r="183" spans="1:4" ht="13.15" customHeight="1" x14ac:dyDescent="0.4">
      <c r="A183" s="996">
        <v>45342</v>
      </c>
      <c r="B183" s="1017">
        <v>-7265.28</v>
      </c>
    </row>
    <row r="184" spans="1:4" ht="13.15" customHeight="1" x14ac:dyDescent="0.4">
      <c r="A184" s="996">
        <v>45343</v>
      </c>
      <c r="B184" s="752">
        <v>-256.63</v>
      </c>
    </row>
    <row r="185" spans="1:4" ht="13.15" customHeight="1" x14ac:dyDescent="0.4">
      <c r="A185" s="1016" t="s">
        <v>3896</v>
      </c>
      <c r="B185" s="647">
        <v>153.47</v>
      </c>
    </row>
    <row r="186" spans="1:4" ht="13.15" customHeight="1" x14ac:dyDescent="0.4">
      <c r="A186" s="996"/>
      <c r="B186" s="293">
        <f>B185+B184</f>
        <v>-103.16</v>
      </c>
      <c r="D186" s="293">
        <f>B186</f>
        <v>-103.16</v>
      </c>
    </row>
  </sheetData>
  <conditionalFormatting sqref="C44:F44 K86:AD86 K88:AD88 K89:T89 K96:U96 K97:AD97 K98:U98 L87:U87 L102:W102">
    <cfRule type="cellIs" dxfId="771" priority="127" operator="greaterThan">
      <formula>0</formula>
    </cfRule>
    <cfRule type="cellIs" dxfId="770" priority="128" operator="lessThan">
      <formula>0</formula>
    </cfRule>
  </conditionalFormatting>
  <conditionalFormatting sqref="K102">
    <cfRule type="cellIs" dxfId="769" priority="89" operator="greaterThan">
      <formula>0</formula>
    </cfRule>
    <cfRule type="cellIs" dxfId="768" priority="90" operator="lessThan">
      <formula>0</formula>
    </cfRule>
  </conditionalFormatting>
  <conditionalFormatting sqref="V96 V98">
    <cfRule type="cellIs" dxfId="767" priority="85" operator="greaterThan">
      <formula>0</formula>
    </cfRule>
    <cfRule type="cellIs" dxfId="766" priority="86" operator="lessThan">
      <formula>0</formula>
    </cfRule>
  </conditionalFormatting>
  <conditionalFormatting sqref="V87">
    <cfRule type="cellIs" dxfId="765" priority="83" operator="greaterThan">
      <formula>0</formula>
    </cfRule>
    <cfRule type="cellIs" dxfId="764" priority="84" operator="lessThan">
      <formula>0</formula>
    </cfRule>
  </conditionalFormatting>
  <conditionalFormatting sqref="W96 W98">
    <cfRule type="cellIs" dxfId="763" priority="77" operator="greaterThan">
      <formula>0</formula>
    </cfRule>
    <cfRule type="cellIs" dxfId="762" priority="78" operator="lessThan">
      <formula>0</formula>
    </cfRule>
  </conditionalFormatting>
  <conditionalFormatting sqref="W87">
    <cfRule type="cellIs" dxfId="761" priority="75" operator="greaterThan">
      <formula>0</formula>
    </cfRule>
    <cfRule type="cellIs" dxfId="760" priority="76" operator="lessThan">
      <formula>0</formula>
    </cfRule>
  </conditionalFormatting>
  <conditionalFormatting sqref="W104">
    <cfRule type="cellIs" dxfId="759" priority="67" operator="greaterThan">
      <formula>0</formula>
    </cfRule>
    <cfRule type="cellIs" dxfId="758" priority="68" operator="lessThan">
      <formula>0</formula>
    </cfRule>
  </conditionalFormatting>
  <conditionalFormatting sqref="X96 X98">
    <cfRule type="cellIs" dxfId="757" priority="65" operator="greaterThan">
      <formula>0</formula>
    </cfRule>
    <cfRule type="cellIs" dxfId="756" priority="66" operator="lessThan">
      <formula>0</formula>
    </cfRule>
  </conditionalFormatting>
  <conditionalFormatting sqref="X87">
    <cfRule type="cellIs" dxfId="755" priority="63" operator="greaterThan">
      <formula>0</formula>
    </cfRule>
    <cfRule type="cellIs" dxfId="754" priority="64" operator="lessThan">
      <formula>0</formula>
    </cfRule>
  </conditionalFormatting>
  <conditionalFormatting sqref="X102">
    <cfRule type="cellIs" dxfId="753" priority="59" operator="greaterThan">
      <formula>0</formula>
    </cfRule>
    <cfRule type="cellIs" dxfId="752" priority="60" operator="lessThan">
      <formula>0</formula>
    </cfRule>
  </conditionalFormatting>
  <conditionalFormatting sqref="Y96 Y98">
    <cfRule type="cellIs" dxfId="751" priority="57" operator="greaterThan">
      <formula>0</formula>
    </cfRule>
    <cfRule type="cellIs" dxfId="750" priority="58" operator="lessThan">
      <formula>0</formula>
    </cfRule>
  </conditionalFormatting>
  <conditionalFormatting sqref="Y87">
    <cfRule type="cellIs" dxfId="749" priority="55" operator="greaterThan">
      <formula>0</formula>
    </cfRule>
    <cfRule type="cellIs" dxfId="748" priority="56" operator="lessThan">
      <formula>0</formula>
    </cfRule>
  </conditionalFormatting>
  <conditionalFormatting sqref="Y102">
    <cfRule type="cellIs" dxfId="747" priority="51" operator="greaterThan">
      <formula>0</formula>
    </cfRule>
    <cfRule type="cellIs" dxfId="746" priority="52" operator="lessThan">
      <formula>0</formula>
    </cfRule>
  </conditionalFormatting>
  <conditionalFormatting sqref="Z89 Z96 Z98">
    <cfRule type="cellIs" dxfId="745" priority="49" operator="greaterThan">
      <formula>0</formula>
    </cfRule>
    <cfRule type="cellIs" dxfId="744" priority="50" operator="lessThan">
      <formula>0</formula>
    </cfRule>
  </conditionalFormatting>
  <conditionalFormatting sqref="Z87">
    <cfRule type="cellIs" dxfId="743" priority="47" operator="greaterThan">
      <formula>0</formula>
    </cfRule>
    <cfRule type="cellIs" dxfId="742" priority="48" operator="lessThan">
      <formula>0</formula>
    </cfRule>
  </conditionalFormatting>
  <conditionalFormatting sqref="Z102">
    <cfRule type="cellIs" dxfId="741" priority="43" operator="greaterThan">
      <formula>0</formula>
    </cfRule>
    <cfRule type="cellIs" dxfId="740" priority="44" operator="lessThan">
      <formula>0</formula>
    </cfRule>
  </conditionalFormatting>
  <conditionalFormatting sqref="AA89 AA96 AA98">
    <cfRule type="cellIs" dxfId="739" priority="41" operator="greaterThan">
      <formula>0</formula>
    </cfRule>
    <cfRule type="cellIs" dxfId="738" priority="42" operator="lessThan">
      <formula>0</formula>
    </cfRule>
  </conditionalFormatting>
  <conditionalFormatting sqref="AA87">
    <cfRule type="cellIs" dxfId="737" priority="39" operator="greaterThan">
      <formula>0</formula>
    </cfRule>
    <cfRule type="cellIs" dxfId="736" priority="40" operator="lessThan">
      <formula>0</formula>
    </cfRule>
  </conditionalFormatting>
  <conditionalFormatting sqref="AA102">
    <cfRule type="cellIs" dxfId="735" priority="35" operator="greaterThan">
      <formula>0</formula>
    </cfRule>
    <cfRule type="cellIs" dxfId="734" priority="36" operator="lessThan">
      <formula>0</formula>
    </cfRule>
  </conditionalFormatting>
  <conditionalFormatting sqref="AB89:AD89 AB96:AD96 AB98:AD98">
    <cfRule type="cellIs" dxfId="733" priority="33" operator="greaterThan">
      <formula>0</formula>
    </cfRule>
    <cfRule type="cellIs" dxfId="732" priority="34" operator="lessThan">
      <formula>0</formula>
    </cfRule>
  </conditionalFormatting>
  <conditionalFormatting sqref="AB87:AD87">
    <cfRule type="cellIs" dxfId="731" priority="31" operator="greaterThan">
      <formula>0</formula>
    </cfRule>
    <cfRule type="cellIs" dxfId="730" priority="32" operator="lessThan">
      <formula>0</formula>
    </cfRule>
  </conditionalFormatting>
  <conditionalFormatting sqref="AB102:AD102">
    <cfRule type="cellIs" dxfId="729" priority="27" operator="greaterThan">
      <formula>0</formula>
    </cfRule>
    <cfRule type="cellIs" dxfId="728" priority="28" operator="lessThan">
      <formula>0</formula>
    </cfRule>
  </conditionalFormatting>
  <conditionalFormatting sqref="U89:Y89">
    <cfRule type="cellIs" dxfId="727" priority="23" operator="greaterThan">
      <formula>0</formula>
    </cfRule>
    <cfRule type="cellIs" dxfId="726" priority="24" operator="lessThan">
      <formula>0</formula>
    </cfRule>
  </conditionalFormatting>
  <conditionalFormatting sqref="C105:D105">
    <cfRule type="cellIs" dxfId="725" priority="19" operator="greaterThan">
      <formula>0</formula>
    </cfRule>
    <cfRule type="cellIs" dxfId="724" priority="20" operator="lessThan">
      <formula>0</formula>
    </cfRule>
  </conditionalFormatting>
  <conditionalFormatting sqref="F11:G11 F81 G12:G41 G48:G76">
    <cfRule type="cellIs" dxfId="723" priority="16" operator="between">
      <formula>0.099</formula>
      <formula>0.05</formula>
    </cfRule>
    <cfRule type="cellIs" dxfId="722" priority="17" operator="greaterThan">
      <formula>0.1</formula>
    </cfRule>
    <cfRule type="cellIs" dxfId="721" priority="18" operator="greaterThan">
      <formula>10</formula>
    </cfRule>
  </conditionalFormatting>
  <conditionalFormatting sqref="G77:G79">
    <cfRule type="cellIs" dxfId="720" priority="10" operator="between">
      <formula>0.099</formula>
      <formula>0.05</formula>
    </cfRule>
    <cfRule type="cellIs" dxfId="719" priority="11" operator="greaterThan">
      <formula>0.1</formula>
    </cfRule>
    <cfRule type="cellIs" dxfId="718" priority="12" operator="greaterThan">
      <formula>10</formula>
    </cfRule>
  </conditionalFormatting>
  <conditionalFormatting sqref="D109">
    <cfRule type="cellIs" dxfId="717" priority="8" operator="greaterThan">
      <formula>0</formula>
    </cfRule>
    <cfRule type="cellIs" dxfId="716" priority="9" operator="lessThan">
      <formula>0</formula>
    </cfRule>
  </conditionalFormatting>
  <conditionalFormatting sqref="D134">
    <cfRule type="cellIs" dxfId="715" priority="6" operator="lessThan">
      <formula>0</formula>
    </cfRule>
    <cfRule type="cellIs" dxfId="714" priority="7" operator="greaterThan">
      <formula>0</formula>
    </cfRule>
  </conditionalFormatting>
  <conditionalFormatting sqref="F81">
    <cfRule type="cellIs" dxfId="713" priority="4" operator="between">
      <formula>0.0049</formula>
      <formula>0.0099</formula>
    </cfRule>
  </conditionalFormatting>
  <conditionalFormatting sqref="F12:F41">
    <cfRule type="colorScale" priority="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48:F80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74:Y74">
    <cfRule type="cellIs" dxfId="712" priority="1" operator="lessThan">
      <formula>0</formula>
    </cfRule>
  </conditionalFormatting>
  <pageMargins left="0.7" right="0.7" top="0.75" bottom="0.75" header="0.3" footer="0.3"/>
  <pageSetup paperSize="9" orientation="portrait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B1:Y299"/>
  <sheetViews>
    <sheetView showGridLines="0" topLeftCell="A291" workbookViewId="0">
      <selection activeCell="Q66" sqref="Q66"/>
    </sheetView>
  </sheetViews>
  <sheetFormatPr defaultColWidth="9.1328125" defaultRowHeight="12.75" x14ac:dyDescent="0.35"/>
  <cols>
    <col min="1" max="1" width="9.1328125" style="45" customWidth="1"/>
    <col min="2" max="2" width="27.86328125" style="45" bestFit="1" customWidth="1"/>
    <col min="3" max="3" width="8.46484375" style="45" bestFit="1" customWidth="1"/>
    <col min="4" max="7" width="13.19921875" style="45" customWidth="1"/>
    <col min="8" max="8" width="3.46484375" style="45" customWidth="1"/>
    <col min="9" max="9" width="19.1328125" style="45" customWidth="1"/>
    <col min="10" max="12" width="14.19921875" style="45" customWidth="1"/>
    <col min="13" max="14" width="9.86328125" style="45" customWidth="1"/>
    <col min="15" max="15" width="30.1328125" style="45" customWidth="1"/>
    <col min="16" max="16" width="11.46484375" style="45" customWidth="1"/>
    <col min="17" max="17" width="11.53125" style="45" customWidth="1"/>
    <col min="18" max="18" width="6.33203125" style="45" customWidth="1"/>
    <col min="19" max="19" width="1.6640625" style="45" customWidth="1"/>
    <col min="20" max="20" width="11.6640625" style="45" customWidth="1"/>
    <col min="21" max="21" width="11" style="45" customWidth="1"/>
    <col min="22" max="22" width="29.53125" style="45" bestFit="1" customWidth="1"/>
    <col min="23" max="26" width="11" style="45" customWidth="1"/>
    <col min="27" max="27" width="9.1328125" style="45" customWidth="1"/>
    <col min="28" max="16384" width="9.1328125" style="45"/>
  </cols>
  <sheetData>
    <row r="1" spans="2:13" ht="13.15" customHeight="1" x14ac:dyDescent="0.4">
      <c r="B1" s="735" t="s">
        <v>3897</v>
      </c>
      <c r="C1" s="53"/>
      <c r="D1" s="53"/>
      <c r="E1" s="53"/>
      <c r="F1" s="63"/>
      <c r="G1" s="63"/>
      <c r="H1" s="63"/>
      <c r="I1" s="46" t="s">
        <v>3898</v>
      </c>
      <c r="J1" s="53"/>
      <c r="K1" s="53"/>
      <c r="L1" s="53"/>
      <c r="M1" s="63"/>
    </row>
    <row r="2" spans="2:13" ht="13.15" customHeight="1" x14ac:dyDescent="0.4">
      <c r="C2" s="53"/>
      <c r="D2" s="53"/>
      <c r="E2" s="53"/>
      <c r="F2" s="63"/>
      <c r="G2" s="63"/>
      <c r="H2" s="63"/>
      <c r="I2" s="66" t="s">
        <v>3899</v>
      </c>
      <c r="J2" s="68"/>
      <c r="K2" s="69" t="s">
        <v>3900</v>
      </c>
      <c r="L2" s="69" t="s">
        <v>3901</v>
      </c>
      <c r="M2" s="63"/>
    </row>
    <row r="3" spans="2:13" ht="13.15" customHeight="1" x14ac:dyDescent="0.4">
      <c r="B3" s="46" t="s">
        <v>3899</v>
      </c>
      <c r="C3" s="53"/>
      <c r="D3" s="51">
        <v>1</v>
      </c>
      <c r="E3" s="51">
        <v>2</v>
      </c>
      <c r="F3" s="51">
        <v>3</v>
      </c>
      <c r="G3" s="51">
        <v>4</v>
      </c>
      <c r="H3" s="63"/>
      <c r="I3" s="67" t="s">
        <v>3900</v>
      </c>
      <c r="J3" s="68">
        <f>P19</f>
        <v>0</v>
      </c>
      <c r="K3" s="65">
        <v>0</v>
      </c>
      <c r="L3" s="65"/>
      <c r="M3" s="51"/>
    </row>
    <row r="4" spans="2:13" ht="13.15" customHeight="1" x14ac:dyDescent="0.4">
      <c r="B4" s="46"/>
      <c r="C4" s="46"/>
      <c r="D4" s="46"/>
      <c r="E4" s="46"/>
      <c r="F4" s="46"/>
      <c r="G4" s="46"/>
      <c r="H4" s="46"/>
      <c r="I4" s="67" t="s">
        <v>3902</v>
      </c>
      <c r="J4" s="68">
        <f>T19</f>
        <v>0</v>
      </c>
      <c r="K4" s="65"/>
      <c r="L4" s="65">
        <v>3</v>
      </c>
      <c r="M4" s="46"/>
    </row>
    <row r="5" spans="2:13" x14ac:dyDescent="0.35">
      <c r="B5" s="45" t="s">
        <v>3903</v>
      </c>
      <c r="C5" s="53">
        <v>725</v>
      </c>
      <c r="D5" s="53">
        <f>C5*D3</f>
        <v>725</v>
      </c>
      <c r="E5" s="53">
        <f>C5*E3</f>
        <v>1450</v>
      </c>
      <c r="F5" s="63">
        <f>C5*F3</f>
        <v>2175</v>
      </c>
      <c r="G5" s="63">
        <f>C5*G3</f>
        <v>2900</v>
      </c>
      <c r="H5" s="63"/>
      <c r="I5" s="45" t="s">
        <v>3903</v>
      </c>
      <c r="J5" s="53"/>
      <c r="K5" s="53">
        <f>J3*K3</f>
        <v>0</v>
      </c>
      <c r="L5" s="53">
        <f>J4*L4</f>
        <v>0</v>
      </c>
      <c r="M5" s="63"/>
    </row>
    <row r="6" spans="2:13" x14ac:dyDescent="0.35">
      <c r="B6" s="45" t="s">
        <v>3904</v>
      </c>
      <c r="C6" s="64">
        <v>0</v>
      </c>
      <c r="D6" s="63">
        <f>D5*$C6</f>
        <v>0</v>
      </c>
      <c r="E6" s="63">
        <f>E5*$C6</f>
        <v>0</v>
      </c>
      <c r="F6" s="63">
        <f>F5*$C6</f>
        <v>0</v>
      </c>
      <c r="G6" s="63">
        <f>G5*$C6</f>
        <v>0</v>
      </c>
      <c r="H6" s="63"/>
      <c r="I6" s="45" t="s">
        <v>3904</v>
      </c>
      <c r="J6" s="64">
        <v>0.2</v>
      </c>
      <c r="K6" s="63">
        <f>K5*$J6</f>
        <v>0</v>
      </c>
      <c r="L6" s="63">
        <f>L5*$J6</f>
        <v>0</v>
      </c>
      <c r="M6" s="63"/>
    </row>
    <row r="7" spans="2:13" ht="13.15" customHeight="1" x14ac:dyDescent="0.4">
      <c r="B7" s="46" t="s">
        <v>3905</v>
      </c>
      <c r="C7" s="58"/>
      <c r="D7" s="62">
        <f>D5-D6</f>
        <v>725</v>
      </c>
      <c r="E7" s="62">
        <f>E5-E6</f>
        <v>1450</v>
      </c>
      <c r="F7" s="62">
        <f>F5-F6</f>
        <v>2175</v>
      </c>
      <c r="G7" s="62">
        <f>G5-G6</f>
        <v>2900</v>
      </c>
      <c r="H7" s="63"/>
      <c r="I7" s="46" t="s">
        <v>3905</v>
      </c>
      <c r="J7" s="58"/>
      <c r="K7" s="62">
        <f>K5-K6</f>
        <v>0</v>
      </c>
      <c r="L7" s="62">
        <f>L5-L6</f>
        <v>0</v>
      </c>
      <c r="M7" s="58">
        <f>L7+K7</f>
        <v>0</v>
      </c>
    </row>
    <row r="8" spans="2:13" x14ac:dyDescent="0.35">
      <c r="F8" s="53"/>
      <c r="G8" s="53"/>
      <c r="M8" s="53"/>
    </row>
    <row r="9" spans="2:13" x14ac:dyDescent="0.35">
      <c r="B9" s="45" t="s">
        <v>3906</v>
      </c>
      <c r="D9" s="45">
        <f>D7*3.5%</f>
        <v>25.375000000000004</v>
      </c>
      <c r="E9" s="45">
        <f>E7*3.5%</f>
        <v>50.750000000000007</v>
      </c>
      <c r="F9" s="45">
        <f>F7*3.5%</f>
        <v>76.125000000000014</v>
      </c>
      <c r="G9" s="45">
        <f>G7*3.5%</f>
        <v>101.50000000000001</v>
      </c>
      <c r="I9" s="45" t="s">
        <v>3906</v>
      </c>
      <c r="K9" s="45">
        <f>K7*3.5%</f>
        <v>0</v>
      </c>
      <c r="L9" s="45">
        <f>L7*3.5%</f>
        <v>0</v>
      </c>
    </row>
    <row r="10" spans="2:13" x14ac:dyDescent="0.35">
      <c r="F10" s="53"/>
      <c r="G10" s="53"/>
      <c r="M10" s="53"/>
    </row>
    <row r="11" spans="2:13" x14ac:dyDescent="0.35">
      <c r="B11" s="45" t="s">
        <v>3907</v>
      </c>
      <c r="C11" s="45">
        <v>150</v>
      </c>
      <c r="D11" s="45">
        <f>SUM($C11*D3+75)*2</f>
        <v>450</v>
      </c>
      <c r="E11" s="45">
        <f>SUM($C11*E3+75)*2</f>
        <v>750</v>
      </c>
      <c r="F11" s="45">
        <f>SUM($C11*F3+75)*2</f>
        <v>1050</v>
      </c>
      <c r="G11" s="45">
        <f>SUM($C11*G3+75)*2</f>
        <v>1350</v>
      </c>
      <c r="I11" s="45" t="s">
        <v>3907</v>
      </c>
      <c r="J11" s="45">
        <v>75</v>
      </c>
      <c r="K11" s="45">
        <v>0</v>
      </c>
      <c r="L11" s="45">
        <f>SUM(L4*J11+J11)*2</f>
        <v>600</v>
      </c>
    </row>
    <row r="12" spans="2:13" ht="13.15" customHeight="1" x14ac:dyDescent="0.4">
      <c r="B12" s="46"/>
      <c r="I12" s="46"/>
    </row>
    <row r="13" spans="2:13" x14ac:dyDescent="0.35">
      <c r="B13" s="45" t="s">
        <v>3721</v>
      </c>
      <c r="C13" s="45">
        <v>150</v>
      </c>
      <c r="D13" s="45">
        <f>C13</f>
        <v>150</v>
      </c>
      <c r="E13" s="45">
        <f>C13</f>
        <v>150</v>
      </c>
      <c r="F13" s="45">
        <f>C13</f>
        <v>150</v>
      </c>
      <c r="G13" s="45">
        <f>C13</f>
        <v>150</v>
      </c>
      <c r="I13" s="45" t="s">
        <v>3721</v>
      </c>
      <c r="J13" s="45">
        <v>100</v>
      </c>
      <c r="K13" s="45">
        <v>0</v>
      </c>
      <c r="L13" s="45">
        <f>J13</f>
        <v>100</v>
      </c>
    </row>
    <row r="14" spans="2:13" ht="14.25" customHeight="1" x14ac:dyDescent="0.35"/>
    <row r="15" spans="2:13" x14ac:dyDescent="0.35">
      <c r="B15" s="45" t="s">
        <v>533</v>
      </c>
      <c r="C15" s="45">
        <v>35</v>
      </c>
      <c r="D15" s="45">
        <f>C15*3</f>
        <v>105</v>
      </c>
      <c r="E15" s="45">
        <f>C15*3</f>
        <v>105</v>
      </c>
      <c r="F15" s="45">
        <f>C15*3</f>
        <v>105</v>
      </c>
      <c r="G15" s="45">
        <f>C15*3</f>
        <v>105</v>
      </c>
      <c r="I15" s="45" t="s">
        <v>533</v>
      </c>
      <c r="J15" s="45">
        <v>30</v>
      </c>
      <c r="K15" s="45">
        <v>0</v>
      </c>
      <c r="L15" s="45">
        <f>J15*3</f>
        <v>90</v>
      </c>
    </row>
    <row r="17" spans="2:16" x14ac:dyDescent="0.35">
      <c r="B17" s="45" t="s">
        <v>3908</v>
      </c>
      <c r="C17" s="45">
        <f>$T$115</f>
        <v>94.779039999999995</v>
      </c>
      <c r="D17" s="45">
        <f>C17</f>
        <v>94.779039999999995</v>
      </c>
      <c r="E17" s="45">
        <f>C17</f>
        <v>94.779039999999995</v>
      </c>
      <c r="F17" s="45">
        <f>C17</f>
        <v>94.779039999999995</v>
      </c>
      <c r="G17" s="45">
        <f>C17</f>
        <v>94.779039999999995</v>
      </c>
      <c r="I17" s="45" t="s">
        <v>3908</v>
      </c>
      <c r="J17" s="45">
        <f>$T$115</f>
        <v>94.779039999999995</v>
      </c>
      <c r="K17" s="45">
        <f>J17*K3</f>
        <v>0</v>
      </c>
      <c r="L17" s="45">
        <f>J17*L4</f>
        <v>284.33711999999997</v>
      </c>
    </row>
    <row r="19" spans="2:16" ht="13.15" customHeight="1" x14ac:dyDescent="0.4">
      <c r="B19" s="45" t="s">
        <v>524</v>
      </c>
      <c r="D19" s="46">
        <f>SUM(D9:D18)</f>
        <v>825.15404000000001</v>
      </c>
      <c r="E19" s="46">
        <f>SUM(E9:E18)</f>
        <v>1150.5290399999999</v>
      </c>
      <c r="F19" s="46">
        <f>SUM(F9:F18)</f>
        <v>1475.9040399999999</v>
      </c>
      <c r="G19" s="46">
        <f>SUM(G9:G18)</f>
        <v>1801.2790399999999</v>
      </c>
      <c r="I19" s="46" t="s">
        <v>524</v>
      </c>
      <c r="K19" s="46">
        <f>SUM(K9:K18)</f>
        <v>0</v>
      </c>
      <c r="L19" s="46">
        <f>SUM(L9:L18)</f>
        <v>1074.3371199999999</v>
      </c>
      <c r="M19" s="46">
        <f>K19+L19</f>
        <v>1074.3371199999999</v>
      </c>
      <c r="N19" s="46"/>
    </row>
    <row r="21" spans="2:16" ht="13.15" customHeight="1" x14ac:dyDescent="0.4">
      <c r="B21" s="46" t="s">
        <v>3755</v>
      </c>
      <c r="C21" s="46"/>
      <c r="D21" s="62">
        <f>D7-D19</f>
        <v>-100.15404000000001</v>
      </c>
      <c r="E21" s="62">
        <f>E7-E19</f>
        <v>299.4709600000001</v>
      </c>
      <c r="F21" s="62">
        <f>F7-F19</f>
        <v>699.0959600000001</v>
      </c>
      <c r="G21" s="62">
        <f>G7-G19</f>
        <v>1098.7209600000001</v>
      </c>
      <c r="I21" s="46" t="s">
        <v>3755</v>
      </c>
      <c r="J21" s="46"/>
      <c r="K21" s="62">
        <f>K7-K19</f>
        <v>0</v>
      </c>
      <c r="L21" s="62">
        <f>L7-L19</f>
        <v>-1074.3371199999999</v>
      </c>
      <c r="M21" s="58">
        <f>L21+K21</f>
        <v>-1074.3371199999999</v>
      </c>
      <c r="N21" s="58"/>
      <c r="O21" s="45" t="s">
        <v>3909</v>
      </c>
      <c r="P21" s="45">
        <v>150</v>
      </c>
    </row>
    <row r="22" spans="2:16" x14ac:dyDescent="0.35">
      <c r="O22" s="45" t="s">
        <v>3910</v>
      </c>
      <c r="P22" s="45">
        <v>99</v>
      </c>
    </row>
    <row r="23" spans="2:16" x14ac:dyDescent="0.35">
      <c r="C23" s="53"/>
      <c r="D23" s="50">
        <f>D21/D7</f>
        <v>-0.13814350344827586</v>
      </c>
      <c r="E23" s="50">
        <f>E21/E7</f>
        <v>0.20653169655172421</v>
      </c>
      <c r="F23" s="50">
        <f>F21/F7</f>
        <v>0.32142342988505751</v>
      </c>
      <c r="G23" s="50">
        <f>G21/G7</f>
        <v>0.37886929655172419</v>
      </c>
      <c r="J23" s="53"/>
      <c r="K23" s="50" t="e">
        <f>K21/K7</f>
        <v>#DIV/0!</v>
      </c>
      <c r="L23" s="50" t="e">
        <f>L21/L7</f>
        <v>#DIV/0!</v>
      </c>
      <c r="M23" s="50" t="e">
        <f>M21/M7</f>
        <v>#DIV/0!</v>
      </c>
      <c r="N23" s="50"/>
      <c r="O23" s="45" t="s">
        <v>2956</v>
      </c>
      <c r="P23" s="45">
        <v>65</v>
      </c>
    </row>
    <row r="25" spans="2:16" ht="13.15" customHeight="1" x14ac:dyDescent="0.4">
      <c r="B25" s="45" t="s">
        <v>3911</v>
      </c>
      <c r="C25" s="61">
        <v>20</v>
      </c>
      <c r="D25" s="45">
        <f>C25*25</f>
        <v>500</v>
      </c>
      <c r="E25" s="45">
        <f>C25*25</f>
        <v>500</v>
      </c>
      <c r="F25" s="45">
        <f>C25*25</f>
        <v>500</v>
      </c>
      <c r="G25" s="45">
        <f>C25*25</f>
        <v>500</v>
      </c>
      <c r="I25" s="45" t="s">
        <v>3911</v>
      </c>
      <c r="J25" s="61">
        <v>24</v>
      </c>
      <c r="K25" s="45">
        <f>J25*P25</f>
        <v>600</v>
      </c>
      <c r="L25" s="45">
        <f>J25*P25</f>
        <v>600</v>
      </c>
      <c r="M25" s="45">
        <f>L25</f>
        <v>600</v>
      </c>
      <c r="O25" s="58" t="s">
        <v>3912</v>
      </c>
      <c r="P25" s="45">
        <v>25</v>
      </c>
    </row>
    <row r="26" spans="2:16" ht="13.15" customHeight="1" x14ac:dyDescent="0.4">
      <c r="B26" s="46"/>
      <c r="C26" s="46"/>
      <c r="D26" s="46"/>
      <c r="E26" s="46"/>
      <c r="I26" s="46"/>
      <c r="J26" s="46"/>
      <c r="K26" s="46"/>
      <c r="L26" s="46"/>
      <c r="O26" s="46" t="s">
        <v>3913</v>
      </c>
    </row>
    <row r="28" spans="2:16" x14ac:dyDescent="0.35">
      <c r="B28" s="45" t="s">
        <v>3914</v>
      </c>
      <c r="D28" s="45">
        <f>D21-D25</f>
        <v>-600.15404000000001</v>
      </c>
      <c r="E28" s="45">
        <f>E21-E25</f>
        <v>-200.5290399999999</v>
      </c>
      <c r="F28" s="45">
        <f>F21-F25</f>
        <v>199.0959600000001</v>
      </c>
      <c r="G28" s="45">
        <f>G21-G25</f>
        <v>598.7209600000001</v>
      </c>
      <c r="I28" s="45" t="s">
        <v>3914</v>
      </c>
      <c r="K28" s="45">
        <f>K7-K19-K25</f>
        <v>-600</v>
      </c>
      <c r="L28" s="45">
        <f>L7-L19-L25</f>
        <v>-1674.3371199999999</v>
      </c>
      <c r="M28" s="45">
        <f>M7-M19-M25</f>
        <v>-1674.3371199999999</v>
      </c>
    </row>
    <row r="29" spans="2:16" ht="13.15" customHeight="1" x14ac:dyDescent="0.4">
      <c r="B29" s="46"/>
      <c r="D29" s="50">
        <f>D28/D7</f>
        <v>-0.82779867586206901</v>
      </c>
      <c r="E29" s="50">
        <f>E28/E7</f>
        <v>-0.13829588965517234</v>
      </c>
      <c r="F29" s="50">
        <f>F28/F7</f>
        <v>9.1538372413793145E-2</v>
      </c>
      <c r="G29" s="50">
        <f>G28/G7</f>
        <v>0.2064555034482759</v>
      </c>
      <c r="I29" s="46"/>
      <c r="K29" s="50" t="e">
        <f>K28/K7</f>
        <v>#DIV/0!</v>
      </c>
      <c r="L29" s="50" t="e">
        <f>L28/L7</f>
        <v>#DIV/0!</v>
      </c>
      <c r="M29" s="50" t="e">
        <f>M28/M7</f>
        <v>#DIV/0!</v>
      </c>
      <c r="N29" s="50"/>
      <c r="O29" s="296" t="s">
        <v>3915</v>
      </c>
    </row>
    <row r="30" spans="2:16" x14ac:dyDescent="0.35">
      <c r="L30" s="45" t="s">
        <v>3916</v>
      </c>
      <c r="M30" s="45">
        <f>M28+M25</f>
        <v>-1074.3371199999999</v>
      </c>
      <c r="P30" s="45" t="s">
        <v>3917</v>
      </c>
    </row>
    <row r="31" spans="2:16" x14ac:dyDescent="0.35">
      <c r="C31" s="53"/>
      <c r="D31" s="53"/>
      <c r="E31" s="53"/>
      <c r="J31" s="53"/>
      <c r="K31" s="53"/>
      <c r="L31" s="53"/>
      <c r="O31" s="45" t="s">
        <v>1924</v>
      </c>
      <c r="P31" s="45">
        <v>30</v>
      </c>
    </row>
    <row r="32" spans="2:16" ht="13.15" customHeight="1" x14ac:dyDescent="0.4">
      <c r="B32" s="46" t="s">
        <v>3918</v>
      </c>
      <c r="C32" s="53"/>
      <c r="D32" s="51">
        <v>1</v>
      </c>
      <c r="E32" s="51">
        <v>2</v>
      </c>
      <c r="F32" s="51">
        <v>3</v>
      </c>
      <c r="G32" s="51">
        <v>4</v>
      </c>
      <c r="I32" s="66" t="s">
        <v>3918</v>
      </c>
      <c r="J32" s="68"/>
      <c r="K32" s="69" t="s">
        <v>3900</v>
      </c>
      <c r="L32" s="69" t="s">
        <v>3919</v>
      </c>
      <c r="M32" s="51"/>
      <c r="N32" s="51"/>
      <c r="O32" s="45" t="s">
        <v>2823</v>
      </c>
      <c r="P32" s="45">
        <v>50</v>
      </c>
    </row>
    <row r="33" spans="2:16" ht="13.15" customHeight="1" x14ac:dyDescent="0.4">
      <c r="B33" s="46"/>
      <c r="C33" s="46"/>
      <c r="D33" s="46"/>
      <c r="E33" s="46"/>
      <c r="F33" s="46"/>
      <c r="G33" s="46"/>
      <c r="I33" s="67" t="s">
        <v>3900</v>
      </c>
      <c r="J33" s="68">
        <f>P18</f>
        <v>0</v>
      </c>
      <c r="K33" s="65">
        <v>2</v>
      </c>
      <c r="L33" s="65"/>
      <c r="M33" s="46"/>
      <c r="N33" s="46"/>
    </row>
    <row r="34" spans="2:16" ht="13.15" customHeight="1" x14ac:dyDescent="0.4">
      <c r="B34" s="45" t="s">
        <v>3903</v>
      </c>
      <c r="C34" s="53">
        <v>475</v>
      </c>
      <c r="D34" s="53">
        <f>C34*D32</f>
        <v>475</v>
      </c>
      <c r="E34" s="53">
        <f>C34*E32</f>
        <v>950</v>
      </c>
      <c r="F34" s="63">
        <f>C34*F32</f>
        <v>1425</v>
      </c>
      <c r="G34" s="63">
        <f>C34*G32</f>
        <v>1900</v>
      </c>
      <c r="I34" s="67" t="s">
        <v>3902</v>
      </c>
      <c r="J34" s="66">
        <f>T18</f>
        <v>0</v>
      </c>
      <c r="K34" s="66"/>
      <c r="L34" s="65">
        <v>1</v>
      </c>
      <c r="M34" s="63"/>
      <c r="N34" s="63"/>
    </row>
    <row r="35" spans="2:16" x14ac:dyDescent="0.35">
      <c r="B35" s="45" t="s">
        <v>3904</v>
      </c>
      <c r="C35" s="64">
        <v>0.15</v>
      </c>
      <c r="D35" s="53">
        <f>D34*C35</f>
        <v>71.25</v>
      </c>
      <c r="E35" s="53">
        <f>E34*C35</f>
        <v>142.5</v>
      </c>
      <c r="F35" s="63">
        <f>F34*C35</f>
        <v>213.75</v>
      </c>
      <c r="G35" s="63">
        <f>G34*C35</f>
        <v>285</v>
      </c>
      <c r="I35" s="45" t="s">
        <v>3903</v>
      </c>
      <c r="J35" s="53"/>
      <c r="K35" s="53">
        <f>J33*K33</f>
        <v>0</v>
      </c>
      <c r="L35" s="53">
        <f>J34*L34</f>
        <v>0</v>
      </c>
      <c r="M35" s="63"/>
      <c r="N35" s="63"/>
      <c r="O35" s="50"/>
    </row>
    <row r="36" spans="2:16" ht="13.15" customHeight="1" x14ac:dyDescent="0.4">
      <c r="B36" s="46" t="s">
        <v>3905</v>
      </c>
      <c r="C36" s="58"/>
      <c r="D36" s="62">
        <f>D34-D35</f>
        <v>403.75</v>
      </c>
      <c r="E36" s="62">
        <f>E34-E35</f>
        <v>807.5</v>
      </c>
      <c r="F36" s="62">
        <f>F34-F35</f>
        <v>1211.25</v>
      </c>
      <c r="G36" s="62">
        <f>G34-G35</f>
        <v>1615</v>
      </c>
      <c r="I36" s="45" t="s">
        <v>3904</v>
      </c>
      <c r="J36" s="64">
        <v>0.3</v>
      </c>
      <c r="K36" s="63">
        <f>K35*$J36</f>
        <v>0</v>
      </c>
      <c r="L36" s="63">
        <f>L35*$J36</f>
        <v>0</v>
      </c>
      <c r="M36" s="63"/>
      <c r="N36" s="58"/>
      <c r="O36" s="46" t="s">
        <v>3508</v>
      </c>
      <c r="P36" s="45" t="s">
        <v>3917</v>
      </c>
    </row>
    <row r="37" spans="2:16" ht="13.15" customHeight="1" x14ac:dyDescent="0.4">
      <c r="F37" s="53"/>
      <c r="G37" s="53"/>
      <c r="I37" s="46" t="s">
        <v>3905</v>
      </c>
      <c r="J37" s="58"/>
      <c r="K37" s="62">
        <f>K35-K36</f>
        <v>0</v>
      </c>
      <c r="L37" s="62">
        <f>L35-L36</f>
        <v>0</v>
      </c>
      <c r="M37" s="58">
        <f>L37+K37</f>
        <v>0</v>
      </c>
      <c r="N37" s="53"/>
    </row>
    <row r="38" spans="2:16" x14ac:dyDescent="0.35">
      <c r="B38" s="45" t="s">
        <v>3906</v>
      </c>
      <c r="D38" s="45">
        <f>D36*3.5%</f>
        <v>14.131250000000001</v>
      </c>
      <c r="E38" s="45">
        <f>E36*3.5%</f>
        <v>28.262500000000003</v>
      </c>
      <c r="F38" s="45">
        <f>F36*3.5%</f>
        <v>42.393750000000004</v>
      </c>
      <c r="G38" s="45">
        <f>G36*3.5%</f>
        <v>56.525000000000006</v>
      </c>
      <c r="M38" s="53"/>
      <c r="O38" s="51" t="s">
        <v>3920</v>
      </c>
      <c r="P38" s="45">
        <v>275</v>
      </c>
    </row>
    <row r="39" spans="2:16" x14ac:dyDescent="0.35">
      <c r="F39" s="53"/>
      <c r="G39" s="53"/>
      <c r="I39" s="45" t="s">
        <v>3906</v>
      </c>
      <c r="K39" s="45">
        <f>K37*3.5%</f>
        <v>0</v>
      </c>
      <c r="L39" s="45">
        <f>L37*3.5%</f>
        <v>0</v>
      </c>
      <c r="N39" s="53"/>
      <c r="O39" s="45" t="s">
        <v>3921</v>
      </c>
      <c r="P39" s="45">
        <v>275</v>
      </c>
    </row>
    <row r="40" spans="2:16" x14ac:dyDescent="0.35">
      <c r="B40" s="45" t="s">
        <v>3907</v>
      </c>
      <c r="C40" s="45">
        <v>95</v>
      </c>
      <c r="D40" s="45">
        <f>SUM(C40*D32+75)*1</f>
        <v>170</v>
      </c>
      <c r="E40" s="45">
        <f>SUM(C40*E32+75)*1</f>
        <v>265</v>
      </c>
      <c r="F40" s="45">
        <f>SUM(C40*F32+75)*1</f>
        <v>360</v>
      </c>
      <c r="G40" s="45">
        <f>SUM(C40*G32+75)*1</f>
        <v>455</v>
      </c>
      <c r="M40" s="53"/>
      <c r="O40" s="63" t="s">
        <v>1286</v>
      </c>
    </row>
    <row r="41" spans="2:16" ht="13.15" customHeight="1" x14ac:dyDescent="0.4">
      <c r="B41" s="46"/>
      <c r="I41" s="45" t="s">
        <v>3907</v>
      </c>
      <c r="J41" s="45">
        <v>75</v>
      </c>
      <c r="K41" s="45">
        <v>0</v>
      </c>
      <c r="L41" s="45">
        <f>SUM(L34*J41+J41)*1</f>
        <v>150</v>
      </c>
      <c r="O41" s="63" t="s">
        <v>3922</v>
      </c>
      <c r="P41" s="45">
        <v>495</v>
      </c>
    </row>
    <row r="42" spans="2:16" ht="13.15" customHeight="1" x14ac:dyDescent="0.4">
      <c r="B42" s="45" t="s">
        <v>3721</v>
      </c>
      <c r="C42" s="45">
        <v>100</v>
      </c>
      <c r="D42" s="45">
        <v>80</v>
      </c>
      <c r="E42" s="45">
        <v>80</v>
      </c>
      <c r="F42" s="45">
        <v>80</v>
      </c>
      <c r="G42" s="45">
        <v>80</v>
      </c>
      <c r="I42" s="46"/>
      <c r="O42" s="53" t="s">
        <v>747</v>
      </c>
      <c r="P42" s="45">
        <v>395</v>
      </c>
    </row>
    <row r="43" spans="2:16" x14ac:dyDescent="0.35">
      <c r="I43" s="45" t="s">
        <v>3721</v>
      </c>
      <c r="J43" s="45">
        <v>75</v>
      </c>
      <c r="K43" s="45">
        <v>0</v>
      </c>
      <c r="L43" s="45">
        <f>J43</f>
        <v>75</v>
      </c>
      <c r="O43" s="53"/>
    </row>
    <row r="44" spans="2:16" x14ac:dyDescent="0.35">
      <c r="B44" s="45" t="s">
        <v>533</v>
      </c>
      <c r="C44" s="45">
        <v>30</v>
      </c>
      <c r="D44" s="45">
        <v>60</v>
      </c>
      <c r="E44" s="45">
        <f>C44*2</f>
        <v>60</v>
      </c>
      <c r="F44" s="45">
        <f>C44*2</f>
        <v>60</v>
      </c>
      <c r="G44" s="45">
        <f>C44*2</f>
        <v>60</v>
      </c>
    </row>
    <row r="45" spans="2:16" ht="13.15" customHeight="1" x14ac:dyDescent="0.4">
      <c r="I45" s="45" t="s">
        <v>533</v>
      </c>
      <c r="J45" s="45">
        <v>30</v>
      </c>
      <c r="K45" s="45">
        <v>0</v>
      </c>
      <c r="L45" s="45">
        <f>J45*2</f>
        <v>60</v>
      </c>
      <c r="O45" s="58" t="s">
        <v>923</v>
      </c>
      <c r="P45" s="45" t="s">
        <v>3917</v>
      </c>
    </row>
    <row r="46" spans="2:16" x14ac:dyDescent="0.35">
      <c r="B46" s="45" t="s">
        <v>3908</v>
      </c>
      <c r="C46" s="45">
        <f>$T$115</f>
        <v>94.779039999999995</v>
      </c>
      <c r="D46" s="45">
        <f>C46</f>
        <v>94.779039999999995</v>
      </c>
      <c r="E46" s="45">
        <f>C46</f>
        <v>94.779039999999995</v>
      </c>
      <c r="F46" s="45">
        <f>C46</f>
        <v>94.779039999999995</v>
      </c>
      <c r="G46" s="45">
        <f>E46</f>
        <v>94.779039999999995</v>
      </c>
    </row>
    <row r="47" spans="2:16" x14ac:dyDescent="0.35">
      <c r="I47" s="45" t="s">
        <v>3908</v>
      </c>
      <c r="J47" s="45">
        <f>$T$115</f>
        <v>94.779039999999995</v>
      </c>
      <c r="K47" s="45">
        <f>J47*K33</f>
        <v>189.55807999999999</v>
      </c>
      <c r="L47" s="45">
        <f>J47*L34</f>
        <v>94.779039999999995</v>
      </c>
      <c r="O47" s="45" t="s">
        <v>550</v>
      </c>
      <c r="P47" s="45">
        <v>20</v>
      </c>
    </row>
    <row r="48" spans="2:16" ht="13.15" customHeight="1" x14ac:dyDescent="0.4">
      <c r="B48" s="45" t="s">
        <v>524</v>
      </c>
      <c r="D48" s="46">
        <f>SUM(D38:D47)</f>
        <v>418.91029000000003</v>
      </c>
      <c r="E48" s="46">
        <f>SUM(E38:E47)</f>
        <v>528.04153999999994</v>
      </c>
      <c r="F48" s="46">
        <f>SUM(F38:F47)</f>
        <v>637.17278999999996</v>
      </c>
      <c r="G48" s="46">
        <f>SUM(G38:G47)</f>
        <v>746.30403999999999</v>
      </c>
      <c r="N48" s="46"/>
      <c r="O48" s="45" t="s">
        <v>3923</v>
      </c>
      <c r="P48" s="45">
        <v>600</v>
      </c>
    </row>
    <row r="49" spans="2:25" ht="13.15" customHeight="1" x14ac:dyDescent="0.4">
      <c r="I49" s="46" t="s">
        <v>524</v>
      </c>
      <c r="K49" s="46">
        <f>SUM(K39:K48)</f>
        <v>189.55807999999999</v>
      </c>
      <c r="L49" s="46">
        <f>SUM(L39:L48)</f>
        <v>379.77904000000001</v>
      </c>
      <c r="M49" s="46">
        <f>K49+L49</f>
        <v>569.33712000000003</v>
      </c>
    </row>
    <row r="50" spans="2:25" ht="13.15" customHeight="1" x14ac:dyDescent="0.4">
      <c r="B50" s="46" t="s">
        <v>3755</v>
      </c>
      <c r="C50" s="46"/>
      <c r="D50" s="62">
        <f>D36-D48</f>
        <v>-15.160290000000032</v>
      </c>
      <c r="E50" s="62">
        <f>E36-E48</f>
        <v>279.45846000000006</v>
      </c>
      <c r="F50" s="62">
        <f>F36-F48</f>
        <v>574.07721000000004</v>
      </c>
      <c r="G50" s="62">
        <f>G36-G48</f>
        <v>868.69596000000001</v>
      </c>
      <c r="N50" s="58"/>
    </row>
    <row r="51" spans="2:25" ht="13.15" customHeight="1" x14ac:dyDescent="0.4">
      <c r="I51" s="46" t="s">
        <v>3755</v>
      </c>
      <c r="J51" s="46"/>
      <c r="K51" s="62">
        <f>K37-K49</f>
        <v>-189.55807999999999</v>
      </c>
      <c r="L51" s="62">
        <f>L37-L49</f>
        <v>-379.77904000000001</v>
      </c>
      <c r="M51" s="58">
        <f>L51+K51</f>
        <v>-569.33712000000003</v>
      </c>
      <c r="O51" s="58" t="s">
        <v>3924</v>
      </c>
      <c r="P51" s="45" t="s">
        <v>3917</v>
      </c>
    </row>
    <row r="52" spans="2:25" x14ac:dyDescent="0.35">
      <c r="C52" s="53"/>
      <c r="D52" s="50">
        <f>D50/D36</f>
        <v>-3.7548705882353019E-2</v>
      </c>
      <c r="E52" s="50">
        <f>E50/E36</f>
        <v>0.34607858823529419</v>
      </c>
      <c r="F52" s="50">
        <f>F50/F36</f>
        <v>0.47395435294117649</v>
      </c>
      <c r="G52" s="50">
        <f>G50/G36</f>
        <v>0.53789223529411767</v>
      </c>
      <c r="N52" s="50"/>
    </row>
    <row r="53" spans="2:25" x14ac:dyDescent="0.35">
      <c r="J53" s="53"/>
      <c r="K53" s="50" t="e">
        <f>K51/K37</f>
        <v>#DIV/0!</v>
      </c>
      <c r="L53" s="50" t="e">
        <f>L51/L37</f>
        <v>#DIV/0!</v>
      </c>
      <c r="M53" s="50" t="e">
        <f>M51/M37</f>
        <v>#DIV/0!</v>
      </c>
      <c r="O53" s="45" t="s">
        <v>3925</v>
      </c>
      <c r="P53" s="45">
        <v>65</v>
      </c>
    </row>
    <row r="54" spans="2:25" x14ac:dyDescent="0.35">
      <c r="B54" s="45" t="s">
        <v>3911</v>
      </c>
      <c r="C54" s="61">
        <v>16</v>
      </c>
      <c r="D54" s="45">
        <f>C54*25</f>
        <v>400</v>
      </c>
      <c r="E54" s="45">
        <f>C54*25</f>
        <v>400</v>
      </c>
      <c r="F54" s="45">
        <f>C54*25</f>
        <v>400</v>
      </c>
      <c r="G54" s="45">
        <f>C54*25</f>
        <v>400</v>
      </c>
      <c r="O54" s="45" t="s">
        <v>3926</v>
      </c>
      <c r="P54" s="45">
        <v>85</v>
      </c>
    </row>
    <row r="55" spans="2:25" ht="13.15" customHeight="1" x14ac:dyDescent="0.4">
      <c r="B55" s="46"/>
      <c r="C55" s="46"/>
      <c r="D55" s="46"/>
      <c r="E55" s="46"/>
      <c r="I55" s="45" t="s">
        <v>3911</v>
      </c>
      <c r="J55" s="61">
        <v>16</v>
      </c>
      <c r="K55" s="45">
        <f>J55*P25</f>
        <v>400</v>
      </c>
      <c r="L55" s="45">
        <f>J55*P25</f>
        <v>400</v>
      </c>
      <c r="M55" s="45">
        <f>L55</f>
        <v>400</v>
      </c>
      <c r="O55" s="45" t="s">
        <v>3927</v>
      </c>
      <c r="P55" s="45">
        <v>120</v>
      </c>
    </row>
    <row r="56" spans="2:25" ht="13.15" customHeight="1" x14ac:dyDescent="0.4">
      <c r="I56" s="46"/>
      <c r="J56" s="46"/>
      <c r="K56" s="46"/>
      <c r="L56" s="46"/>
      <c r="O56" s="45" t="s">
        <v>3928</v>
      </c>
      <c r="P56" s="45">
        <v>160</v>
      </c>
    </row>
    <row r="57" spans="2:25" x14ac:dyDescent="0.35">
      <c r="B57" s="45" t="s">
        <v>3914</v>
      </c>
      <c r="D57" s="45">
        <f>D50-D54</f>
        <v>-415.16029000000003</v>
      </c>
      <c r="E57" s="45">
        <f>E50-E54</f>
        <v>-120.54153999999994</v>
      </c>
      <c r="F57" s="45">
        <f>F50-F54</f>
        <v>174.07721000000004</v>
      </c>
      <c r="G57" s="45">
        <f>G50-G54</f>
        <v>468.69596000000001</v>
      </c>
      <c r="O57" s="45" t="s">
        <v>3929</v>
      </c>
      <c r="P57" s="45">
        <v>195</v>
      </c>
    </row>
    <row r="58" spans="2:25" ht="13.15" customHeight="1" x14ac:dyDescent="0.4">
      <c r="B58" s="46"/>
      <c r="D58" s="50">
        <f>D57/D36</f>
        <v>-1.0282607801857586</v>
      </c>
      <c r="E58" s="50">
        <f>E57/E36</f>
        <v>-0.14927744891640859</v>
      </c>
      <c r="F58" s="50">
        <f>F57/F36</f>
        <v>0.1437169948400413</v>
      </c>
      <c r="G58" s="50">
        <f>G57/G36</f>
        <v>0.29021421671826625</v>
      </c>
      <c r="I58" s="45" t="s">
        <v>3914</v>
      </c>
      <c r="K58" s="45">
        <f>K37-K49-K55</f>
        <v>-589.55808000000002</v>
      </c>
      <c r="L58" s="45">
        <f>L37-L49-L55</f>
        <v>-779.77904000000001</v>
      </c>
      <c r="M58" s="45">
        <f>M37-M49-M55</f>
        <v>-969.33712000000003</v>
      </c>
      <c r="N58" s="50"/>
      <c r="O58" s="45" t="s">
        <v>3930</v>
      </c>
      <c r="P58" s="45">
        <v>350</v>
      </c>
    </row>
    <row r="59" spans="2:25" ht="13.15" customHeight="1" x14ac:dyDescent="0.4">
      <c r="I59" s="46"/>
      <c r="K59" s="50" t="e">
        <f>K58/K37</f>
        <v>#DIV/0!</v>
      </c>
      <c r="L59" s="50" t="e">
        <f>L58/L37</f>
        <v>#DIV/0!</v>
      </c>
      <c r="M59" s="50" t="e">
        <f>M58/M37</f>
        <v>#DIV/0!</v>
      </c>
      <c r="O59" s="45" t="s">
        <v>3931</v>
      </c>
      <c r="P59" s="45">
        <v>395</v>
      </c>
    </row>
    <row r="60" spans="2:25" ht="13.15" customHeight="1" x14ac:dyDescent="0.4">
      <c r="B60" s="46" t="s">
        <v>3932</v>
      </c>
      <c r="C60" s="53"/>
      <c r="D60" s="51">
        <v>1</v>
      </c>
      <c r="E60" s="51">
        <v>2</v>
      </c>
      <c r="F60" s="51">
        <v>3</v>
      </c>
      <c r="G60" s="51">
        <v>4</v>
      </c>
      <c r="L60" s="45" t="s">
        <v>3916</v>
      </c>
      <c r="M60" s="45">
        <f>M58+M55</f>
        <v>-569.33712000000003</v>
      </c>
      <c r="N60" s="51"/>
      <c r="O60" s="45" t="s">
        <v>3933</v>
      </c>
      <c r="P60" s="45">
        <v>595</v>
      </c>
    </row>
    <row r="61" spans="2:25" ht="13.15" customHeight="1" x14ac:dyDescent="0.4">
      <c r="B61" s="46"/>
      <c r="C61" s="46"/>
      <c r="D61" s="46"/>
      <c r="E61" s="46"/>
      <c r="F61" s="46"/>
      <c r="G61" s="46"/>
      <c r="I61" s="66" t="s">
        <v>3932</v>
      </c>
      <c r="J61" s="68"/>
      <c r="K61" s="69" t="s">
        <v>3900</v>
      </c>
      <c r="L61" s="69" t="s">
        <v>3919</v>
      </c>
      <c r="M61" s="46"/>
      <c r="N61" s="46"/>
    </row>
    <row r="62" spans="2:25" x14ac:dyDescent="0.35">
      <c r="B62" s="45" t="s">
        <v>3903</v>
      </c>
      <c r="C62" s="53">
        <v>150</v>
      </c>
      <c r="D62" s="53">
        <f>C62*D60</f>
        <v>150</v>
      </c>
      <c r="E62" s="53">
        <f>C62*E60</f>
        <v>300</v>
      </c>
      <c r="F62" s="63">
        <f>C62*F60</f>
        <v>450</v>
      </c>
      <c r="G62" s="63">
        <f>C62*G60</f>
        <v>600</v>
      </c>
      <c r="I62" s="67" t="s">
        <v>3900</v>
      </c>
      <c r="J62" s="68">
        <f>P17</f>
        <v>0</v>
      </c>
      <c r="K62" s="65">
        <v>2</v>
      </c>
      <c r="L62" s="65"/>
      <c r="M62" s="63"/>
      <c r="N62" s="63"/>
      <c r="T62" s="45" t="s">
        <v>3934</v>
      </c>
      <c r="U62" s="732">
        <v>150</v>
      </c>
      <c r="V62" s="45" t="s">
        <v>1531</v>
      </c>
      <c r="X62" s="732">
        <v>100</v>
      </c>
      <c r="Y62" s="732">
        <f>U62+X62</f>
        <v>250</v>
      </c>
    </row>
    <row r="63" spans="2:25" ht="13.15" customHeight="1" x14ac:dyDescent="0.4">
      <c r="B63" s="45" t="s">
        <v>3904</v>
      </c>
      <c r="C63" s="64">
        <v>0.15</v>
      </c>
      <c r="D63" s="53">
        <f>D62*C63</f>
        <v>22.5</v>
      </c>
      <c r="E63" s="53">
        <f>E62*C63</f>
        <v>45</v>
      </c>
      <c r="F63" s="63">
        <f>F62*C63</f>
        <v>67.5</v>
      </c>
      <c r="G63" s="63">
        <f>G62*C63</f>
        <v>90</v>
      </c>
      <c r="I63" s="67" t="s">
        <v>3902</v>
      </c>
      <c r="J63" s="66">
        <f>T17</f>
        <v>0</v>
      </c>
      <c r="K63" s="66"/>
      <c r="L63" s="65">
        <v>1</v>
      </c>
      <c r="M63" s="63"/>
      <c r="N63" s="63"/>
    </row>
    <row r="64" spans="2:25" ht="13.15" customHeight="1" x14ac:dyDescent="0.4">
      <c r="B64" s="46" t="s">
        <v>3905</v>
      </c>
      <c r="C64" s="58"/>
      <c r="D64" s="62">
        <f>D62-D63</f>
        <v>127.5</v>
      </c>
      <c r="E64" s="62">
        <f>E62-E63</f>
        <v>255</v>
      </c>
      <c r="F64" s="62">
        <f>F62-F63</f>
        <v>382.5</v>
      </c>
      <c r="G64" s="62">
        <f>G62-G63</f>
        <v>510</v>
      </c>
      <c r="I64" s="45" t="s">
        <v>3903</v>
      </c>
      <c r="J64" s="53"/>
      <c r="K64" s="53">
        <f>J62*K62</f>
        <v>0</v>
      </c>
      <c r="L64" s="53">
        <f>J63*L63</f>
        <v>0</v>
      </c>
      <c r="M64" s="63"/>
      <c r="N64" s="58"/>
      <c r="O64" s="605" t="s">
        <v>3935</v>
      </c>
      <c r="P64" s="46" t="s">
        <v>3646</v>
      </c>
      <c r="Q64" s="46" t="s">
        <v>3936</v>
      </c>
      <c r="R64" s="46"/>
      <c r="S64" s="46"/>
      <c r="T64" s="46" t="s">
        <v>3937</v>
      </c>
    </row>
    <row r="65" spans="2:23" x14ac:dyDescent="0.35">
      <c r="F65" s="53"/>
      <c r="G65" s="53"/>
      <c r="I65" s="45" t="s">
        <v>3904</v>
      </c>
      <c r="J65" s="64">
        <v>0.3</v>
      </c>
      <c r="K65" s="63">
        <f>K64*$J65</f>
        <v>0</v>
      </c>
      <c r="L65" s="63">
        <f>L64*$J65</f>
        <v>0</v>
      </c>
      <c r="M65" s="63"/>
      <c r="N65" s="53"/>
      <c r="O65" s="49" t="s">
        <v>3757</v>
      </c>
      <c r="P65" s="45">
        <v>18</v>
      </c>
      <c r="Q65" s="45">
        <f t="shared" ref="Q65:Q70" si="0">P65*12</f>
        <v>216</v>
      </c>
      <c r="T65" s="45">
        <f t="shared" ref="T65:T93" si="1">Q65/$Y$62</f>
        <v>0.86399999999999999</v>
      </c>
    </row>
    <row r="66" spans="2:23" ht="13.15" customHeight="1" x14ac:dyDescent="0.4">
      <c r="B66" s="45" t="s">
        <v>3906</v>
      </c>
      <c r="D66" s="45">
        <f>D64*3.5%</f>
        <v>4.4625000000000004</v>
      </c>
      <c r="E66" s="45">
        <f>E64*3.5%</f>
        <v>8.9250000000000007</v>
      </c>
      <c r="F66" s="45">
        <f>F64*3.5%</f>
        <v>13.387500000000001</v>
      </c>
      <c r="G66" s="45">
        <f>G64*3.5%</f>
        <v>17.850000000000001</v>
      </c>
      <c r="I66" s="46" t="s">
        <v>3905</v>
      </c>
      <c r="J66" s="58"/>
      <c r="K66" s="62">
        <f>K64-K65</f>
        <v>0</v>
      </c>
      <c r="L66" s="62">
        <f>L64-L65</f>
        <v>0</v>
      </c>
      <c r="M66" s="58">
        <f>L66+K66</f>
        <v>0</v>
      </c>
      <c r="O66" s="731" t="s">
        <v>1549</v>
      </c>
      <c r="P66" s="45">
        <v>9.98</v>
      </c>
      <c r="Q66" s="45">
        <f t="shared" si="0"/>
        <v>119.76</v>
      </c>
      <c r="T66" s="45">
        <f t="shared" si="1"/>
        <v>0.47904000000000002</v>
      </c>
    </row>
    <row r="67" spans="2:23" x14ac:dyDescent="0.35">
      <c r="F67" s="53"/>
      <c r="G67" s="53"/>
      <c r="M67" s="53"/>
      <c r="N67" s="53"/>
      <c r="O67" s="731" t="s">
        <v>3806</v>
      </c>
      <c r="P67" s="45">
        <v>17</v>
      </c>
      <c r="Q67" s="45">
        <f t="shared" si="0"/>
        <v>204</v>
      </c>
      <c r="T67" s="45">
        <f t="shared" si="1"/>
        <v>0.81599999999999995</v>
      </c>
    </row>
    <row r="68" spans="2:23" x14ac:dyDescent="0.35">
      <c r="B68" s="45" t="s">
        <v>3907</v>
      </c>
      <c r="C68" s="45">
        <v>0</v>
      </c>
      <c r="D68" s="45">
        <v>0</v>
      </c>
      <c r="E68" s="45">
        <v>0</v>
      </c>
      <c r="F68" s="45">
        <v>0</v>
      </c>
      <c r="G68" s="45">
        <v>0</v>
      </c>
      <c r="I68" s="45" t="s">
        <v>3906</v>
      </c>
      <c r="K68" s="45">
        <f>K66*3.5%</f>
        <v>0</v>
      </c>
      <c r="L68" s="45">
        <f>L66*3.5%</f>
        <v>0</v>
      </c>
      <c r="O68" s="695" t="s">
        <v>3765</v>
      </c>
      <c r="P68" s="45">
        <v>18</v>
      </c>
      <c r="Q68" s="45">
        <f t="shared" si="0"/>
        <v>216</v>
      </c>
      <c r="T68" s="45">
        <f t="shared" si="1"/>
        <v>0.86399999999999999</v>
      </c>
    </row>
    <row r="69" spans="2:23" ht="13.15" customHeight="1" x14ac:dyDescent="0.4">
      <c r="B69" s="46"/>
      <c r="M69" s="53"/>
      <c r="O69" s="695"/>
      <c r="Q69" s="45">
        <f t="shared" si="0"/>
        <v>0</v>
      </c>
      <c r="T69" s="45">
        <f t="shared" si="1"/>
        <v>0</v>
      </c>
    </row>
    <row r="70" spans="2:23" x14ac:dyDescent="0.35">
      <c r="B70" s="45" t="s">
        <v>3721</v>
      </c>
      <c r="C70" s="45">
        <v>100</v>
      </c>
      <c r="D70" s="45">
        <v>50</v>
      </c>
      <c r="E70" s="45">
        <v>50</v>
      </c>
      <c r="F70" s="45">
        <v>50</v>
      </c>
      <c r="G70" s="45">
        <v>50</v>
      </c>
      <c r="I70" s="45" t="s">
        <v>3907</v>
      </c>
      <c r="K70" s="45">
        <v>0</v>
      </c>
      <c r="L70" s="45">
        <f>L63*J70+J70</f>
        <v>0</v>
      </c>
      <c r="O70" s="49" t="s">
        <v>3938</v>
      </c>
      <c r="P70" s="45">
        <v>35</v>
      </c>
      <c r="Q70" s="45">
        <f t="shared" si="0"/>
        <v>420</v>
      </c>
      <c r="T70" s="45">
        <f t="shared" si="1"/>
        <v>1.68</v>
      </c>
    </row>
    <row r="71" spans="2:23" ht="13.15" customHeight="1" x14ac:dyDescent="0.4">
      <c r="I71" s="46"/>
      <c r="O71" s="695" t="s">
        <v>3939</v>
      </c>
      <c r="T71" s="45">
        <f t="shared" si="1"/>
        <v>0</v>
      </c>
    </row>
    <row r="72" spans="2:23" x14ac:dyDescent="0.35">
      <c r="B72" s="45" t="s">
        <v>533</v>
      </c>
      <c r="C72" s="45">
        <v>25</v>
      </c>
      <c r="D72" s="45">
        <v>30</v>
      </c>
      <c r="E72" s="45">
        <f>C72*1</f>
        <v>25</v>
      </c>
      <c r="F72" s="45">
        <f>C72*1</f>
        <v>25</v>
      </c>
      <c r="G72" s="45">
        <f>E72*1</f>
        <v>25</v>
      </c>
      <c r="I72" s="45" t="s">
        <v>3721</v>
      </c>
      <c r="J72" s="45">
        <v>50</v>
      </c>
      <c r="K72" s="45">
        <v>0</v>
      </c>
      <c r="L72" s="45">
        <f>J72</f>
        <v>50</v>
      </c>
      <c r="O72" s="45" t="s">
        <v>3940</v>
      </c>
      <c r="P72" s="45">
        <v>15</v>
      </c>
      <c r="Q72" s="45">
        <f t="shared" ref="Q72:Q82" si="2">P72*12</f>
        <v>180</v>
      </c>
      <c r="T72" s="45">
        <f t="shared" si="1"/>
        <v>0.72</v>
      </c>
    </row>
    <row r="73" spans="2:23" x14ac:dyDescent="0.35">
      <c r="O73" s="49" t="s">
        <v>3786</v>
      </c>
      <c r="P73" s="45">
        <v>6.5</v>
      </c>
      <c r="Q73" s="45">
        <f t="shared" si="2"/>
        <v>78</v>
      </c>
      <c r="T73" s="45">
        <f t="shared" si="1"/>
        <v>0.312</v>
      </c>
    </row>
    <row r="74" spans="2:23" x14ac:dyDescent="0.35">
      <c r="B74" s="45" t="s">
        <v>3908</v>
      </c>
      <c r="C74" s="45">
        <f>$T$115</f>
        <v>94.779039999999995</v>
      </c>
      <c r="D74" s="45">
        <f>$C$74</f>
        <v>94.779039999999995</v>
      </c>
      <c r="E74" s="45">
        <f>$C$74</f>
        <v>94.779039999999995</v>
      </c>
      <c r="F74" s="45">
        <f>$C$74</f>
        <v>94.779039999999995</v>
      </c>
      <c r="G74" s="45">
        <f>$C$74</f>
        <v>94.779039999999995</v>
      </c>
      <c r="I74" s="45" t="s">
        <v>533</v>
      </c>
      <c r="J74" s="45">
        <v>20</v>
      </c>
      <c r="K74" s="45">
        <v>0</v>
      </c>
      <c r="L74" s="45">
        <f>J74*1</f>
        <v>20</v>
      </c>
      <c r="O74" s="49" t="s">
        <v>3941</v>
      </c>
      <c r="P74" s="45">
        <v>15</v>
      </c>
      <c r="Q74" s="45">
        <f t="shared" si="2"/>
        <v>180</v>
      </c>
      <c r="T74" s="45">
        <f t="shared" si="1"/>
        <v>0.72</v>
      </c>
    </row>
    <row r="75" spans="2:23" x14ac:dyDescent="0.35">
      <c r="O75" s="49" t="s">
        <v>3942</v>
      </c>
      <c r="P75" s="45">
        <v>56</v>
      </c>
      <c r="Q75" s="45">
        <f t="shared" si="2"/>
        <v>672</v>
      </c>
      <c r="T75" s="45">
        <f t="shared" si="1"/>
        <v>2.6880000000000002</v>
      </c>
    </row>
    <row r="76" spans="2:23" ht="13.15" customHeight="1" x14ac:dyDescent="0.4">
      <c r="B76" s="45" t="s">
        <v>524</v>
      </c>
      <c r="D76" s="46">
        <f>SUM(D66:D75)</f>
        <v>179.24153999999999</v>
      </c>
      <c r="E76" s="46">
        <f>SUM(E66:E75)</f>
        <v>178.70403999999999</v>
      </c>
      <c r="F76" s="46">
        <f>SUM(F66:F75)</f>
        <v>183.16654</v>
      </c>
      <c r="G76" s="46">
        <f>SUM(G66:G75)</f>
        <v>187.62903999999997</v>
      </c>
      <c r="I76" s="45" t="s">
        <v>3943</v>
      </c>
      <c r="J76" s="45">
        <f>$T$115</f>
        <v>94.779039999999995</v>
      </c>
      <c r="K76" s="45">
        <f>J76*K62</f>
        <v>189.55807999999999</v>
      </c>
      <c r="L76" s="45">
        <f>J76*L63</f>
        <v>94.779039999999995</v>
      </c>
      <c r="N76" s="46"/>
      <c r="O76" s="49" t="s">
        <v>3944</v>
      </c>
      <c r="P76" s="45">
        <v>18</v>
      </c>
      <c r="Q76" s="45">
        <f t="shared" si="2"/>
        <v>216</v>
      </c>
      <c r="T76" s="45">
        <f t="shared" si="1"/>
        <v>0.86399999999999999</v>
      </c>
      <c r="V76" s="45" t="s">
        <v>3945</v>
      </c>
    </row>
    <row r="77" spans="2:23" x14ac:dyDescent="0.35">
      <c r="Q77" s="45">
        <f t="shared" si="2"/>
        <v>0</v>
      </c>
      <c r="T77" s="45">
        <f t="shared" si="1"/>
        <v>0</v>
      </c>
    </row>
    <row r="78" spans="2:23" ht="13.15" customHeight="1" x14ac:dyDescent="0.4">
      <c r="B78" s="46" t="s">
        <v>3755</v>
      </c>
      <c r="C78" s="46"/>
      <c r="D78" s="62">
        <f>D64-D76</f>
        <v>-51.741539999999986</v>
      </c>
      <c r="E78" s="62">
        <f>E64-E76</f>
        <v>76.295960000000008</v>
      </c>
      <c r="F78" s="62">
        <f>F64-F76</f>
        <v>199.33346</v>
      </c>
      <c r="G78" s="62">
        <f>G64-G76</f>
        <v>322.37096000000003</v>
      </c>
      <c r="I78" s="46" t="s">
        <v>524</v>
      </c>
      <c r="K78" s="46">
        <f>SUM(K68:K77)</f>
        <v>189.55807999999999</v>
      </c>
      <c r="L78" s="46">
        <f>SUM(L68:L77)</f>
        <v>164.77904000000001</v>
      </c>
      <c r="M78" s="46">
        <f>K78+L78</f>
        <v>354.33712000000003</v>
      </c>
      <c r="N78" s="58"/>
      <c r="Q78" s="45">
        <f t="shared" si="2"/>
        <v>0</v>
      </c>
      <c r="T78" s="45">
        <f t="shared" si="1"/>
        <v>0</v>
      </c>
      <c r="V78" s="45" t="s">
        <v>3757</v>
      </c>
      <c r="W78" s="45">
        <v>15</v>
      </c>
    </row>
    <row r="79" spans="2:23" x14ac:dyDescent="0.35">
      <c r="O79" s="45" t="s">
        <v>3946</v>
      </c>
      <c r="P79" s="45">
        <v>25</v>
      </c>
      <c r="Q79" s="45">
        <f t="shared" si="2"/>
        <v>300</v>
      </c>
      <c r="T79" s="45">
        <f t="shared" si="1"/>
        <v>1.2</v>
      </c>
      <c r="V79" s="45" t="s">
        <v>1549</v>
      </c>
      <c r="W79" s="45">
        <v>9.98</v>
      </c>
    </row>
    <row r="80" spans="2:23" ht="13.15" customHeight="1" x14ac:dyDescent="0.4">
      <c r="C80" s="53"/>
      <c r="D80" s="50">
        <f>D78/D64</f>
        <v>-0.4058159999999999</v>
      </c>
      <c r="E80" s="50">
        <f>E78/E64</f>
        <v>0.29919984313725495</v>
      </c>
      <c r="F80" s="50">
        <f>F78/F64</f>
        <v>0.52113322875816992</v>
      </c>
      <c r="G80" s="50">
        <f>G78/G64</f>
        <v>0.63209992156862749</v>
      </c>
      <c r="I80" s="46" t="s">
        <v>3755</v>
      </c>
      <c r="J80" s="46"/>
      <c r="K80" s="62">
        <f>K66-K78</f>
        <v>-189.55807999999999</v>
      </c>
      <c r="L80" s="62">
        <f>L66-L78</f>
        <v>-164.77904000000001</v>
      </c>
      <c r="M80" s="58">
        <f>L80+K80</f>
        <v>-354.33712000000003</v>
      </c>
      <c r="N80" s="50"/>
      <c r="O80" s="45" t="s">
        <v>747</v>
      </c>
      <c r="P80" s="45">
        <v>11</v>
      </c>
      <c r="Q80" s="45">
        <f t="shared" si="2"/>
        <v>132</v>
      </c>
      <c r="T80" s="45">
        <f t="shared" si="1"/>
        <v>0.52800000000000002</v>
      </c>
      <c r="V80" s="45" t="s">
        <v>3806</v>
      </c>
      <c r="W80" s="45">
        <v>15</v>
      </c>
    </row>
    <row r="81" spans="2:23" x14ac:dyDescent="0.35">
      <c r="O81" s="45" t="s">
        <v>3947</v>
      </c>
      <c r="Q81" s="45">
        <f t="shared" si="2"/>
        <v>0</v>
      </c>
      <c r="T81" s="45">
        <f t="shared" si="1"/>
        <v>0</v>
      </c>
      <c r="V81" s="45" t="s">
        <v>3765</v>
      </c>
      <c r="W81" s="45">
        <v>14</v>
      </c>
    </row>
    <row r="82" spans="2:23" x14ac:dyDescent="0.35">
      <c r="B82" s="45" t="s">
        <v>3911</v>
      </c>
      <c r="C82" s="61">
        <v>8</v>
      </c>
      <c r="D82" s="45">
        <f>C82*25</f>
        <v>200</v>
      </c>
      <c r="E82" s="45">
        <f>C82*25</f>
        <v>200</v>
      </c>
      <c r="F82" s="45">
        <f>C82*25</f>
        <v>200</v>
      </c>
      <c r="G82" s="45">
        <f>C82*25</f>
        <v>200</v>
      </c>
      <c r="J82" s="53"/>
      <c r="K82" s="50" t="e">
        <f>K80/K66</f>
        <v>#DIV/0!</v>
      </c>
      <c r="L82" s="50" t="e">
        <f>L80/L66</f>
        <v>#DIV/0!</v>
      </c>
      <c r="M82" s="50" t="e">
        <f>M80/M66</f>
        <v>#DIV/0!</v>
      </c>
      <c r="O82" s="53" t="s">
        <v>3948</v>
      </c>
      <c r="Q82" s="45">
        <f t="shared" si="2"/>
        <v>0</v>
      </c>
      <c r="T82" s="45">
        <f t="shared" si="1"/>
        <v>0</v>
      </c>
      <c r="V82" s="45" t="s">
        <v>3947</v>
      </c>
      <c r="W82" s="45">
        <v>30</v>
      </c>
    </row>
    <row r="83" spans="2:23" ht="13.15" customHeight="1" x14ac:dyDescent="0.4">
      <c r="B83" s="46"/>
      <c r="C83" s="46"/>
      <c r="D83" s="46"/>
      <c r="E83" s="46"/>
      <c r="O83" s="45" t="s">
        <v>3808</v>
      </c>
      <c r="P83" s="45">
        <f>Q83/12</f>
        <v>7</v>
      </c>
      <c r="Q83" s="45">
        <v>84</v>
      </c>
      <c r="T83" s="45">
        <f t="shared" si="1"/>
        <v>0.33600000000000002</v>
      </c>
      <c r="V83" s="49" t="s">
        <v>3938</v>
      </c>
      <c r="W83" s="45">
        <v>35</v>
      </c>
    </row>
    <row r="84" spans="2:23" x14ac:dyDescent="0.35">
      <c r="I84" s="45" t="s">
        <v>3911</v>
      </c>
      <c r="J84" s="61">
        <v>8</v>
      </c>
      <c r="K84" s="45">
        <f>J84*P25</f>
        <v>200</v>
      </c>
      <c r="L84" s="45">
        <f>J84*P25</f>
        <v>200</v>
      </c>
      <c r="M84" s="45">
        <f>L84</f>
        <v>200</v>
      </c>
      <c r="P84" s="45">
        <v>0</v>
      </c>
      <c r="Q84" s="45">
        <f t="shared" ref="Q84:Q90" si="3">P84*12</f>
        <v>0</v>
      </c>
      <c r="T84" s="45">
        <f t="shared" si="1"/>
        <v>0</v>
      </c>
      <c r="V84" s="45" t="s">
        <v>3939</v>
      </c>
      <c r="W84" s="45">
        <v>1.25</v>
      </c>
    </row>
    <row r="85" spans="2:23" ht="13.15" customHeight="1" x14ac:dyDescent="0.4">
      <c r="B85" s="45" t="s">
        <v>3914</v>
      </c>
      <c r="D85" s="45">
        <f>D78-D82</f>
        <v>-251.74153999999999</v>
      </c>
      <c r="E85" s="45">
        <f>E78-E82</f>
        <v>-123.70403999999999</v>
      </c>
      <c r="F85" s="45">
        <f>F78-F82</f>
        <v>-0.66653999999999769</v>
      </c>
      <c r="G85" s="45">
        <f>G78-G82</f>
        <v>122.37096000000003</v>
      </c>
      <c r="I85" s="46"/>
      <c r="J85" s="46"/>
      <c r="K85" s="46"/>
      <c r="L85" s="46"/>
      <c r="O85" s="45" t="s">
        <v>3949</v>
      </c>
      <c r="P85" s="45">
        <v>40</v>
      </c>
      <c r="Q85" s="45">
        <f t="shared" si="3"/>
        <v>480</v>
      </c>
      <c r="T85" s="45">
        <f t="shared" si="1"/>
        <v>1.92</v>
      </c>
      <c r="V85" s="45" t="s">
        <v>3950</v>
      </c>
      <c r="W85" s="45">
        <v>10</v>
      </c>
    </row>
    <row r="86" spans="2:23" x14ac:dyDescent="0.35">
      <c r="D86" s="50">
        <f>D85/D64</f>
        <v>-1.9744434509803921</v>
      </c>
      <c r="E86" s="50">
        <f>E85/E64</f>
        <v>-0.48511388235294117</v>
      </c>
      <c r="F86" s="50">
        <f>F85/F64</f>
        <v>-1.7425882352941117E-3</v>
      </c>
      <c r="G86" s="50">
        <f>G85/G64</f>
        <v>0.23994305882352945</v>
      </c>
      <c r="N86" s="50"/>
      <c r="O86" s="45" t="s">
        <v>3799</v>
      </c>
      <c r="P86" s="45">
        <v>50</v>
      </c>
      <c r="Q86" s="45">
        <f t="shared" si="3"/>
        <v>600</v>
      </c>
      <c r="T86" s="45">
        <f t="shared" si="1"/>
        <v>2.4</v>
      </c>
      <c r="V86" s="45" t="s">
        <v>3786</v>
      </c>
      <c r="W86" s="45">
        <v>6.5</v>
      </c>
    </row>
    <row r="87" spans="2:23" x14ac:dyDescent="0.35">
      <c r="I87" s="45" t="s">
        <v>3914</v>
      </c>
      <c r="K87" s="45">
        <f>K66-K78-K84</f>
        <v>-389.55808000000002</v>
      </c>
      <c r="L87" s="45">
        <f>L66-L78-L84</f>
        <v>-364.77904000000001</v>
      </c>
      <c r="M87" s="45">
        <f>M66-M78-M84</f>
        <v>-554.33712000000003</v>
      </c>
      <c r="O87" s="45" t="s">
        <v>3803</v>
      </c>
      <c r="Q87" s="45">
        <f t="shared" si="3"/>
        <v>0</v>
      </c>
      <c r="T87" s="45">
        <f t="shared" si="1"/>
        <v>0</v>
      </c>
      <c r="V87" s="45" t="s">
        <v>3941</v>
      </c>
      <c r="W87" s="45">
        <v>11</v>
      </c>
    </row>
    <row r="88" spans="2:23" ht="13.15" customHeight="1" x14ac:dyDescent="0.4">
      <c r="B88" s="46" t="s">
        <v>2909</v>
      </c>
      <c r="C88" s="53"/>
      <c r="D88" s="51">
        <v>1</v>
      </c>
      <c r="E88" s="51">
        <v>2</v>
      </c>
      <c r="F88" s="51">
        <v>3</v>
      </c>
      <c r="G88" s="51">
        <v>6</v>
      </c>
      <c r="I88" s="46"/>
      <c r="K88" s="50" t="e">
        <f>K87/K66</f>
        <v>#DIV/0!</v>
      </c>
      <c r="L88" s="50" t="e">
        <f>L87/L66</f>
        <v>#DIV/0!</v>
      </c>
      <c r="M88" s="50" t="e">
        <f>M87/M66</f>
        <v>#DIV/0!</v>
      </c>
      <c r="N88" s="51"/>
      <c r="O88" s="45" t="s">
        <v>3951</v>
      </c>
      <c r="P88" s="45">
        <v>50</v>
      </c>
      <c r="Q88" s="45">
        <f t="shared" si="3"/>
        <v>600</v>
      </c>
      <c r="T88" s="45">
        <f t="shared" si="1"/>
        <v>2.4</v>
      </c>
      <c r="V88" s="45" t="s">
        <v>3942</v>
      </c>
      <c r="W88" s="45">
        <v>43</v>
      </c>
    </row>
    <row r="89" spans="2:23" ht="13.15" customHeight="1" x14ac:dyDescent="0.4">
      <c r="B89" s="46"/>
      <c r="C89" s="46"/>
      <c r="D89" s="46"/>
      <c r="E89" s="46"/>
      <c r="F89" s="46"/>
      <c r="G89" s="46"/>
      <c r="L89" s="45" t="s">
        <v>3916</v>
      </c>
      <c r="M89" s="45">
        <f>M87+M84</f>
        <v>-354.33712000000003</v>
      </c>
      <c r="N89" s="46"/>
      <c r="O89" s="45" t="s">
        <v>3829</v>
      </c>
      <c r="P89" s="45">
        <v>30</v>
      </c>
      <c r="Q89" s="45">
        <f t="shared" si="3"/>
        <v>360</v>
      </c>
      <c r="T89" s="45">
        <f t="shared" si="1"/>
        <v>1.44</v>
      </c>
      <c r="V89" s="45" t="s">
        <v>3944</v>
      </c>
      <c r="W89" s="45">
        <v>18</v>
      </c>
    </row>
    <row r="90" spans="2:23" x14ac:dyDescent="0.35">
      <c r="B90" s="45" t="s">
        <v>3903</v>
      </c>
      <c r="C90" s="53">
        <f>P16</f>
        <v>0</v>
      </c>
      <c r="D90" s="53">
        <f>C90*D88</f>
        <v>0</v>
      </c>
      <c r="E90" s="53">
        <f>C90*E88</f>
        <v>0</v>
      </c>
      <c r="F90" s="63">
        <f>C90*F88</f>
        <v>0</v>
      </c>
      <c r="G90" s="63">
        <f>C90*G88</f>
        <v>0</v>
      </c>
      <c r="J90" s="53"/>
      <c r="K90" s="53"/>
      <c r="L90" s="53"/>
      <c r="M90" s="63"/>
      <c r="N90" s="63"/>
      <c r="O90" s="45" t="s">
        <v>3763</v>
      </c>
      <c r="Q90" s="45">
        <f t="shared" si="3"/>
        <v>0</v>
      </c>
      <c r="T90" s="45">
        <f t="shared" si="1"/>
        <v>0</v>
      </c>
      <c r="V90" s="45" t="s">
        <v>3952</v>
      </c>
      <c r="W90" s="45">
        <v>20</v>
      </c>
    </row>
    <row r="91" spans="2:23" x14ac:dyDescent="0.35">
      <c r="B91" s="45" t="s">
        <v>3904</v>
      </c>
      <c r="C91" s="64">
        <v>0.3</v>
      </c>
      <c r="D91" s="53">
        <f>D90*C91</f>
        <v>0</v>
      </c>
      <c r="E91" s="53">
        <f>E90*C91</f>
        <v>0</v>
      </c>
      <c r="F91" s="63">
        <f>F90*C91</f>
        <v>0</v>
      </c>
      <c r="G91" s="63">
        <f>G90*C91</f>
        <v>0</v>
      </c>
      <c r="J91" s="64"/>
      <c r="K91" s="53"/>
      <c r="L91" s="53"/>
      <c r="M91" s="63"/>
      <c r="N91" s="63"/>
      <c r="O91" s="45" t="s">
        <v>3814</v>
      </c>
      <c r="P91" s="45">
        <f>Q91/12</f>
        <v>8.75</v>
      </c>
      <c r="Q91" s="45">
        <v>105</v>
      </c>
      <c r="T91" s="45">
        <f t="shared" si="1"/>
        <v>0.42</v>
      </c>
      <c r="V91" s="45" t="s">
        <v>3953</v>
      </c>
      <c r="W91" s="45">
        <v>10</v>
      </c>
    </row>
    <row r="92" spans="2:23" ht="13.15" customHeight="1" x14ac:dyDescent="0.4">
      <c r="B92" s="46" t="s">
        <v>3905</v>
      </c>
      <c r="C92" s="58"/>
      <c r="D92" s="62">
        <f>D90-D91</f>
        <v>0</v>
      </c>
      <c r="E92" s="62">
        <f>E90-E91</f>
        <v>0</v>
      </c>
      <c r="F92" s="62">
        <f>F90-F91</f>
        <v>0</v>
      </c>
      <c r="G92" s="62">
        <f>G90-G91</f>
        <v>0</v>
      </c>
      <c r="I92" s="66" t="s">
        <v>177</v>
      </c>
      <c r="J92" s="68"/>
      <c r="K92" s="69" t="s">
        <v>3900</v>
      </c>
      <c r="L92" s="69"/>
      <c r="M92" s="58"/>
      <c r="N92" s="58"/>
      <c r="O92" s="45" t="s">
        <v>3954</v>
      </c>
      <c r="P92" s="45">
        <f>Q92/12</f>
        <v>83.333333333333329</v>
      </c>
      <c r="Q92" s="45">
        <v>1000</v>
      </c>
      <c r="T92" s="45">
        <f t="shared" si="1"/>
        <v>4</v>
      </c>
      <c r="V92" s="45" t="s">
        <v>3946</v>
      </c>
      <c r="W92" s="45">
        <v>20</v>
      </c>
    </row>
    <row r="93" spans="2:23" ht="13.15" customHeight="1" x14ac:dyDescent="0.4">
      <c r="F93" s="53"/>
      <c r="G93" s="53"/>
      <c r="I93" s="67" t="s">
        <v>3955</v>
      </c>
      <c r="J93" s="682">
        <f>P21</f>
        <v>150</v>
      </c>
      <c r="K93" s="65">
        <v>1</v>
      </c>
      <c r="L93" s="65"/>
      <c r="M93" s="53"/>
      <c r="N93" s="53"/>
      <c r="Q93" s="45">
        <f>P93*12</f>
        <v>0</v>
      </c>
      <c r="T93" s="45">
        <f t="shared" si="1"/>
        <v>0</v>
      </c>
      <c r="V93" s="45" t="s">
        <v>747</v>
      </c>
      <c r="W93" s="45">
        <v>11</v>
      </c>
    </row>
    <row r="94" spans="2:23" ht="13.15" customHeight="1" x14ac:dyDescent="0.4">
      <c r="B94" s="45" t="s">
        <v>3906</v>
      </c>
      <c r="D94" s="45">
        <f>D92*3.5%</f>
        <v>0</v>
      </c>
      <c r="E94" s="45">
        <f>E92*3.5%</f>
        <v>0</v>
      </c>
      <c r="F94" s="45">
        <f>F92*3.5%</f>
        <v>0</v>
      </c>
      <c r="G94" s="45">
        <f>G92*3.5%</f>
        <v>0</v>
      </c>
      <c r="I94" s="67" t="s">
        <v>3956</v>
      </c>
      <c r="J94" s="66">
        <f>P22</f>
        <v>99</v>
      </c>
      <c r="K94" s="65">
        <v>1</v>
      </c>
      <c r="L94" s="65"/>
      <c r="Q94" s="45">
        <f>P94*12</f>
        <v>0</v>
      </c>
      <c r="V94" s="45" t="s">
        <v>3957</v>
      </c>
      <c r="W94" s="45">
        <v>35</v>
      </c>
    </row>
    <row r="95" spans="2:23" ht="13.15" customHeight="1" x14ac:dyDescent="0.4">
      <c r="F95" s="53"/>
      <c r="G95" s="53"/>
      <c r="I95" s="67" t="s">
        <v>3958</v>
      </c>
      <c r="J95" s="66">
        <f>P23</f>
        <v>65</v>
      </c>
      <c r="K95" s="65">
        <v>0</v>
      </c>
      <c r="L95" s="65"/>
      <c r="O95" s="45" t="s">
        <v>3959</v>
      </c>
      <c r="P95" s="45">
        <f>SUM(15*4)*5*4.2</f>
        <v>1260</v>
      </c>
      <c r="Q95" s="45">
        <f>P95*12</f>
        <v>15120</v>
      </c>
      <c r="T95" s="45">
        <f>Q95/$Y$62</f>
        <v>60.48</v>
      </c>
      <c r="V95" s="45" t="s">
        <v>3948</v>
      </c>
      <c r="W95" s="45">
        <v>3</v>
      </c>
    </row>
    <row r="96" spans="2:23" ht="13.15" customHeight="1" x14ac:dyDescent="0.4">
      <c r="B96" s="45" t="s">
        <v>3907</v>
      </c>
      <c r="C96" s="45">
        <v>0</v>
      </c>
      <c r="D96" s="45">
        <v>0</v>
      </c>
      <c r="E96" s="45">
        <v>0</v>
      </c>
      <c r="F96" s="45">
        <v>0</v>
      </c>
      <c r="G96" s="45">
        <v>0</v>
      </c>
      <c r="I96" s="67" t="s">
        <v>3080</v>
      </c>
      <c r="J96" s="66">
        <v>35</v>
      </c>
      <c r="K96" s="65"/>
      <c r="L96" s="65"/>
      <c r="Q96" s="45">
        <f>P96*12</f>
        <v>0</v>
      </c>
      <c r="V96" s="45" t="s">
        <v>3808</v>
      </c>
      <c r="W96" s="45">
        <v>7</v>
      </c>
    </row>
    <row r="97" spans="2:23" ht="13.15" customHeight="1" x14ac:dyDescent="0.4">
      <c r="B97" s="46"/>
      <c r="I97" s="45" t="s">
        <v>3903</v>
      </c>
      <c r="J97" s="53"/>
      <c r="K97" s="53">
        <f>SUM(K93*J93)+(K94*J94)+(K95*J95)+(K96*J96)</f>
        <v>249</v>
      </c>
      <c r="L97" s="53"/>
      <c r="M97" s="63"/>
      <c r="N97" s="53"/>
      <c r="Q97" s="45">
        <f>P97*12</f>
        <v>0</v>
      </c>
      <c r="V97" s="45" t="s">
        <v>3763</v>
      </c>
      <c r="W97" s="45">
        <v>6.5</v>
      </c>
    </row>
    <row r="98" spans="2:23" ht="13.15" customHeight="1" x14ac:dyDescent="0.4">
      <c r="B98" s="45" t="s">
        <v>3721</v>
      </c>
      <c r="C98" s="45">
        <v>100</v>
      </c>
      <c r="D98" s="45">
        <v>25</v>
      </c>
      <c r="E98" s="45">
        <v>25</v>
      </c>
      <c r="F98" s="45">
        <v>25</v>
      </c>
      <c r="G98" s="45">
        <v>25</v>
      </c>
      <c r="I98" s="45" t="s">
        <v>3904</v>
      </c>
      <c r="J98" s="64">
        <v>0.3</v>
      </c>
      <c r="K98" s="63">
        <f>K97*$J98</f>
        <v>74.7</v>
      </c>
      <c r="L98" s="63"/>
      <c r="M98" s="63"/>
      <c r="O98" s="46" t="s">
        <v>3960</v>
      </c>
      <c r="P98" s="46">
        <f>SUM(P65:P97)</f>
        <v>1773.5633333333335</v>
      </c>
      <c r="Q98" s="46">
        <f>SUM(Q65:Q97)</f>
        <v>21282.760000000002</v>
      </c>
      <c r="R98" s="46"/>
      <c r="S98" s="46"/>
      <c r="T98" s="46">
        <f>SUM(T65:T97)</f>
        <v>85.131039999999999</v>
      </c>
      <c r="V98" s="45" t="s">
        <v>3814</v>
      </c>
      <c r="W98" s="45">
        <v>8.75</v>
      </c>
    </row>
    <row r="99" spans="2:23" ht="13.15" customHeight="1" x14ac:dyDescent="0.4">
      <c r="I99" s="46" t="s">
        <v>3905</v>
      </c>
      <c r="J99" s="58"/>
      <c r="K99" s="62">
        <f>K97-K98</f>
        <v>174.3</v>
      </c>
      <c r="L99" s="62"/>
      <c r="M99" s="58">
        <f>L99+K99</f>
        <v>174.3</v>
      </c>
      <c r="V99" s="45" t="s">
        <v>97</v>
      </c>
      <c r="W99" s="45">
        <v>0</v>
      </c>
    </row>
    <row r="100" spans="2:23" ht="13.15" customHeight="1" x14ac:dyDescent="0.4">
      <c r="B100" s="45" t="s">
        <v>533</v>
      </c>
      <c r="C100" s="45">
        <v>25</v>
      </c>
      <c r="D100" s="45">
        <v>10</v>
      </c>
      <c r="E100" s="45">
        <v>10</v>
      </c>
      <c r="F100" s="45">
        <v>10</v>
      </c>
      <c r="G100" s="45">
        <v>10</v>
      </c>
      <c r="M100" s="53"/>
      <c r="O100" s="46" t="s">
        <v>3961</v>
      </c>
      <c r="V100" s="45" t="s">
        <v>3949</v>
      </c>
      <c r="W100" s="45">
        <v>30</v>
      </c>
    </row>
    <row r="101" spans="2:23" x14ac:dyDescent="0.35">
      <c r="I101" s="45" t="s">
        <v>3906</v>
      </c>
      <c r="K101" s="45">
        <f>K99*3.5%</f>
        <v>6.1005000000000011</v>
      </c>
      <c r="V101" s="45" t="s">
        <v>3799</v>
      </c>
      <c r="W101" s="45">
        <v>0</v>
      </c>
    </row>
    <row r="102" spans="2:23" x14ac:dyDescent="0.35">
      <c r="B102" s="45" t="s">
        <v>3908</v>
      </c>
      <c r="C102" s="45">
        <f>$T$115</f>
        <v>94.779039999999995</v>
      </c>
      <c r="D102" s="45">
        <f>$C$74</f>
        <v>94.779039999999995</v>
      </c>
      <c r="E102" s="45">
        <f>$C$74</f>
        <v>94.779039999999995</v>
      </c>
      <c r="F102" s="45">
        <f>$C$74</f>
        <v>94.779039999999995</v>
      </c>
      <c r="G102" s="45">
        <f>$C$74</f>
        <v>94.779039999999995</v>
      </c>
      <c r="M102" s="53"/>
      <c r="O102" s="892" t="s">
        <v>3661</v>
      </c>
      <c r="P102" s="45">
        <v>50</v>
      </c>
      <c r="Q102" s="45">
        <f t="shared" ref="Q102:Q108" si="4">P102*12</f>
        <v>600</v>
      </c>
      <c r="T102" s="45">
        <f t="shared" ref="T102:T110" si="5">Q102/$Y$62</f>
        <v>2.4</v>
      </c>
      <c r="V102" s="45" t="s">
        <v>3803</v>
      </c>
    </row>
    <row r="103" spans="2:23" x14ac:dyDescent="0.35">
      <c r="I103" s="45" t="s">
        <v>3962</v>
      </c>
      <c r="J103" s="45">
        <v>6</v>
      </c>
      <c r="K103" s="53">
        <f>SUM(K93+K94+K95+K96)*J103</f>
        <v>12</v>
      </c>
      <c r="O103" s="892" t="s">
        <v>3662</v>
      </c>
      <c r="P103" s="45">
        <v>35</v>
      </c>
      <c r="Q103" s="45">
        <f t="shared" si="4"/>
        <v>420</v>
      </c>
      <c r="T103" s="45">
        <f t="shared" si="5"/>
        <v>1.68</v>
      </c>
      <c r="V103" s="45" t="s">
        <v>3951</v>
      </c>
    </row>
    <row r="104" spans="2:23" ht="13.15" customHeight="1" x14ac:dyDescent="0.4">
      <c r="B104" s="45" t="s">
        <v>524</v>
      </c>
      <c r="D104" s="46">
        <f>SUM(D94:D103)</f>
        <v>129.77904000000001</v>
      </c>
      <c r="E104" s="46">
        <f>SUM(E94:E103)</f>
        <v>129.77904000000001</v>
      </c>
      <c r="F104" s="46">
        <f>SUM(F94:F103)</f>
        <v>129.77904000000001</v>
      </c>
      <c r="G104" s="46">
        <f>SUM(G94:G103)</f>
        <v>129.77904000000001</v>
      </c>
      <c r="I104" s="46"/>
      <c r="O104" s="893" t="s">
        <v>3818</v>
      </c>
      <c r="P104" s="45">
        <v>7</v>
      </c>
      <c r="Q104" s="45">
        <f t="shared" si="4"/>
        <v>84</v>
      </c>
      <c r="T104" s="45">
        <f t="shared" si="5"/>
        <v>0.33600000000000002</v>
      </c>
      <c r="V104" s="45" t="s">
        <v>3829</v>
      </c>
      <c r="W104" s="45">
        <v>35</v>
      </c>
    </row>
    <row r="105" spans="2:23" x14ac:dyDescent="0.35">
      <c r="I105" s="45" t="s">
        <v>3721</v>
      </c>
      <c r="J105" s="45">
        <v>30</v>
      </c>
      <c r="K105" s="45">
        <f>J105*1</f>
        <v>30</v>
      </c>
      <c r="O105" s="892" t="s">
        <v>3963</v>
      </c>
      <c r="Q105" s="45">
        <f t="shared" si="4"/>
        <v>0</v>
      </c>
      <c r="T105" s="45">
        <f t="shared" si="5"/>
        <v>0</v>
      </c>
      <c r="V105" s="45" t="s">
        <v>3661</v>
      </c>
      <c r="W105" s="45">
        <v>77</v>
      </c>
    </row>
    <row r="106" spans="2:23" ht="13.15" customHeight="1" x14ac:dyDescent="0.4">
      <c r="B106" s="46" t="s">
        <v>3755</v>
      </c>
      <c r="C106" s="46"/>
      <c r="D106" s="62">
        <f>D92-D104</f>
        <v>-129.77904000000001</v>
      </c>
      <c r="E106" s="62">
        <f>E92-E104</f>
        <v>-129.77904000000001</v>
      </c>
      <c r="F106" s="62">
        <f>F92-F104</f>
        <v>-129.77904000000001</v>
      </c>
      <c r="G106" s="62">
        <f>G92-G104</f>
        <v>-129.77904000000001</v>
      </c>
      <c r="N106" s="46"/>
      <c r="O106" s="892" t="s">
        <v>3964</v>
      </c>
      <c r="P106" s="45">
        <v>2</v>
      </c>
      <c r="Q106" s="45">
        <f t="shared" si="4"/>
        <v>24</v>
      </c>
      <c r="T106" s="45">
        <f t="shared" si="5"/>
        <v>9.6000000000000002E-2</v>
      </c>
      <c r="V106" s="45" t="s">
        <v>3662</v>
      </c>
      <c r="W106" s="45">
        <v>70</v>
      </c>
    </row>
    <row r="107" spans="2:23" x14ac:dyDescent="0.35">
      <c r="I107" s="45" t="s">
        <v>533</v>
      </c>
      <c r="J107" s="45">
        <v>20</v>
      </c>
      <c r="K107" s="45">
        <f>J107*1</f>
        <v>20</v>
      </c>
      <c r="O107" s="892" t="s">
        <v>3769</v>
      </c>
      <c r="P107" s="45">
        <v>7</v>
      </c>
      <c r="Q107" s="45">
        <f t="shared" si="4"/>
        <v>84</v>
      </c>
      <c r="T107" s="45">
        <f t="shared" si="5"/>
        <v>0.33600000000000002</v>
      </c>
      <c r="V107" s="45" t="s">
        <v>3818</v>
      </c>
      <c r="W107" s="45">
        <v>6.6658333333333326</v>
      </c>
    </row>
    <row r="108" spans="2:23" ht="13.15" customHeight="1" x14ac:dyDescent="0.4">
      <c r="C108" s="53"/>
      <c r="D108" s="50" t="e">
        <f>D106/D92</f>
        <v>#DIV/0!</v>
      </c>
      <c r="E108" s="50" t="e">
        <f>E106/E92</f>
        <v>#DIV/0!</v>
      </c>
      <c r="F108" s="50" t="e">
        <f>F106/F92</f>
        <v>#DIV/0!</v>
      </c>
      <c r="G108" s="50" t="e">
        <f>G106/G92</f>
        <v>#DIV/0!</v>
      </c>
      <c r="N108" s="58"/>
      <c r="O108" s="894" t="s">
        <v>3965</v>
      </c>
      <c r="P108" s="45">
        <v>100</v>
      </c>
      <c r="Q108" s="45">
        <f t="shared" si="4"/>
        <v>1200</v>
      </c>
      <c r="T108" s="45">
        <f t="shared" si="5"/>
        <v>4.8</v>
      </c>
      <c r="V108" s="45" t="s">
        <v>3963</v>
      </c>
      <c r="W108" s="45">
        <v>6.666666666666667</v>
      </c>
    </row>
    <row r="109" spans="2:23" x14ac:dyDescent="0.35">
      <c r="I109" s="45" t="s">
        <v>3908</v>
      </c>
      <c r="J109" s="45">
        <f>$T$115</f>
        <v>94.779039999999995</v>
      </c>
      <c r="K109" s="45">
        <f>SUM(K93+K94+K95+K96)*J109</f>
        <v>189.55807999999999</v>
      </c>
      <c r="T109" s="45">
        <f t="shared" si="5"/>
        <v>0</v>
      </c>
      <c r="V109" s="45" t="s">
        <v>3964</v>
      </c>
      <c r="W109" s="45">
        <v>1</v>
      </c>
    </row>
    <row r="110" spans="2:23" x14ac:dyDescent="0.35">
      <c r="B110" s="45" t="s">
        <v>3911</v>
      </c>
      <c r="C110" s="61">
        <v>4</v>
      </c>
      <c r="D110" s="45">
        <f>C110*25</f>
        <v>100</v>
      </c>
      <c r="E110" s="45">
        <f>C110*25</f>
        <v>100</v>
      </c>
      <c r="F110" s="45">
        <f>C110*25</f>
        <v>100</v>
      </c>
      <c r="G110" s="45">
        <f>C110*25</f>
        <v>100</v>
      </c>
      <c r="N110" s="50"/>
      <c r="T110" s="45">
        <f t="shared" si="5"/>
        <v>0</v>
      </c>
      <c r="V110" s="45" t="s">
        <v>3769</v>
      </c>
      <c r="W110" s="45">
        <v>6.583333333333333</v>
      </c>
    </row>
    <row r="111" spans="2:23" ht="13.15" customHeight="1" x14ac:dyDescent="0.4">
      <c r="B111" s="46"/>
      <c r="C111" s="46"/>
      <c r="D111" s="46"/>
      <c r="E111" s="46"/>
      <c r="I111" s="46" t="s">
        <v>524</v>
      </c>
      <c r="K111" s="46">
        <f>SUM(K101:K110)</f>
        <v>257.65857999999997</v>
      </c>
      <c r="L111" s="46"/>
      <c r="M111" s="46"/>
    </row>
    <row r="112" spans="2:23" ht="13.15" customHeight="1" x14ac:dyDescent="0.4">
      <c r="O112" s="46" t="s">
        <v>3966</v>
      </c>
      <c r="P112" s="46">
        <f>SUM(P100:P111)</f>
        <v>201</v>
      </c>
      <c r="Q112" s="46">
        <f>SUM(Q100:Q111)</f>
        <v>2412</v>
      </c>
      <c r="R112" s="46"/>
      <c r="S112" s="46"/>
      <c r="T112" s="46">
        <f>SUM(T100:T111)</f>
        <v>9.6479999999999997</v>
      </c>
    </row>
    <row r="113" spans="2:23" ht="13.15" customHeight="1" x14ac:dyDescent="0.4">
      <c r="B113" s="45" t="s">
        <v>3914</v>
      </c>
      <c r="D113" s="45">
        <f>D106-D110</f>
        <v>-229.77904000000001</v>
      </c>
      <c r="E113" s="45">
        <f>E106-E110</f>
        <v>-229.77904000000001</v>
      </c>
      <c r="F113" s="45">
        <f>F106-F110</f>
        <v>-229.77904000000001</v>
      </c>
      <c r="G113" s="45">
        <f>G106-G110</f>
        <v>-229.77904000000001</v>
      </c>
      <c r="I113" s="46" t="s">
        <v>3755</v>
      </c>
      <c r="J113" s="46"/>
      <c r="K113" s="62">
        <f>K99-K111</f>
        <v>-83.358579999999961</v>
      </c>
      <c r="L113" s="62"/>
      <c r="M113" s="58"/>
    </row>
    <row r="114" spans="2:23" x14ac:dyDescent="0.35">
      <c r="D114" s="50" t="e">
        <f>D113/D92</f>
        <v>#DIV/0!</v>
      </c>
      <c r="E114" s="50" t="e">
        <f>E113/E92</f>
        <v>#DIV/0!</v>
      </c>
      <c r="F114" s="50" t="e">
        <f>F113/F92</f>
        <v>#DIV/0!</v>
      </c>
      <c r="G114" s="50" t="e">
        <f>G113/G92</f>
        <v>#DIV/0!</v>
      </c>
      <c r="O114" s="50"/>
      <c r="W114" s="45">
        <f>SUM(W78:W113)</f>
        <v>562.89583333333337</v>
      </c>
    </row>
    <row r="115" spans="2:23" ht="13.5" customHeight="1" thickBot="1" x14ac:dyDescent="0.45">
      <c r="J115" s="53"/>
      <c r="K115" s="50">
        <f>K113/K99</f>
        <v>-0.47824773379231184</v>
      </c>
      <c r="L115" s="50"/>
      <c r="M115" s="50"/>
      <c r="O115" s="733" t="s">
        <v>3967</v>
      </c>
      <c r="P115" s="733">
        <f>P98+P112</f>
        <v>1974.5633333333335</v>
      </c>
      <c r="Q115" s="733">
        <f>Q98+Q112</f>
        <v>23694.760000000002</v>
      </c>
      <c r="R115" s="733"/>
      <c r="S115" s="733"/>
      <c r="T115" s="733">
        <f>T98+T112</f>
        <v>94.779039999999995</v>
      </c>
    </row>
    <row r="116" spans="2:23" ht="13.15" customHeight="1" thickTop="1" x14ac:dyDescent="0.35">
      <c r="N116" s="50"/>
    </row>
    <row r="117" spans="2:23" ht="13.15" customHeight="1" x14ac:dyDescent="0.4">
      <c r="B117" s="46" t="s">
        <v>2910</v>
      </c>
      <c r="C117" s="53"/>
      <c r="D117" s="51">
        <v>1</v>
      </c>
      <c r="E117" s="51">
        <v>3</v>
      </c>
      <c r="F117" s="51">
        <v>4</v>
      </c>
      <c r="G117" s="51">
        <v>6</v>
      </c>
      <c r="I117" s="45" t="s">
        <v>3911</v>
      </c>
      <c r="J117" s="61">
        <v>8</v>
      </c>
      <c r="K117" s="45">
        <f>J117*P25</f>
        <v>200</v>
      </c>
      <c r="O117" s="51"/>
    </row>
    <row r="118" spans="2:23" ht="13.15" customHeight="1" x14ac:dyDescent="0.4">
      <c r="B118" s="46"/>
      <c r="C118" s="46"/>
      <c r="D118" s="46"/>
      <c r="E118" s="46"/>
      <c r="F118" s="46"/>
      <c r="G118" s="46"/>
      <c r="I118" s="46"/>
      <c r="J118" s="46"/>
      <c r="K118" s="46"/>
      <c r="L118" s="46"/>
      <c r="O118" s="66" t="s">
        <v>3968</v>
      </c>
      <c r="P118" s="559">
        <f>P98+P112-P95</f>
        <v>714.5633333333335</v>
      </c>
      <c r="Q118" s="559">
        <f>P118*12</f>
        <v>8574.760000000002</v>
      </c>
      <c r="R118" s="559"/>
      <c r="S118" s="559"/>
      <c r="T118" s="559">
        <f>Q118/$Y$62</f>
        <v>34.299040000000005</v>
      </c>
      <c r="U118" s="559"/>
    </row>
    <row r="119" spans="2:23" x14ac:dyDescent="0.35">
      <c r="B119" s="45" t="s">
        <v>3903</v>
      </c>
      <c r="C119" s="53">
        <f>P15</f>
        <v>0</v>
      </c>
      <c r="D119" s="53">
        <f>C119*D117</f>
        <v>0</v>
      </c>
      <c r="E119" s="53">
        <f>C119*E117</f>
        <v>0</v>
      </c>
      <c r="F119" s="63">
        <f>C119*F117</f>
        <v>0</v>
      </c>
      <c r="G119" s="63">
        <f>C119*G117</f>
        <v>0</v>
      </c>
      <c r="N119" s="51"/>
      <c r="O119" s="63"/>
    </row>
    <row r="120" spans="2:23" ht="13.15" customHeight="1" x14ac:dyDescent="0.4">
      <c r="B120" s="45" t="s">
        <v>3904</v>
      </c>
      <c r="C120" s="64">
        <v>0.3</v>
      </c>
      <c r="D120" s="53">
        <f>D119*C120</f>
        <v>0</v>
      </c>
      <c r="E120" s="53">
        <f>E119*C120</f>
        <v>0</v>
      </c>
      <c r="F120" s="63">
        <f>F119*C120</f>
        <v>0</v>
      </c>
      <c r="G120" s="63">
        <f>G119*C120</f>
        <v>0</v>
      </c>
      <c r="I120" s="45" t="s">
        <v>3914</v>
      </c>
      <c r="K120" s="45">
        <f>K99-K111-K117</f>
        <v>-283.35857999999996</v>
      </c>
      <c r="N120" s="46"/>
      <c r="O120" s="63"/>
    </row>
    <row r="121" spans="2:23" ht="13.15" customHeight="1" x14ac:dyDescent="0.4">
      <c r="B121" s="46" t="s">
        <v>3905</v>
      </c>
      <c r="C121" s="58"/>
      <c r="D121" s="62">
        <f>D119-D120</f>
        <v>0</v>
      </c>
      <c r="E121" s="62">
        <f>E119-E120</f>
        <v>0</v>
      </c>
      <c r="F121" s="62">
        <f>F119-F120</f>
        <v>0</v>
      </c>
      <c r="G121" s="62">
        <f>G119-G120</f>
        <v>0</v>
      </c>
      <c r="I121" s="46"/>
      <c r="K121" s="50"/>
      <c r="L121" s="50"/>
      <c r="M121" s="50"/>
      <c r="N121" s="63"/>
      <c r="O121" s="58"/>
    </row>
    <row r="122" spans="2:23" x14ac:dyDescent="0.35">
      <c r="F122" s="53"/>
      <c r="G122" s="53"/>
      <c r="N122" s="63"/>
      <c r="O122" s="53"/>
    </row>
    <row r="123" spans="2:23" ht="13.15" customHeight="1" x14ac:dyDescent="0.4">
      <c r="B123" s="45" t="s">
        <v>3906</v>
      </c>
      <c r="D123" s="45">
        <f>D121*3.5%</f>
        <v>0</v>
      </c>
      <c r="E123" s="45">
        <f>E121*3.5%</f>
        <v>0</v>
      </c>
      <c r="F123" s="45">
        <f>F121*3.5%</f>
        <v>0</v>
      </c>
      <c r="G123" s="45">
        <f>G121*3.5%</f>
        <v>0</v>
      </c>
      <c r="I123" s="46"/>
      <c r="J123" s="58"/>
      <c r="K123" s="58"/>
      <c r="L123" s="58"/>
      <c r="M123" s="58"/>
      <c r="N123" s="58"/>
    </row>
    <row r="124" spans="2:23" x14ac:dyDescent="0.35">
      <c r="F124" s="53"/>
      <c r="G124" s="53"/>
      <c r="M124" s="53"/>
      <c r="N124" s="53"/>
      <c r="O124" s="53"/>
    </row>
    <row r="125" spans="2:23" x14ac:dyDescent="0.35">
      <c r="B125" s="45" t="s">
        <v>3907</v>
      </c>
      <c r="C125" s="45">
        <v>0</v>
      </c>
      <c r="D125" s="45">
        <v>0</v>
      </c>
      <c r="E125" s="45">
        <v>0</v>
      </c>
      <c r="F125" s="45">
        <v>0</v>
      </c>
      <c r="G125" s="45">
        <v>0</v>
      </c>
    </row>
    <row r="126" spans="2:23" ht="13.15" customHeight="1" x14ac:dyDescent="0.4">
      <c r="B126" s="46"/>
      <c r="I126" s="46"/>
    </row>
    <row r="127" spans="2:23" x14ac:dyDescent="0.35">
      <c r="B127" s="45" t="s">
        <v>3721</v>
      </c>
      <c r="C127" s="45">
        <v>100</v>
      </c>
      <c r="D127" s="45">
        <v>10</v>
      </c>
      <c r="E127" s="45">
        <v>10</v>
      </c>
      <c r="F127" s="45">
        <v>10</v>
      </c>
      <c r="G127" s="45">
        <v>10</v>
      </c>
    </row>
    <row r="129" spans="2:7" x14ac:dyDescent="0.35">
      <c r="B129" s="45" t="s">
        <v>533</v>
      </c>
      <c r="C129" s="45">
        <v>30</v>
      </c>
      <c r="D129" s="45">
        <v>0</v>
      </c>
      <c r="E129" s="45">
        <v>0</v>
      </c>
      <c r="F129" s="45">
        <v>0</v>
      </c>
      <c r="G129" s="45">
        <v>0</v>
      </c>
    </row>
    <row r="131" spans="2:7" x14ac:dyDescent="0.35">
      <c r="B131" s="45" t="s">
        <v>3908</v>
      </c>
      <c r="C131" s="45">
        <f>$T$115</f>
        <v>94.779039999999995</v>
      </c>
      <c r="D131" s="45">
        <f>$C$74</f>
        <v>94.779039999999995</v>
      </c>
      <c r="E131" s="45">
        <f>$C$74</f>
        <v>94.779039999999995</v>
      </c>
      <c r="F131" s="45">
        <f>$C$74</f>
        <v>94.779039999999995</v>
      </c>
      <c r="G131" s="45">
        <f>$C$74</f>
        <v>94.779039999999995</v>
      </c>
    </row>
    <row r="133" spans="2:7" ht="13.15" customHeight="1" x14ac:dyDescent="0.4">
      <c r="B133" s="45" t="s">
        <v>524</v>
      </c>
      <c r="D133" s="46">
        <f>SUM(D123:D132)</f>
        <v>104.77903999999999</v>
      </c>
      <c r="E133" s="46">
        <f>SUM(E123:E132)</f>
        <v>104.77903999999999</v>
      </c>
      <c r="F133" s="46">
        <f>SUM(F123:F132)</f>
        <v>104.77903999999999</v>
      </c>
      <c r="G133" s="46">
        <f>SUM(G123:G132)</f>
        <v>104.77903999999999</v>
      </c>
    </row>
    <row r="135" spans="2:7" ht="13.15" customHeight="1" x14ac:dyDescent="0.4">
      <c r="B135" s="46" t="s">
        <v>3755</v>
      </c>
      <c r="C135" s="46"/>
      <c r="D135" s="62">
        <f>D121-D133</f>
        <v>-104.77903999999999</v>
      </c>
      <c r="E135" s="62">
        <f>E121-E133</f>
        <v>-104.77903999999999</v>
      </c>
      <c r="F135" s="62">
        <f>F121-F133</f>
        <v>-104.77903999999999</v>
      </c>
      <c r="G135" s="62">
        <f>G121-G133</f>
        <v>-104.77903999999999</v>
      </c>
    </row>
    <row r="137" spans="2:7" x14ac:dyDescent="0.35">
      <c r="C137" s="53"/>
      <c r="D137" s="50" t="e">
        <f>D135/D121</f>
        <v>#DIV/0!</v>
      </c>
      <c r="E137" s="50" t="e">
        <f>E135/E121</f>
        <v>#DIV/0!</v>
      </c>
      <c r="F137" s="50" t="e">
        <f>F135/F121</f>
        <v>#DIV/0!</v>
      </c>
      <c r="G137" s="50" t="e">
        <f>G135/G121</f>
        <v>#DIV/0!</v>
      </c>
    </row>
    <row r="139" spans="2:7" x14ac:dyDescent="0.35">
      <c r="B139" s="45" t="s">
        <v>3911</v>
      </c>
      <c r="C139" s="61">
        <v>2.5</v>
      </c>
      <c r="D139" s="45">
        <f>C139*25</f>
        <v>62.5</v>
      </c>
      <c r="E139" s="45">
        <f>C139*25</f>
        <v>62.5</v>
      </c>
      <c r="F139" s="45">
        <f>C139*25</f>
        <v>62.5</v>
      </c>
      <c r="G139" s="45">
        <f>C139*25</f>
        <v>62.5</v>
      </c>
    </row>
    <row r="140" spans="2:7" ht="13.15" customHeight="1" x14ac:dyDescent="0.4">
      <c r="B140" s="46"/>
      <c r="C140" s="46"/>
      <c r="D140" s="46"/>
      <c r="E140" s="46"/>
    </row>
    <row r="142" spans="2:7" x14ac:dyDescent="0.35">
      <c r="B142" s="45" t="s">
        <v>3914</v>
      </c>
      <c r="D142" s="45">
        <f>D135-D139</f>
        <v>-167.27904000000001</v>
      </c>
      <c r="E142" s="45">
        <f>E135-E139</f>
        <v>-167.27904000000001</v>
      </c>
      <c r="F142" s="45">
        <f>F135-F139</f>
        <v>-167.27904000000001</v>
      </c>
      <c r="G142" s="45">
        <f>G135-G139</f>
        <v>-167.27904000000001</v>
      </c>
    </row>
    <row r="143" spans="2:7" x14ac:dyDescent="0.35">
      <c r="D143" s="50" t="e">
        <f>D142/D121</f>
        <v>#DIV/0!</v>
      </c>
      <c r="E143" s="50" t="e">
        <f>E142/E121</f>
        <v>#DIV/0!</v>
      </c>
      <c r="F143" s="50" t="e">
        <f>F142/F121</f>
        <v>#DIV/0!</v>
      </c>
      <c r="G143" s="50" t="e">
        <f>G142/G121</f>
        <v>#DIV/0!</v>
      </c>
    </row>
    <row r="147" spans="2:7" ht="13.15" customHeight="1" x14ac:dyDescent="0.4">
      <c r="B147" s="46" t="s">
        <v>1924</v>
      </c>
      <c r="C147" s="53"/>
      <c r="D147" s="51">
        <v>5</v>
      </c>
      <c r="E147" s="51">
        <v>6</v>
      </c>
      <c r="F147" s="51">
        <v>9</v>
      </c>
      <c r="G147" s="51">
        <v>12</v>
      </c>
    </row>
    <row r="148" spans="2:7" ht="13.15" customHeight="1" x14ac:dyDescent="0.4">
      <c r="B148" s="46"/>
      <c r="C148" s="46"/>
      <c r="D148" s="46"/>
      <c r="E148" s="46"/>
      <c r="F148" s="46"/>
      <c r="G148" s="46"/>
    </row>
    <row r="149" spans="2:7" x14ac:dyDescent="0.35">
      <c r="B149" s="45" t="s">
        <v>3903</v>
      </c>
      <c r="C149" s="53">
        <f>P31</f>
        <v>30</v>
      </c>
      <c r="D149" s="53">
        <f>C149*D147</f>
        <v>150</v>
      </c>
      <c r="E149" s="53">
        <f>C149*E147</f>
        <v>180</v>
      </c>
      <c r="F149" s="63">
        <f>C149*F147</f>
        <v>270</v>
      </c>
      <c r="G149" s="63">
        <f>C149*G147</f>
        <v>360</v>
      </c>
    </row>
    <row r="150" spans="2:7" x14ac:dyDescent="0.35">
      <c r="B150" s="45" t="s">
        <v>3904</v>
      </c>
      <c r="C150" s="64">
        <v>0</v>
      </c>
      <c r="D150" s="53">
        <f>D149*C150</f>
        <v>0</v>
      </c>
      <c r="E150" s="53">
        <f>E149*C150</f>
        <v>0</v>
      </c>
      <c r="F150" s="63">
        <f>F149*C150</f>
        <v>0</v>
      </c>
      <c r="G150" s="63">
        <f>G149*C150</f>
        <v>0</v>
      </c>
    </row>
    <row r="151" spans="2:7" ht="13.15" customHeight="1" x14ac:dyDescent="0.4">
      <c r="B151" s="46" t="s">
        <v>3905</v>
      </c>
      <c r="C151" s="58"/>
      <c r="D151" s="62">
        <f>D149-D150</f>
        <v>150</v>
      </c>
      <c r="E151" s="62">
        <f>E149-E150</f>
        <v>180</v>
      </c>
      <c r="F151" s="62">
        <f>F149-F150</f>
        <v>270</v>
      </c>
      <c r="G151" s="62">
        <f>G149-G150</f>
        <v>360</v>
      </c>
    </row>
    <row r="152" spans="2:7" x14ac:dyDescent="0.35">
      <c r="F152" s="53"/>
      <c r="G152" s="53"/>
    </row>
    <row r="153" spans="2:7" x14ac:dyDescent="0.35">
      <c r="B153" s="45" t="s">
        <v>3906</v>
      </c>
      <c r="D153" s="45">
        <f>D151*3.5%</f>
        <v>5.2500000000000009</v>
      </c>
      <c r="E153" s="45">
        <f>E151*3.5%</f>
        <v>6.3000000000000007</v>
      </c>
      <c r="F153" s="45">
        <f>F151*3.5%</f>
        <v>9.4500000000000011</v>
      </c>
      <c r="G153" s="45">
        <f>G151*3.5%</f>
        <v>12.600000000000001</v>
      </c>
    </row>
    <row r="154" spans="2:7" x14ac:dyDescent="0.35">
      <c r="F154" s="53"/>
      <c r="G154" s="53"/>
    </row>
    <row r="155" spans="2:7" x14ac:dyDescent="0.35">
      <c r="B155" s="45" t="s">
        <v>3860</v>
      </c>
      <c r="C155" s="45">
        <v>33</v>
      </c>
      <c r="D155" s="45">
        <f>$C155</f>
        <v>33</v>
      </c>
      <c r="E155" s="45">
        <f>$C155</f>
        <v>33</v>
      </c>
      <c r="F155" s="45">
        <f>$C155</f>
        <v>33</v>
      </c>
      <c r="G155" s="45">
        <f>$C155</f>
        <v>33</v>
      </c>
    </row>
    <row r="156" spans="2:7" ht="13.15" customHeight="1" x14ac:dyDescent="0.4">
      <c r="B156" s="46"/>
    </row>
    <row r="157" spans="2:7" x14ac:dyDescent="0.35">
      <c r="B157" s="45" t="s">
        <v>3721</v>
      </c>
      <c r="C157" s="45">
        <v>10</v>
      </c>
      <c r="D157" s="45">
        <f>$C157</f>
        <v>10</v>
      </c>
      <c r="E157" s="45">
        <f>$C157</f>
        <v>10</v>
      </c>
      <c r="F157" s="45">
        <f>$C157</f>
        <v>10</v>
      </c>
      <c r="G157" s="45">
        <f>$C157</f>
        <v>10</v>
      </c>
    </row>
    <row r="159" spans="2:7" x14ac:dyDescent="0.35">
      <c r="B159" s="45" t="s">
        <v>533</v>
      </c>
      <c r="C159" s="45">
        <v>2</v>
      </c>
      <c r="D159" s="45">
        <f>$C159</f>
        <v>2</v>
      </c>
      <c r="E159" s="45">
        <f>$C159</f>
        <v>2</v>
      </c>
      <c r="F159" s="45">
        <f>$C159</f>
        <v>2</v>
      </c>
      <c r="G159" s="45">
        <f>$C159</f>
        <v>2</v>
      </c>
    </row>
    <row r="161" spans="2:7" x14ac:dyDescent="0.35">
      <c r="B161" s="45" t="s">
        <v>3969</v>
      </c>
      <c r="C161" s="45">
        <v>1</v>
      </c>
      <c r="D161" s="45">
        <f>$C161*D147</f>
        <v>5</v>
      </c>
      <c r="E161" s="45">
        <f>$C161*E147</f>
        <v>6</v>
      </c>
      <c r="F161" s="45">
        <f>$C161*F147</f>
        <v>9</v>
      </c>
      <c r="G161" s="45">
        <f>$C161*G147</f>
        <v>12</v>
      </c>
    </row>
    <row r="163" spans="2:7" x14ac:dyDescent="0.35">
      <c r="B163" s="45" t="s">
        <v>3970</v>
      </c>
      <c r="C163" s="45">
        <f>$T$115</f>
        <v>94.779039999999995</v>
      </c>
      <c r="D163" s="45">
        <f>$C$74</f>
        <v>94.779039999999995</v>
      </c>
      <c r="E163" s="45">
        <f>$C$74</f>
        <v>94.779039999999995</v>
      </c>
      <c r="F163" s="45">
        <f>$C$74</f>
        <v>94.779039999999995</v>
      </c>
      <c r="G163" s="45">
        <f>$C$74</f>
        <v>94.779039999999995</v>
      </c>
    </row>
    <row r="165" spans="2:7" ht="13.15" customHeight="1" x14ac:dyDescent="0.4">
      <c r="B165" s="45" t="s">
        <v>524</v>
      </c>
      <c r="D165" s="46">
        <f>SUM(D153:D164)</f>
        <v>150.02904000000001</v>
      </c>
      <c r="E165" s="46">
        <f>SUM(E153:E164)</f>
        <v>152.07903999999999</v>
      </c>
      <c r="F165" s="46">
        <f>SUM(F153:F164)</f>
        <v>158.22904</v>
      </c>
      <c r="G165" s="46">
        <f>SUM(G153:G164)</f>
        <v>164.37903999999997</v>
      </c>
    </row>
    <row r="167" spans="2:7" ht="13.15" customHeight="1" x14ac:dyDescent="0.4">
      <c r="B167" s="46" t="s">
        <v>3755</v>
      </c>
      <c r="C167" s="46"/>
      <c r="D167" s="62">
        <f>D151-D165</f>
        <v>-2.9040000000009059E-2</v>
      </c>
      <c r="E167" s="62">
        <f>E151-E165</f>
        <v>27.920960000000008</v>
      </c>
      <c r="F167" s="62">
        <f>F151-F165</f>
        <v>111.77096</v>
      </c>
      <c r="G167" s="62">
        <f>G151-G165</f>
        <v>195.62096000000003</v>
      </c>
    </row>
    <row r="169" spans="2:7" x14ac:dyDescent="0.35">
      <c r="C169" s="53"/>
      <c r="D169" s="50">
        <f>D167/D151</f>
        <v>-1.9360000000006038E-4</v>
      </c>
      <c r="E169" s="50">
        <f>E167/E151</f>
        <v>0.1551164444444445</v>
      </c>
      <c r="F169" s="50">
        <f>F167/F151</f>
        <v>0.41396651851851851</v>
      </c>
      <c r="G169" s="50">
        <f>G167/G151</f>
        <v>0.54339155555555563</v>
      </c>
    </row>
    <row r="171" spans="2:7" x14ac:dyDescent="0.35">
      <c r="B171" s="45" t="s">
        <v>3911</v>
      </c>
      <c r="C171" s="61">
        <v>2.5</v>
      </c>
      <c r="D171" s="45">
        <f>C171*25</f>
        <v>62.5</v>
      </c>
      <c r="E171" s="45">
        <f>C171*25</f>
        <v>62.5</v>
      </c>
      <c r="F171" s="45">
        <f>C171*25</f>
        <v>62.5</v>
      </c>
      <c r="G171" s="45">
        <f>C171*25</f>
        <v>62.5</v>
      </c>
    </row>
    <row r="172" spans="2:7" ht="13.15" customHeight="1" x14ac:dyDescent="0.4">
      <c r="B172" s="46"/>
      <c r="C172" s="46"/>
      <c r="D172" s="46"/>
      <c r="E172" s="46"/>
    </row>
    <row r="174" spans="2:7" x14ac:dyDescent="0.35">
      <c r="B174" s="45" t="s">
        <v>3914</v>
      </c>
      <c r="D174" s="45">
        <f>D167-D171</f>
        <v>-62.529040000000009</v>
      </c>
      <c r="E174" s="45">
        <f>E167-E171</f>
        <v>-34.579039999999992</v>
      </c>
      <c r="F174" s="45">
        <f>F167-F171</f>
        <v>49.270960000000002</v>
      </c>
      <c r="G174" s="45">
        <f>G167-G171</f>
        <v>133.12096000000003</v>
      </c>
    </row>
    <row r="175" spans="2:7" x14ac:dyDescent="0.35">
      <c r="D175" s="50">
        <f>D174/D151</f>
        <v>-0.4168602666666667</v>
      </c>
      <c r="E175" s="50">
        <f>E174/E151</f>
        <v>-0.19210577777777774</v>
      </c>
      <c r="F175" s="50">
        <f>F174/F151</f>
        <v>0.18248503703703706</v>
      </c>
      <c r="G175" s="50">
        <f>G174/G151</f>
        <v>0.36978044444444452</v>
      </c>
    </row>
    <row r="178" spans="2:7" ht="13.15" customHeight="1" x14ac:dyDescent="0.4">
      <c r="B178" s="46" t="s">
        <v>2823</v>
      </c>
      <c r="C178" s="53"/>
      <c r="D178" s="51">
        <v>1</v>
      </c>
      <c r="E178" s="51">
        <v>2</v>
      </c>
      <c r="F178" s="51">
        <v>3</v>
      </c>
      <c r="G178" s="51">
        <v>4</v>
      </c>
    </row>
    <row r="179" spans="2:7" ht="13.15" customHeight="1" x14ac:dyDescent="0.4">
      <c r="B179" s="46"/>
      <c r="C179" s="46"/>
      <c r="D179" s="46"/>
      <c r="E179" s="46"/>
      <c r="F179" s="46"/>
      <c r="G179" s="46"/>
    </row>
    <row r="180" spans="2:7" x14ac:dyDescent="0.35">
      <c r="B180" s="45" t="s">
        <v>3903</v>
      </c>
      <c r="C180" s="53">
        <f>P32</f>
        <v>50</v>
      </c>
      <c r="D180" s="53">
        <f>C180*D178</f>
        <v>50</v>
      </c>
      <c r="E180" s="53">
        <f>C180*E178</f>
        <v>100</v>
      </c>
      <c r="F180" s="63">
        <f>C180*F178</f>
        <v>150</v>
      </c>
      <c r="G180" s="63">
        <f>C180*G178</f>
        <v>200</v>
      </c>
    </row>
    <row r="181" spans="2:7" x14ac:dyDescent="0.35">
      <c r="B181" s="45" t="s">
        <v>3904</v>
      </c>
      <c r="C181" s="64">
        <v>0.15</v>
      </c>
      <c r="D181" s="53">
        <f>D180*C181</f>
        <v>7.5</v>
      </c>
      <c r="E181" s="53">
        <f>E180*C181</f>
        <v>15</v>
      </c>
      <c r="F181" s="63">
        <f>F180*C181</f>
        <v>22.5</v>
      </c>
      <c r="G181" s="63">
        <f>G180*C181</f>
        <v>30</v>
      </c>
    </row>
    <row r="182" spans="2:7" ht="13.15" customHeight="1" x14ac:dyDescent="0.4">
      <c r="B182" s="46" t="s">
        <v>3905</v>
      </c>
      <c r="C182" s="58"/>
      <c r="D182" s="62">
        <f>D180-D181</f>
        <v>42.5</v>
      </c>
      <c r="E182" s="62">
        <f>E180-E181</f>
        <v>85</v>
      </c>
      <c r="F182" s="62">
        <f>F180-F181</f>
        <v>127.5</v>
      </c>
      <c r="G182" s="62">
        <f>G180-G181</f>
        <v>170</v>
      </c>
    </row>
    <row r="183" spans="2:7" x14ac:dyDescent="0.35">
      <c r="F183" s="53"/>
      <c r="G183" s="53"/>
    </row>
    <row r="184" spans="2:7" x14ac:dyDescent="0.35">
      <c r="B184" s="45" t="s">
        <v>3906</v>
      </c>
      <c r="D184" s="45">
        <f>D182*3.5%</f>
        <v>1.4875</v>
      </c>
      <c r="E184" s="45">
        <f>E182*3.5%</f>
        <v>2.9750000000000001</v>
      </c>
      <c r="F184" s="45">
        <f>F182*3.5%</f>
        <v>4.4625000000000004</v>
      </c>
      <c r="G184" s="45">
        <f>G182*3.5%</f>
        <v>5.95</v>
      </c>
    </row>
    <row r="185" spans="2:7" x14ac:dyDescent="0.35">
      <c r="F185" s="53"/>
      <c r="G185" s="53"/>
    </row>
    <row r="186" spans="2:7" x14ac:dyDescent="0.35">
      <c r="B186" s="45" t="s">
        <v>3860</v>
      </c>
      <c r="C186" s="45">
        <v>0</v>
      </c>
      <c r="D186" s="45">
        <f>$C186</f>
        <v>0</v>
      </c>
      <c r="E186" s="45">
        <f>$C186</f>
        <v>0</v>
      </c>
      <c r="F186" s="45">
        <f>$C186</f>
        <v>0</v>
      </c>
      <c r="G186" s="45">
        <f>$C186</f>
        <v>0</v>
      </c>
    </row>
    <row r="187" spans="2:7" ht="13.15" customHeight="1" x14ac:dyDescent="0.4">
      <c r="B187" s="46"/>
    </row>
    <row r="188" spans="2:7" x14ac:dyDescent="0.35">
      <c r="B188" s="45" t="s">
        <v>3721</v>
      </c>
      <c r="C188" s="45">
        <v>0</v>
      </c>
      <c r="D188" s="45">
        <f>$C188</f>
        <v>0</v>
      </c>
      <c r="E188" s="45">
        <f>$C188</f>
        <v>0</v>
      </c>
      <c r="F188" s="45">
        <f>$C188</f>
        <v>0</v>
      </c>
      <c r="G188" s="45">
        <f>$C188</f>
        <v>0</v>
      </c>
    </row>
    <row r="190" spans="2:7" x14ac:dyDescent="0.35">
      <c r="B190" s="45" t="s">
        <v>533</v>
      </c>
      <c r="C190" s="45">
        <v>2</v>
      </c>
      <c r="D190" s="45">
        <f>$C190</f>
        <v>2</v>
      </c>
      <c r="E190" s="45">
        <f>$C190</f>
        <v>2</v>
      </c>
      <c r="F190" s="45">
        <f>$C190</f>
        <v>2</v>
      </c>
      <c r="G190" s="45">
        <f>$C190</f>
        <v>2</v>
      </c>
    </row>
    <row r="192" spans="2:7" x14ac:dyDescent="0.35">
      <c r="B192" s="45" t="s">
        <v>3969</v>
      </c>
      <c r="C192" s="45">
        <v>1</v>
      </c>
      <c r="D192" s="45">
        <f>$C192*D178</f>
        <v>1</v>
      </c>
      <c r="E192" s="45">
        <f>$C192*E178</f>
        <v>2</v>
      </c>
      <c r="F192" s="45">
        <f>$C192*F178</f>
        <v>3</v>
      </c>
      <c r="G192" s="45">
        <f>$C192*G178</f>
        <v>4</v>
      </c>
    </row>
    <row r="194" spans="2:7" x14ac:dyDescent="0.35">
      <c r="B194" s="45" t="s">
        <v>3970</v>
      </c>
      <c r="C194" s="45">
        <f>$T$115</f>
        <v>94.779039999999995</v>
      </c>
      <c r="D194" s="45">
        <f>$C$74</f>
        <v>94.779039999999995</v>
      </c>
      <c r="E194" s="45">
        <f>$C$74</f>
        <v>94.779039999999995</v>
      </c>
      <c r="F194" s="45">
        <f>$C$74</f>
        <v>94.779039999999995</v>
      </c>
      <c r="G194" s="45">
        <f>$C$74</f>
        <v>94.779039999999995</v>
      </c>
    </row>
    <row r="196" spans="2:7" ht="13.15" customHeight="1" x14ac:dyDescent="0.4">
      <c r="B196" s="45" t="s">
        <v>524</v>
      </c>
      <c r="D196" s="46">
        <f>SUM(D184:D195)</f>
        <v>99.266539999999992</v>
      </c>
      <c r="E196" s="46">
        <f>SUM(E184:E195)</f>
        <v>101.75403999999999</v>
      </c>
      <c r="F196" s="46">
        <f>SUM(F184:F195)</f>
        <v>104.24154</v>
      </c>
      <c r="G196" s="46">
        <f>SUM(G184:G195)</f>
        <v>106.72904</v>
      </c>
    </row>
    <row r="198" spans="2:7" ht="13.15" customHeight="1" x14ac:dyDescent="0.4">
      <c r="B198" s="46" t="s">
        <v>3755</v>
      </c>
      <c r="C198" s="46"/>
      <c r="D198" s="62">
        <f>D182-D196</f>
        <v>-56.766539999999992</v>
      </c>
      <c r="E198" s="62">
        <f>E182-E196</f>
        <v>-16.754039999999989</v>
      </c>
      <c r="F198" s="62">
        <f>F182-F196</f>
        <v>23.258459999999999</v>
      </c>
      <c r="G198" s="62">
        <f>G182-G196</f>
        <v>63.270960000000002</v>
      </c>
    </row>
    <row r="200" spans="2:7" x14ac:dyDescent="0.35">
      <c r="C200" s="53"/>
      <c r="D200" s="50">
        <f>D198/D182</f>
        <v>-1.3356832941176469</v>
      </c>
      <c r="E200" s="50">
        <f>E198/E182</f>
        <v>-0.19710635294117634</v>
      </c>
      <c r="F200" s="50">
        <f>F198/F182</f>
        <v>0.18241929411764707</v>
      </c>
      <c r="G200" s="50">
        <f>G198/G182</f>
        <v>0.37218211764705883</v>
      </c>
    </row>
    <row r="202" spans="2:7" x14ac:dyDescent="0.35">
      <c r="B202" s="45" t="s">
        <v>3911</v>
      </c>
      <c r="C202" s="61">
        <v>2.5</v>
      </c>
      <c r="D202" s="45">
        <f>C202*25</f>
        <v>62.5</v>
      </c>
      <c r="E202" s="45">
        <f>C202*25</f>
        <v>62.5</v>
      </c>
      <c r="F202" s="45">
        <f>C202*25</f>
        <v>62.5</v>
      </c>
      <c r="G202" s="45">
        <f>C202*25</f>
        <v>62.5</v>
      </c>
    </row>
    <row r="203" spans="2:7" ht="13.15" customHeight="1" x14ac:dyDescent="0.4">
      <c r="B203" s="46"/>
      <c r="C203" s="46"/>
      <c r="D203" s="46"/>
      <c r="E203" s="46"/>
    </row>
    <row r="205" spans="2:7" x14ac:dyDescent="0.35">
      <c r="B205" s="45" t="s">
        <v>3914</v>
      </c>
      <c r="D205" s="45">
        <f>D198-D202</f>
        <v>-119.26653999999999</v>
      </c>
      <c r="E205" s="45">
        <f>E198-E202</f>
        <v>-79.254039999999989</v>
      </c>
      <c r="F205" s="45">
        <f>F198-F202</f>
        <v>-39.241540000000001</v>
      </c>
      <c r="G205" s="45">
        <f>G198-G202</f>
        <v>0.77096000000000231</v>
      </c>
    </row>
    <row r="206" spans="2:7" x14ac:dyDescent="0.35">
      <c r="D206" s="50">
        <f>D205/D182</f>
        <v>-2.8062715294117644</v>
      </c>
      <c r="E206" s="50">
        <f>E205/E182</f>
        <v>-0.93240047058823516</v>
      </c>
      <c r="F206" s="50">
        <f>F205/F182</f>
        <v>-0.30777678431372552</v>
      </c>
      <c r="G206" s="50">
        <f>G205/G182</f>
        <v>4.535058823529425E-3</v>
      </c>
    </row>
    <row r="209" spans="2:7" ht="13.15" customHeight="1" x14ac:dyDescent="0.4">
      <c r="B209" s="46" t="s">
        <v>3971</v>
      </c>
      <c r="C209" s="53"/>
      <c r="D209" s="51">
        <v>4</v>
      </c>
      <c r="E209" s="51">
        <v>6</v>
      </c>
      <c r="F209" s="51">
        <v>8</v>
      </c>
      <c r="G209" s="51">
        <v>12</v>
      </c>
    </row>
    <row r="210" spans="2:7" ht="13.15" customHeight="1" x14ac:dyDescent="0.4">
      <c r="B210" s="46"/>
      <c r="C210" s="46"/>
      <c r="D210" s="46"/>
      <c r="E210" s="46"/>
      <c r="F210" s="46"/>
      <c r="G210" s="46"/>
    </row>
    <row r="211" spans="2:7" x14ac:dyDescent="0.35">
      <c r="B211" s="45" t="s">
        <v>3903</v>
      </c>
      <c r="C211" s="53">
        <v>250</v>
      </c>
      <c r="D211" s="53">
        <f>C211*D209</f>
        <v>1000</v>
      </c>
      <c r="E211" s="53">
        <f>C211*E209</f>
        <v>1500</v>
      </c>
      <c r="F211" s="63">
        <f>C211*F209</f>
        <v>2000</v>
      </c>
      <c r="G211" s="63">
        <f>C211*G209</f>
        <v>3000</v>
      </c>
    </row>
    <row r="212" spans="2:7" x14ac:dyDescent="0.35">
      <c r="B212" s="45" t="s">
        <v>3904</v>
      </c>
      <c r="C212" s="64">
        <v>0.25</v>
      </c>
      <c r="D212" s="53">
        <f>D211*C212</f>
        <v>250</v>
      </c>
      <c r="E212" s="53">
        <f>E211*C212</f>
        <v>375</v>
      </c>
      <c r="F212" s="63">
        <f>F211*C212</f>
        <v>500</v>
      </c>
      <c r="G212" s="63">
        <f>G211*C212</f>
        <v>750</v>
      </c>
    </row>
    <row r="213" spans="2:7" ht="13.15" customHeight="1" x14ac:dyDescent="0.4">
      <c r="B213" s="46" t="s">
        <v>3905</v>
      </c>
      <c r="C213" s="58"/>
      <c r="D213" s="62">
        <f>D211-D212</f>
        <v>750</v>
      </c>
      <c r="E213" s="62">
        <f>E211-E212</f>
        <v>1125</v>
      </c>
      <c r="F213" s="62">
        <f>F211-F212</f>
        <v>1500</v>
      </c>
      <c r="G213" s="62">
        <f>G211-G212</f>
        <v>2250</v>
      </c>
    </row>
    <row r="214" spans="2:7" x14ac:dyDescent="0.35">
      <c r="F214" s="53"/>
      <c r="G214" s="53"/>
    </row>
    <row r="215" spans="2:7" x14ac:dyDescent="0.35">
      <c r="B215" s="45" t="s">
        <v>3906</v>
      </c>
      <c r="D215" s="45">
        <f>D213*3.5%</f>
        <v>26.250000000000004</v>
      </c>
      <c r="E215" s="45">
        <f>E213*3.5%</f>
        <v>39.375000000000007</v>
      </c>
      <c r="F215" s="45">
        <f>F213*3.5%</f>
        <v>52.500000000000007</v>
      </c>
      <c r="G215" s="45">
        <f>G213*3.5%</f>
        <v>78.750000000000014</v>
      </c>
    </row>
    <row r="216" spans="2:7" x14ac:dyDescent="0.35">
      <c r="F216" s="53"/>
      <c r="G216" s="53"/>
    </row>
    <row r="217" spans="2:7" x14ac:dyDescent="0.35">
      <c r="B217" s="45" t="s">
        <v>3860</v>
      </c>
      <c r="C217" s="45">
        <v>33</v>
      </c>
      <c r="D217" s="45">
        <f>$C217*5</f>
        <v>165</v>
      </c>
      <c r="E217" s="45">
        <f>$C217*5</f>
        <v>165</v>
      </c>
      <c r="F217" s="45">
        <f>$C217*5</f>
        <v>165</v>
      </c>
      <c r="G217" s="45">
        <f>$C217*5</f>
        <v>165</v>
      </c>
    </row>
    <row r="218" spans="2:7" ht="13.15" customHeight="1" x14ac:dyDescent="0.4">
      <c r="B218" s="46"/>
    </row>
    <row r="219" spans="2:7" x14ac:dyDescent="0.35">
      <c r="B219" s="45" t="s">
        <v>3721</v>
      </c>
      <c r="C219" s="45">
        <v>10</v>
      </c>
      <c r="D219" s="45">
        <f>$C219*5</f>
        <v>50</v>
      </c>
      <c r="E219" s="45">
        <f>$C219*5</f>
        <v>50</v>
      </c>
      <c r="F219" s="45">
        <f>$C219*5</f>
        <v>50</v>
      </c>
      <c r="G219" s="45">
        <f>$C219*5</f>
        <v>50</v>
      </c>
    </row>
    <row r="221" spans="2:7" x14ac:dyDescent="0.35">
      <c r="B221" s="45" t="s">
        <v>533</v>
      </c>
      <c r="C221" s="45">
        <v>2</v>
      </c>
      <c r="D221" s="45">
        <f>$C221*5</f>
        <v>10</v>
      </c>
      <c r="E221" s="45">
        <f>$C221*5</f>
        <v>10</v>
      </c>
      <c r="F221" s="45">
        <f>$C221*5</f>
        <v>10</v>
      </c>
      <c r="G221" s="45">
        <f>$C221*5</f>
        <v>10</v>
      </c>
    </row>
    <row r="223" spans="2:7" x14ac:dyDescent="0.35">
      <c r="B223" s="45" t="s">
        <v>3969</v>
      </c>
      <c r="C223" s="45">
        <v>7</v>
      </c>
      <c r="D223" s="45">
        <f>$C223*D209</f>
        <v>28</v>
      </c>
      <c r="E223" s="45">
        <f>$C223*E209</f>
        <v>42</v>
      </c>
      <c r="F223" s="45">
        <f>$C223*F209</f>
        <v>56</v>
      </c>
      <c r="G223" s="45">
        <f>$C223*G209</f>
        <v>84</v>
      </c>
    </row>
    <row r="225" spans="2:7" x14ac:dyDescent="0.35">
      <c r="B225" s="45" t="s">
        <v>3970</v>
      </c>
      <c r="C225" s="45">
        <f>$T$115</f>
        <v>94.779039999999995</v>
      </c>
      <c r="D225" s="45">
        <f>$C$74</f>
        <v>94.779039999999995</v>
      </c>
      <c r="E225" s="45">
        <f>$C$74</f>
        <v>94.779039999999995</v>
      </c>
      <c r="F225" s="45">
        <f>$C$74</f>
        <v>94.779039999999995</v>
      </c>
      <c r="G225" s="45">
        <f>$C$74</f>
        <v>94.779039999999995</v>
      </c>
    </row>
    <row r="227" spans="2:7" ht="13.15" customHeight="1" x14ac:dyDescent="0.4">
      <c r="B227" s="46" t="s">
        <v>524</v>
      </c>
      <c r="D227" s="46">
        <f>SUM(D215:D226)</f>
        <v>374.02904000000001</v>
      </c>
      <c r="E227" s="46">
        <f>SUM(E215:E226)</f>
        <v>401.15404000000001</v>
      </c>
      <c r="F227" s="46">
        <f>SUM(F215:F226)</f>
        <v>428.27904000000001</v>
      </c>
      <c r="G227" s="46">
        <f>SUM(G215:G226)</f>
        <v>482.52904000000001</v>
      </c>
    </row>
    <row r="229" spans="2:7" ht="13.15" customHeight="1" x14ac:dyDescent="0.4">
      <c r="B229" s="46" t="s">
        <v>3687</v>
      </c>
      <c r="C229" s="46"/>
      <c r="D229" s="62">
        <f>D213-D227</f>
        <v>375.97095999999999</v>
      </c>
      <c r="E229" s="62">
        <f>E213-E227</f>
        <v>723.84595999999999</v>
      </c>
      <c r="F229" s="62">
        <f>F213-F227</f>
        <v>1071.7209600000001</v>
      </c>
      <c r="G229" s="62">
        <f>G213-G227</f>
        <v>1767.4709600000001</v>
      </c>
    </row>
    <row r="231" spans="2:7" x14ac:dyDescent="0.35">
      <c r="C231" s="53"/>
      <c r="D231" s="50">
        <f>D229/D213</f>
        <v>0.50129461333333336</v>
      </c>
      <c r="E231" s="50">
        <f>E229/E213</f>
        <v>0.64341863111111108</v>
      </c>
      <c r="F231" s="50">
        <f>F229/F213</f>
        <v>0.71448064000000011</v>
      </c>
      <c r="G231" s="50">
        <f>G229/G213</f>
        <v>0.78554264888888892</v>
      </c>
    </row>
    <row r="233" spans="2:7" x14ac:dyDescent="0.35">
      <c r="B233" s="45" t="s">
        <v>3911</v>
      </c>
      <c r="C233" s="61">
        <v>2.5</v>
      </c>
      <c r="D233" s="45">
        <f>($C233*25)*4</f>
        <v>250</v>
      </c>
      <c r="E233" s="45">
        <f>($C233*25)*4</f>
        <v>250</v>
      </c>
      <c r="F233" s="45">
        <f>($C233*25)*4</f>
        <v>250</v>
      </c>
      <c r="G233" s="45">
        <f>($C233*25)*4</f>
        <v>250</v>
      </c>
    </row>
    <row r="234" spans="2:7" ht="13.15" customHeight="1" x14ac:dyDescent="0.4">
      <c r="B234" s="46"/>
      <c r="C234" s="46"/>
      <c r="D234" s="46"/>
      <c r="E234" s="46"/>
    </row>
    <row r="236" spans="2:7" x14ac:dyDescent="0.35">
      <c r="B236" s="45" t="s">
        <v>3914</v>
      </c>
      <c r="D236" s="45">
        <f>D229-D233</f>
        <v>125.97095999999999</v>
      </c>
      <c r="E236" s="45">
        <f>E229-E233</f>
        <v>473.84595999999999</v>
      </c>
      <c r="F236" s="45">
        <f>F229-F233</f>
        <v>821.7209600000001</v>
      </c>
      <c r="G236" s="45">
        <f>G229-G233</f>
        <v>1517.4709600000001</v>
      </c>
    </row>
    <row r="237" spans="2:7" x14ac:dyDescent="0.35">
      <c r="D237" s="50">
        <f>D236/D213</f>
        <v>0.16796127999999999</v>
      </c>
      <c r="E237" s="50">
        <f>E236/E213</f>
        <v>0.42119640888888887</v>
      </c>
      <c r="F237" s="50">
        <f>F236/F213</f>
        <v>0.54781397333333337</v>
      </c>
      <c r="G237" s="50">
        <f>G236/G213</f>
        <v>0.67443153777777787</v>
      </c>
    </row>
    <row r="240" spans="2:7" ht="13.15" customHeight="1" x14ac:dyDescent="0.4">
      <c r="B240" s="46" t="s">
        <v>3972</v>
      </c>
      <c r="C240" s="53"/>
      <c r="D240" s="51">
        <v>4</v>
      </c>
      <c r="E240" s="51">
        <v>6</v>
      </c>
      <c r="F240" s="51">
        <v>8</v>
      </c>
      <c r="G240" s="51">
        <v>10</v>
      </c>
    </row>
    <row r="242" spans="2:7" x14ac:dyDescent="0.35">
      <c r="B242" s="45" t="s">
        <v>3903</v>
      </c>
      <c r="C242" s="53">
        <v>275</v>
      </c>
      <c r="D242" s="53">
        <f>C242*D240</f>
        <v>1100</v>
      </c>
      <c r="E242" s="53">
        <f>C242*E240</f>
        <v>1650</v>
      </c>
      <c r="F242" s="63">
        <f>C242*F240</f>
        <v>2200</v>
      </c>
      <c r="G242" s="63">
        <f>C242*G240</f>
        <v>2750</v>
      </c>
    </row>
    <row r="243" spans="2:7" x14ac:dyDescent="0.35">
      <c r="B243" s="45" t="s">
        <v>3904</v>
      </c>
      <c r="C243" s="64">
        <v>0.25</v>
      </c>
      <c r="D243" s="53">
        <f>D242*C243</f>
        <v>275</v>
      </c>
      <c r="E243" s="53">
        <f>E242*C243</f>
        <v>412.5</v>
      </c>
      <c r="F243" s="63">
        <f>F242*C243</f>
        <v>550</v>
      </c>
      <c r="G243" s="63">
        <f>G242*C243</f>
        <v>687.5</v>
      </c>
    </row>
    <row r="244" spans="2:7" ht="13.15" customHeight="1" x14ac:dyDescent="0.4">
      <c r="B244" s="46" t="s">
        <v>3905</v>
      </c>
      <c r="C244" s="58"/>
      <c r="D244" s="62">
        <f>D242-D243</f>
        <v>825</v>
      </c>
      <c r="E244" s="62">
        <f>E242-E243</f>
        <v>1237.5</v>
      </c>
      <c r="F244" s="62">
        <f>F242-F243</f>
        <v>1650</v>
      </c>
      <c r="G244" s="62">
        <f>G242-G243</f>
        <v>2062.5</v>
      </c>
    </row>
    <row r="245" spans="2:7" x14ac:dyDescent="0.35">
      <c r="F245" s="53"/>
      <c r="G245" s="53"/>
    </row>
    <row r="246" spans="2:7" x14ac:dyDescent="0.35">
      <c r="B246" s="45" t="s">
        <v>3906</v>
      </c>
      <c r="D246" s="45">
        <f>D244*3.5%</f>
        <v>28.875000000000004</v>
      </c>
      <c r="E246" s="45">
        <f>E244*3.5%</f>
        <v>43.312500000000007</v>
      </c>
      <c r="F246" s="45">
        <f>F244*3.5%</f>
        <v>57.750000000000007</v>
      </c>
      <c r="G246" s="45">
        <f>G244*3.5%</f>
        <v>72.1875</v>
      </c>
    </row>
    <row r="247" spans="2:7" x14ac:dyDescent="0.35">
      <c r="F247" s="53"/>
      <c r="G247" s="53"/>
    </row>
    <row r="248" spans="2:7" x14ac:dyDescent="0.35">
      <c r="B248" s="45" t="s">
        <v>3860</v>
      </c>
      <c r="C248" s="45">
        <v>33</v>
      </c>
      <c r="D248" s="45">
        <f>$C248*4</f>
        <v>132</v>
      </c>
      <c r="E248" s="45">
        <f>$C248*4</f>
        <v>132</v>
      </c>
      <c r="F248" s="45">
        <f>$C248*4</f>
        <v>132</v>
      </c>
      <c r="G248" s="45">
        <f>$C248*4</f>
        <v>132</v>
      </c>
    </row>
    <row r="249" spans="2:7" ht="13.15" customHeight="1" x14ac:dyDescent="0.4">
      <c r="B249" s="46"/>
    </row>
    <row r="250" spans="2:7" x14ac:dyDescent="0.35">
      <c r="B250" s="45" t="s">
        <v>3721</v>
      </c>
      <c r="C250" s="45">
        <v>10</v>
      </c>
      <c r="D250" s="45">
        <f>$C250*4</f>
        <v>40</v>
      </c>
      <c r="E250" s="45">
        <f>$C250*4</f>
        <v>40</v>
      </c>
      <c r="F250" s="45">
        <f>$C250*4</f>
        <v>40</v>
      </c>
      <c r="G250" s="45">
        <f>$C250*4</f>
        <v>40</v>
      </c>
    </row>
    <row r="252" spans="2:7" x14ac:dyDescent="0.35">
      <c r="B252" s="45" t="s">
        <v>533</v>
      </c>
      <c r="C252" s="45">
        <v>2</v>
      </c>
      <c r="D252" s="45">
        <f>$C252*4</f>
        <v>8</v>
      </c>
      <c r="E252" s="45">
        <f>$C252*4</f>
        <v>8</v>
      </c>
      <c r="F252" s="45">
        <f>$C252*4</f>
        <v>8</v>
      </c>
      <c r="G252" s="45">
        <f>$C252*4</f>
        <v>8</v>
      </c>
    </row>
    <row r="254" spans="2:7" x14ac:dyDescent="0.35">
      <c r="B254" s="45" t="s">
        <v>3969</v>
      </c>
      <c r="C254" s="45">
        <v>7</v>
      </c>
      <c r="D254" s="45">
        <f>$C254*D240</f>
        <v>28</v>
      </c>
      <c r="E254" s="45">
        <f>$C254*E240</f>
        <v>42</v>
      </c>
      <c r="F254" s="45">
        <f>$C254*F240</f>
        <v>56</v>
      </c>
      <c r="G254" s="45">
        <f>$C254*G240</f>
        <v>70</v>
      </c>
    </row>
    <row r="256" spans="2:7" x14ac:dyDescent="0.35">
      <c r="B256" s="45" t="s">
        <v>3970</v>
      </c>
      <c r="C256" s="45">
        <f>$T$115</f>
        <v>94.779039999999995</v>
      </c>
      <c r="D256" s="45">
        <f>$C$74</f>
        <v>94.779039999999995</v>
      </c>
      <c r="E256" s="45">
        <f>$C$74</f>
        <v>94.779039999999995</v>
      </c>
      <c r="F256" s="45">
        <f>$C$74</f>
        <v>94.779039999999995</v>
      </c>
      <c r="G256" s="45">
        <f>$C$74</f>
        <v>94.779039999999995</v>
      </c>
    </row>
    <row r="258" spans="2:7" ht="13.15" customHeight="1" x14ac:dyDescent="0.4">
      <c r="B258" s="45" t="s">
        <v>524</v>
      </c>
      <c r="D258" s="46">
        <f>SUM(D246:D257)</f>
        <v>331.65404000000001</v>
      </c>
      <c r="E258" s="46">
        <f>SUM(E246:E257)</f>
        <v>360.09154000000001</v>
      </c>
      <c r="F258" s="46">
        <f>SUM(F246:F257)</f>
        <v>388.52904000000001</v>
      </c>
      <c r="G258" s="46">
        <f>SUM(G246:G257)</f>
        <v>416.96654000000001</v>
      </c>
    </row>
    <row r="260" spans="2:7" ht="13.15" customHeight="1" x14ac:dyDescent="0.4">
      <c r="B260" s="46" t="s">
        <v>3687</v>
      </c>
      <c r="C260" s="46"/>
      <c r="D260" s="62">
        <f>D244-D258</f>
        <v>493.34595999999999</v>
      </c>
      <c r="E260" s="62">
        <f>E244-E258</f>
        <v>877.40845999999999</v>
      </c>
      <c r="F260" s="62">
        <f>F244-F258</f>
        <v>1261.4709600000001</v>
      </c>
      <c r="G260" s="62">
        <f>G244-G258</f>
        <v>1645.5334600000001</v>
      </c>
    </row>
    <row r="262" spans="2:7" x14ac:dyDescent="0.35">
      <c r="C262" s="53"/>
      <c r="D262" s="50">
        <f>D260/D244</f>
        <v>0.59799510303030301</v>
      </c>
      <c r="E262" s="50">
        <f>E260/E244</f>
        <v>0.70901693737373739</v>
      </c>
      <c r="F262" s="50">
        <f>F260/F244</f>
        <v>0.76452785454545458</v>
      </c>
      <c r="G262" s="50">
        <f>G260/G244</f>
        <v>0.79783440484848489</v>
      </c>
    </row>
    <row r="264" spans="2:7" x14ac:dyDescent="0.35">
      <c r="B264" s="45" t="s">
        <v>3911</v>
      </c>
      <c r="C264" s="61">
        <v>2.5</v>
      </c>
      <c r="D264" s="45">
        <f>($C264*25)*4</f>
        <v>250</v>
      </c>
      <c r="E264" s="45">
        <f>($C264*25)*4</f>
        <v>250</v>
      </c>
      <c r="F264" s="45">
        <f>($C264*25)*4</f>
        <v>250</v>
      </c>
      <c r="G264" s="45">
        <f>($C264*25)*4</f>
        <v>250</v>
      </c>
    </row>
    <row r="265" spans="2:7" ht="13.15" customHeight="1" x14ac:dyDescent="0.4">
      <c r="B265" s="46"/>
      <c r="C265" s="46"/>
      <c r="D265" s="46"/>
      <c r="E265" s="46"/>
    </row>
    <row r="267" spans="2:7" x14ac:dyDescent="0.35">
      <c r="B267" s="45" t="s">
        <v>3914</v>
      </c>
      <c r="D267" s="45">
        <f>D260-D264</f>
        <v>243.34595999999999</v>
      </c>
      <c r="E267" s="45">
        <f>E260-E264</f>
        <v>627.40845999999999</v>
      </c>
      <c r="F267" s="45">
        <f>F260-F264</f>
        <v>1011.4709600000001</v>
      </c>
      <c r="G267" s="45">
        <f>G260-G264</f>
        <v>1395.5334600000001</v>
      </c>
    </row>
    <row r="268" spans="2:7" x14ac:dyDescent="0.35">
      <c r="D268" s="50">
        <f>D267/D244</f>
        <v>0.29496479999999997</v>
      </c>
      <c r="E268" s="50">
        <f>E267/E244</f>
        <v>0.5069967353535354</v>
      </c>
      <c r="F268" s="50">
        <f>F267/F244</f>
        <v>0.61301270303030309</v>
      </c>
      <c r="G268" s="50">
        <f>G267/G244</f>
        <v>0.67662228363636368</v>
      </c>
    </row>
    <row r="273" spans="2:7" ht="13.15" customHeight="1" x14ac:dyDescent="0.4">
      <c r="B273" s="46" t="s">
        <v>3899</v>
      </c>
      <c r="C273" s="53"/>
      <c r="D273" s="51">
        <v>1</v>
      </c>
      <c r="E273" s="51">
        <v>2</v>
      </c>
      <c r="F273" s="51">
        <v>3</v>
      </c>
      <c r="G273" s="51">
        <v>4</v>
      </c>
    </row>
    <row r="274" spans="2:7" ht="13.15" customHeight="1" x14ac:dyDescent="0.4">
      <c r="B274" s="46" t="s">
        <v>496</v>
      </c>
      <c r="C274" s="46"/>
      <c r="D274" s="46"/>
      <c r="E274" s="46"/>
      <c r="F274" s="46"/>
      <c r="G274" s="46"/>
    </row>
    <row r="275" spans="2:7" x14ac:dyDescent="0.35">
      <c r="B275" s="45" t="s">
        <v>3903</v>
      </c>
      <c r="C275" s="53">
        <v>725</v>
      </c>
      <c r="D275" s="53">
        <f>C275*D273</f>
        <v>725</v>
      </c>
      <c r="E275" s="53">
        <f>C275*E273</f>
        <v>1450</v>
      </c>
      <c r="F275" s="63">
        <f>C275*F273</f>
        <v>2175</v>
      </c>
      <c r="G275" s="63">
        <f>C275*G273</f>
        <v>2900</v>
      </c>
    </row>
    <row r="276" spans="2:7" x14ac:dyDescent="0.35">
      <c r="B276" s="45" t="s">
        <v>3904</v>
      </c>
      <c r="C276" s="64">
        <v>0</v>
      </c>
      <c r="D276" s="63">
        <f>D275*$C276</f>
        <v>0</v>
      </c>
      <c r="E276" s="63">
        <f>E275*$C276</f>
        <v>0</v>
      </c>
      <c r="F276" s="63">
        <f>F275*$C276</f>
        <v>0</v>
      </c>
      <c r="G276" s="63">
        <f>G275*$C276</f>
        <v>0</v>
      </c>
    </row>
    <row r="277" spans="2:7" ht="13.15" customHeight="1" x14ac:dyDescent="0.4">
      <c r="B277" s="46" t="s">
        <v>3905</v>
      </c>
      <c r="C277" s="58"/>
      <c r="D277" s="62">
        <f>D275-D276</f>
        <v>725</v>
      </c>
      <c r="E277" s="62">
        <f>E275-E276</f>
        <v>1450</v>
      </c>
      <c r="F277" s="62">
        <f>F275-F276</f>
        <v>2175</v>
      </c>
      <c r="G277" s="62">
        <f>G275-G276</f>
        <v>2900</v>
      </c>
    </row>
    <row r="278" spans="2:7" x14ac:dyDescent="0.35">
      <c r="F278" s="53"/>
      <c r="G278" s="53"/>
    </row>
    <row r="279" spans="2:7" x14ac:dyDescent="0.35">
      <c r="B279" s="45" t="s">
        <v>3906</v>
      </c>
      <c r="C279" s="64">
        <v>0.02</v>
      </c>
      <c r="D279" s="45">
        <f>D277*$C279</f>
        <v>14.5</v>
      </c>
      <c r="E279" s="45">
        <f>E277*$C279</f>
        <v>29</v>
      </c>
      <c r="F279" s="45">
        <f>F277*$C279</f>
        <v>43.5</v>
      </c>
      <c r="G279" s="45">
        <f>G277*$C279</f>
        <v>58</v>
      </c>
    </row>
    <row r="280" spans="2:7" x14ac:dyDescent="0.35">
      <c r="F280" s="53"/>
      <c r="G280" s="53"/>
    </row>
    <row r="281" spans="2:7" x14ac:dyDescent="0.35">
      <c r="B281" s="45" t="s">
        <v>3907</v>
      </c>
      <c r="C281" s="45">
        <v>95</v>
      </c>
      <c r="D281" s="45">
        <f>SUM($C281*D273+$C281)*2</f>
        <v>380</v>
      </c>
      <c r="E281" s="45">
        <f>SUM($C281*E273+75)*2</f>
        <v>530</v>
      </c>
      <c r="F281" s="45">
        <f>SUM($C281*F273+75)*2</f>
        <v>720</v>
      </c>
      <c r="G281" s="45">
        <f>SUM($C281*G273+75)*2</f>
        <v>910</v>
      </c>
    </row>
    <row r="282" spans="2:7" ht="13.15" customHeight="1" x14ac:dyDescent="0.4">
      <c r="B282" s="46"/>
    </row>
    <row r="283" spans="2:7" x14ac:dyDescent="0.35">
      <c r="B283" s="45" t="s">
        <v>3721</v>
      </c>
      <c r="C283" s="45">
        <v>100</v>
      </c>
      <c r="D283" s="45">
        <f>C283</f>
        <v>100</v>
      </c>
      <c r="E283" s="45">
        <f>C283</f>
        <v>100</v>
      </c>
      <c r="F283" s="45">
        <f>C283</f>
        <v>100</v>
      </c>
      <c r="G283" s="45">
        <f>C283</f>
        <v>100</v>
      </c>
    </row>
    <row r="285" spans="2:7" x14ac:dyDescent="0.35">
      <c r="B285" s="45" t="s">
        <v>533</v>
      </c>
      <c r="C285" s="45">
        <v>30</v>
      </c>
      <c r="D285" s="45">
        <f>C285*3</f>
        <v>90</v>
      </c>
      <c r="E285" s="45">
        <f>C285*3</f>
        <v>90</v>
      </c>
      <c r="F285" s="45">
        <f>C285*3</f>
        <v>90</v>
      </c>
      <c r="G285" s="45">
        <f>C285*3</f>
        <v>90</v>
      </c>
    </row>
    <row r="287" spans="2:7" x14ac:dyDescent="0.35">
      <c r="B287" s="45" t="s">
        <v>3908</v>
      </c>
      <c r="C287" s="45">
        <f>$T$115</f>
        <v>94.779039999999995</v>
      </c>
      <c r="D287" s="45">
        <f>C287</f>
        <v>94.779039999999995</v>
      </c>
      <c r="E287" s="45">
        <f>C287</f>
        <v>94.779039999999995</v>
      </c>
      <c r="F287" s="45">
        <f>C287</f>
        <v>94.779039999999995</v>
      </c>
      <c r="G287" s="45">
        <f>C287</f>
        <v>94.779039999999995</v>
      </c>
    </row>
    <row r="289" spans="2:7" ht="13.15" customHeight="1" x14ac:dyDescent="0.4">
      <c r="B289" s="45" t="s">
        <v>524</v>
      </c>
      <c r="D289" s="46">
        <f>SUM(D279:D288)</f>
        <v>679.27904000000001</v>
      </c>
      <c r="E289" s="46">
        <f>SUM(E279:E288)</f>
        <v>843.77904000000001</v>
      </c>
      <c r="F289" s="46">
        <f>SUM(F279:F288)</f>
        <v>1048.2790399999999</v>
      </c>
      <c r="G289" s="46">
        <f>SUM(G279:G288)</f>
        <v>1252.7790399999999</v>
      </c>
    </row>
    <row r="291" spans="2:7" ht="13.15" customHeight="1" x14ac:dyDescent="0.4">
      <c r="B291" s="46" t="s">
        <v>3755</v>
      </c>
      <c r="C291" s="46"/>
      <c r="D291" s="62">
        <f>D277-D289</f>
        <v>45.720959999999991</v>
      </c>
      <c r="E291" s="62">
        <f>E277-E289</f>
        <v>606.22095999999999</v>
      </c>
      <c r="F291" s="62">
        <f>F277-F289</f>
        <v>1126.7209600000001</v>
      </c>
      <c r="G291" s="62">
        <f>G277-G289</f>
        <v>1647.2209600000001</v>
      </c>
    </row>
    <row r="293" spans="2:7" x14ac:dyDescent="0.35">
      <c r="C293" s="53"/>
      <c r="D293" s="50">
        <f>D291/D277</f>
        <v>6.3063393103448259E-2</v>
      </c>
      <c r="E293" s="50">
        <f>E291/E277</f>
        <v>0.41808342068965515</v>
      </c>
      <c r="F293" s="50">
        <f>F291/F277</f>
        <v>0.51803262528735639</v>
      </c>
      <c r="G293" s="50">
        <f>G291/G277</f>
        <v>0.56800722758620692</v>
      </c>
    </row>
    <row r="295" spans="2:7" x14ac:dyDescent="0.35">
      <c r="B295" s="45" t="s">
        <v>3911</v>
      </c>
      <c r="C295" s="61">
        <v>20</v>
      </c>
      <c r="D295" s="45">
        <f>C295*25</f>
        <v>500</v>
      </c>
      <c r="E295" s="45">
        <f>C295*25</f>
        <v>500</v>
      </c>
      <c r="F295" s="45">
        <f>C295*25</f>
        <v>500</v>
      </c>
      <c r="G295" s="45">
        <f>C295*25</f>
        <v>500</v>
      </c>
    </row>
    <row r="296" spans="2:7" ht="13.15" customHeight="1" x14ac:dyDescent="0.4">
      <c r="B296" s="46"/>
      <c r="C296" s="46"/>
      <c r="D296" s="46"/>
      <c r="E296" s="46"/>
    </row>
    <row r="298" spans="2:7" x14ac:dyDescent="0.35">
      <c r="B298" s="45" t="s">
        <v>3914</v>
      </c>
      <c r="D298" s="45">
        <f>D291-D295</f>
        <v>-454.27904000000001</v>
      </c>
      <c r="E298" s="45">
        <f>E291-E295</f>
        <v>106.22095999999999</v>
      </c>
      <c r="F298" s="45">
        <f>F291-F295</f>
        <v>626.7209600000001</v>
      </c>
      <c r="G298" s="45">
        <f>G291-G295</f>
        <v>1147.2209600000001</v>
      </c>
    </row>
    <row r="299" spans="2:7" ht="13.15" customHeight="1" x14ac:dyDescent="0.4">
      <c r="B299" s="46"/>
      <c r="D299" s="50">
        <f>D298/D277</f>
        <v>-0.62659177931034482</v>
      </c>
      <c r="E299" s="50">
        <f>E298/E277</f>
        <v>7.3255834482758617E-2</v>
      </c>
      <c r="F299" s="50">
        <f>F298/F277</f>
        <v>0.28814756781609202</v>
      </c>
      <c r="G299" s="50">
        <f>G298/G277</f>
        <v>0.39559343448275863</v>
      </c>
    </row>
  </sheetData>
  <conditionalFormatting sqref="F12:F14 F16 O13">
    <cfRule type="cellIs" dxfId="711" priority="464" operator="lessThan">
      <formula>0</formula>
    </cfRule>
  </conditionalFormatting>
  <conditionalFormatting sqref="F14 F16">
    <cfRule type="cellIs" dxfId="710" priority="463" operator="greaterThan">
      <formula>0</formula>
    </cfRule>
  </conditionalFormatting>
  <conditionalFormatting sqref="H12:H16">
    <cfRule type="cellIs" dxfId="709" priority="462" operator="lessThan">
      <formula>0</formula>
    </cfRule>
  </conditionalFormatting>
  <conditionalFormatting sqref="H14:H17">
    <cfRule type="cellIs" dxfId="708" priority="461" operator="greaterThan">
      <formula>0</formula>
    </cfRule>
  </conditionalFormatting>
  <conditionalFormatting sqref="E28:F28">
    <cfRule type="cellIs" dxfId="707" priority="459" operator="lessThan">
      <formula>0</formula>
    </cfRule>
    <cfRule type="cellIs" dxfId="706" priority="460" operator="greaterThan">
      <formula>0</formula>
    </cfRule>
  </conditionalFormatting>
  <conditionalFormatting sqref="F41:F43 F45">
    <cfRule type="cellIs" dxfId="705" priority="458" operator="lessThan">
      <formula>0</formula>
    </cfRule>
  </conditionalFormatting>
  <conditionalFormatting sqref="F43 F45">
    <cfRule type="cellIs" dxfId="704" priority="457" operator="greaterThan">
      <formula>0</formula>
    </cfRule>
  </conditionalFormatting>
  <conditionalFormatting sqref="E57:F57">
    <cfRule type="cellIs" dxfId="703" priority="455" operator="lessThan">
      <formula>0</formula>
    </cfRule>
    <cfRule type="cellIs" dxfId="702" priority="456" operator="greaterThan">
      <formula>0</formula>
    </cfRule>
  </conditionalFormatting>
  <conditionalFormatting sqref="F69:F71 F73">
    <cfRule type="cellIs" dxfId="701" priority="454" operator="lessThan">
      <formula>0</formula>
    </cfRule>
  </conditionalFormatting>
  <conditionalFormatting sqref="F71 F73">
    <cfRule type="cellIs" dxfId="700" priority="453" operator="greaterThan">
      <formula>0</formula>
    </cfRule>
  </conditionalFormatting>
  <conditionalFormatting sqref="E85:F85">
    <cfRule type="cellIs" dxfId="699" priority="451" operator="lessThan">
      <formula>0</formula>
    </cfRule>
    <cfRule type="cellIs" dxfId="698" priority="452" operator="greaterThan">
      <formula>0</formula>
    </cfRule>
  </conditionalFormatting>
  <conditionalFormatting sqref="F97:F99 F101">
    <cfRule type="cellIs" dxfId="697" priority="450" operator="lessThan">
      <formula>0</formula>
    </cfRule>
  </conditionalFormatting>
  <conditionalFormatting sqref="F99 F101">
    <cfRule type="cellIs" dxfId="696" priority="449" operator="greaterThan">
      <formula>0</formula>
    </cfRule>
  </conditionalFormatting>
  <conditionalFormatting sqref="E113:F113">
    <cfRule type="cellIs" dxfId="695" priority="447" operator="lessThan">
      <formula>0</formula>
    </cfRule>
    <cfRule type="cellIs" dxfId="694" priority="448" operator="greaterThan">
      <formula>0</formula>
    </cfRule>
  </conditionalFormatting>
  <conditionalFormatting sqref="F126:F128 F130">
    <cfRule type="cellIs" dxfId="693" priority="446" operator="lessThan">
      <formula>0</formula>
    </cfRule>
  </conditionalFormatting>
  <conditionalFormatting sqref="F128 F130">
    <cfRule type="cellIs" dxfId="692" priority="445" operator="greaterThan">
      <formula>0</formula>
    </cfRule>
  </conditionalFormatting>
  <conditionalFormatting sqref="E142:F142">
    <cfRule type="cellIs" dxfId="691" priority="443" operator="lessThan">
      <formula>0</formula>
    </cfRule>
    <cfRule type="cellIs" dxfId="690" priority="444" operator="greaterThan">
      <formula>0</formula>
    </cfRule>
  </conditionalFormatting>
  <conditionalFormatting sqref="E114:F114">
    <cfRule type="cellIs" dxfId="689" priority="439" operator="greaterThan">
      <formula>0.25</formula>
    </cfRule>
    <cfRule type="cellIs" dxfId="688" priority="440" operator="lessThan">
      <formula>0</formula>
    </cfRule>
    <cfRule type="cellIs" dxfId="687" priority="441" operator="between">
      <formula>0.01</formula>
      <formula>0.24</formula>
    </cfRule>
    <cfRule type="cellIs" dxfId="686" priority="442" operator="greaterThan">
      <formula>25</formula>
    </cfRule>
  </conditionalFormatting>
  <conditionalFormatting sqref="E143:F143">
    <cfRule type="cellIs" dxfId="685" priority="435" operator="greaterThan">
      <formula>0.25</formula>
    </cfRule>
    <cfRule type="cellIs" dxfId="684" priority="436" operator="lessThan">
      <formula>0</formula>
    </cfRule>
    <cfRule type="cellIs" dxfId="683" priority="437" operator="between">
      <formula>0.01</formula>
      <formula>0.24</formula>
    </cfRule>
    <cfRule type="cellIs" dxfId="682" priority="438" operator="greaterThan">
      <formula>25</formula>
    </cfRule>
  </conditionalFormatting>
  <conditionalFormatting sqref="E86:F86">
    <cfRule type="cellIs" dxfId="681" priority="431" operator="greaterThan">
      <formula>0.25</formula>
    </cfRule>
    <cfRule type="cellIs" dxfId="680" priority="432" operator="lessThan">
      <formula>0</formula>
    </cfRule>
    <cfRule type="cellIs" dxfId="679" priority="433" operator="between">
      <formula>0.01</formula>
      <formula>0.24</formula>
    </cfRule>
    <cfRule type="cellIs" dxfId="678" priority="434" operator="greaterThan">
      <formula>25</formula>
    </cfRule>
  </conditionalFormatting>
  <conditionalFormatting sqref="E58:F58">
    <cfRule type="cellIs" dxfId="677" priority="427" operator="greaterThan">
      <formula>0.25</formula>
    </cfRule>
    <cfRule type="cellIs" dxfId="676" priority="428" operator="lessThan">
      <formula>0</formula>
    </cfRule>
    <cfRule type="cellIs" dxfId="675" priority="429" operator="between">
      <formula>0.01</formula>
      <formula>0.24</formula>
    </cfRule>
    <cfRule type="cellIs" dxfId="674" priority="430" operator="greaterThan">
      <formula>25</formula>
    </cfRule>
  </conditionalFormatting>
  <conditionalFormatting sqref="E29:F29">
    <cfRule type="cellIs" dxfId="673" priority="423" operator="greaterThan">
      <formula>0.25</formula>
    </cfRule>
    <cfRule type="cellIs" dxfId="672" priority="424" operator="lessThan">
      <formula>0</formula>
    </cfRule>
    <cfRule type="cellIs" dxfId="671" priority="425" operator="between">
      <formula>0.01</formula>
      <formula>0.24</formula>
    </cfRule>
    <cfRule type="cellIs" dxfId="670" priority="426" operator="greaterThan">
      <formula>25</formula>
    </cfRule>
  </conditionalFormatting>
  <conditionalFormatting sqref="G12:G14 G16">
    <cfRule type="cellIs" dxfId="669" priority="422" operator="lessThan">
      <formula>0</formula>
    </cfRule>
  </conditionalFormatting>
  <conditionalFormatting sqref="G14 G16">
    <cfRule type="cellIs" dxfId="668" priority="421" operator="greaterThan">
      <formula>0</formula>
    </cfRule>
  </conditionalFormatting>
  <conditionalFormatting sqref="G28">
    <cfRule type="cellIs" dxfId="667" priority="419" operator="lessThan">
      <formula>0</formula>
    </cfRule>
    <cfRule type="cellIs" dxfId="666" priority="420" operator="greaterThan">
      <formula>0</formula>
    </cfRule>
  </conditionalFormatting>
  <conditionalFormatting sqref="G41:G43 G45">
    <cfRule type="cellIs" dxfId="665" priority="418" operator="lessThan">
      <formula>0</formula>
    </cfRule>
  </conditionalFormatting>
  <conditionalFormatting sqref="G43 G45">
    <cfRule type="cellIs" dxfId="664" priority="417" operator="greaterThan">
      <formula>0</formula>
    </cfRule>
  </conditionalFormatting>
  <conditionalFormatting sqref="G57">
    <cfRule type="cellIs" dxfId="663" priority="415" operator="lessThan">
      <formula>0</formula>
    </cfRule>
    <cfRule type="cellIs" dxfId="662" priority="416" operator="greaterThan">
      <formula>0</formula>
    </cfRule>
  </conditionalFormatting>
  <conditionalFormatting sqref="G69:G71 G73">
    <cfRule type="cellIs" dxfId="661" priority="414" operator="lessThan">
      <formula>0</formula>
    </cfRule>
  </conditionalFormatting>
  <conditionalFormatting sqref="G71 G73">
    <cfRule type="cellIs" dxfId="660" priority="413" operator="greaterThan">
      <formula>0</formula>
    </cfRule>
  </conditionalFormatting>
  <conditionalFormatting sqref="G85">
    <cfRule type="cellIs" dxfId="659" priority="411" operator="lessThan">
      <formula>0</formula>
    </cfRule>
    <cfRule type="cellIs" dxfId="658" priority="412" operator="greaterThan">
      <formula>0</formula>
    </cfRule>
  </conditionalFormatting>
  <conditionalFormatting sqref="G97:G99 G101">
    <cfRule type="cellIs" dxfId="657" priority="410" operator="lessThan">
      <formula>0</formula>
    </cfRule>
  </conditionalFormatting>
  <conditionalFormatting sqref="G99 G101">
    <cfRule type="cellIs" dxfId="656" priority="409" operator="greaterThan">
      <formula>0</formula>
    </cfRule>
  </conditionalFormatting>
  <conditionalFormatting sqref="G113">
    <cfRule type="cellIs" dxfId="655" priority="407" operator="lessThan">
      <formula>0</formula>
    </cfRule>
    <cfRule type="cellIs" dxfId="654" priority="408" operator="greaterThan">
      <formula>0</formula>
    </cfRule>
  </conditionalFormatting>
  <conditionalFormatting sqref="G126:G128 G130">
    <cfRule type="cellIs" dxfId="653" priority="406" operator="lessThan">
      <formula>0</formula>
    </cfRule>
  </conditionalFormatting>
  <conditionalFormatting sqref="G128 G130">
    <cfRule type="cellIs" dxfId="652" priority="405" operator="greaterThan">
      <formula>0</formula>
    </cfRule>
  </conditionalFormatting>
  <conditionalFormatting sqref="G142">
    <cfRule type="cellIs" dxfId="651" priority="403" operator="lessThan">
      <formula>0</formula>
    </cfRule>
    <cfRule type="cellIs" dxfId="650" priority="404" operator="greaterThan">
      <formula>0</formula>
    </cfRule>
  </conditionalFormatting>
  <conditionalFormatting sqref="G114">
    <cfRule type="cellIs" dxfId="649" priority="399" operator="greaterThan">
      <formula>0.25</formula>
    </cfRule>
    <cfRule type="cellIs" dxfId="648" priority="400" operator="lessThan">
      <formula>0</formula>
    </cfRule>
    <cfRule type="cellIs" dxfId="647" priority="401" operator="between">
      <formula>0.01</formula>
      <formula>0.24</formula>
    </cfRule>
    <cfRule type="cellIs" dxfId="646" priority="402" operator="greaterThan">
      <formula>25</formula>
    </cfRule>
  </conditionalFormatting>
  <conditionalFormatting sqref="G143">
    <cfRule type="cellIs" dxfId="645" priority="395" operator="greaterThan">
      <formula>0.25</formula>
    </cfRule>
    <cfRule type="cellIs" dxfId="644" priority="396" operator="lessThan">
      <formula>0</formula>
    </cfRule>
    <cfRule type="cellIs" dxfId="643" priority="397" operator="between">
      <formula>0.01</formula>
      <formula>0.24</formula>
    </cfRule>
    <cfRule type="cellIs" dxfId="642" priority="398" operator="greaterThan">
      <formula>25</formula>
    </cfRule>
  </conditionalFormatting>
  <conditionalFormatting sqref="G86">
    <cfRule type="cellIs" dxfId="641" priority="391" operator="greaterThan">
      <formula>0.25</formula>
    </cfRule>
    <cfRule type="cellIs" dxfId="640" priority="392" operator="lessThan">
      <formula>0</formula>
    </cfRule>
    <cfRule type="cellIs" dxfId="639" priority="393" operator="between">
      <formula>0.01</formula>
      <formula>0.24</formula>
    </cfRule>
    <cfRule type="cellIs" dxfId="638" priority="394" operator="greaterThan">
      <formula>25</formula>
    </cfRule>
  </conditionalFormatting>
  <conditionalFormatting sqref="G58">
    <cfRule type="cellIs" dxfId="637" priority="387" operator="greaterThan">
      <formula>0.25</formula>
    </cfRule>
    <cfRule type="cellIs" dxfId="636" priority="388" operator="lessThan">
      <formula>0</formula>
    </cfRule>
    <cfRule type="cellIs" dxfId="635" priority="389" operator="between">
      <formula>0.01</formula>
      <formula>0.24</formula>
    </cfRule>
    <cfRule type="cellIs" dxfId="634" priority="390" operator="greaterThan">
      <formula>25</formula>
    </cfRule>
  </conditionalFormatting>
  <conditionalFormatting sqref="G29">
    <cfRule type="cellIs" dxfId="633" priority="383" operator="greaterThan">
      <formula>0.25</formula>
    </cfRule>
    <cfRule type="cellIs" dxfId="632" priority="384" operator="lessThan">
      <formula>0</formula>
    </cfRule>
    <cfRule type="cellIs" dxfId="631" priority="385" operator="between">
      <formula>0.01</formula>
      <formula>0.24</formula>
    </cfRule>
    <cfRule type="cellIs" dxfId="630" priority="386" operator="greaterThan">
      <formula>25</formula>
    </cfRule>
  </conditionalFormatting>
  <conditionalFormatting sqref="D28">
    <cfRule type="cellIs" dxfId="629" priority="381" operator="lessThan">
      <formula>0</formula>
    </cfRule>
    <cfRule type="cellIs" dxfId="628" priority="382" operator="greaterThan">
      <formula>0</formula>
    </cfRule>
  </conditionalFormatting>
  <conditionalFormatting sqref="D29">
    <cfRule type="cellIs" dxfId="627" priority="377" operator="greaterThan">
      <formula>0.25</formula>
    </cfRule>
    <cfRule type="cellIs" dxfId="626" priority="378" operator="lessThan">
      <formula>0</formula>
    </cfRule>
    <cfRule type="cellIs" dxfId="625" priority="379" operator="between">
      <formula>0.01</formula>
      <formula>0.24</formula>
    </cfRule>
    <cfRule type="cellIs" dxfId="624" priority="380" operator="greaterThan">
      <formula>25</formula>
    </cfRule>
  </conditionalFormatting>
  <conditionalFormatting sqref="D57">
    <cfRule type="cellIs" dxfId="623" priority="375" operator="lessThan">
      <formula>0</formula>
    </cfRule>
    <cfRule type="cellIs" dxfId="622" priority="376" operator="greaterThan">
      <formula>0</formula>
    </cfRule>
  </conditionalFormatting>
  <conditionalFormatting sqref="D58">
    <cfRule type="cellIs" dxfId="621" priority="371" operator="greaterThan">
      <formula>0.25</formula>
    </cfRule>
    <cfRule type="cellIs" dxfId="620" priority="372" operator="lessThan">
      <formula>0</formula>
    </cfRule>
    <cfRule type="cellIs" dxfId="619" priority="373" operator="between">
      <formula>0.01</formula>
      <formula>0.24</formula>
    </cfRule>
    <cfRule type="cellIs" dxfId="618" priority="374" operator="greaterThan">
      <formula>25</formula>
    </cfRule>
  </conditionalFormatting>
  <conditionalFormatting sqref="K29">
    <cfRule type="cellIs" dxfId="617" priority="255" operator="greaterThan">
      <formula>0.25</formula>
    </cfRule>
    <cfRule type="cellIs" dxfId="616" priority="256" operator="lessThan">
      <formula>0</formula>
    </cfRule>
    <cfRule type="cellIs" dxfId="615" priority="257" operator="between">
      <formula>0.01</formula>
      <formula>0.24</formula>
    </cfRule>
    <cfRule type="cellIs" dxfId="614" priority="258" operator="greaterThan">
      <formula>25</formula>
    </cfRule>
  </conditionalFormatting>
  <conditionalFormatting sqref="D85">
    <cfRule type="cellIs" dxfId="613" priority="369" operator="lessThan">
      <formula>0</formula>
    </cfRule>
    <cfRule type="cellIs" dxfId="612" priority="370" operator="greaterThan">
      <formula>0</formula>
    </cfRule>
  </conditionalFormatting>
  <conditionalFormatting sqref="D86">
    <cfRule type="cellIs" dxfId="611" priority="365" operator="greaterThan">
      <formula>0.25</formula>
    </cfRule>
    <cfRule type="cellIs" dxfId="610" priority="366" operator="lessThan">
      <formula>0</formula>
    </cfRule>
    <cfRule type="cellIs" dxfId="609" priority="367" operator="between">
      <formula>0.01</formula>
      <formula>0.24</formula>
    </cfRule>
    <cfRule type="cellIs" dxfId="608" priority="368" operator="greaterThan">
      <formula>25</formula>
    </cfRule>
  </conditionalFormatting>
  <conditionalFormatting sqref="D113">
    <cfRule type="cellIs" dxfId="607" priority="363" operator="lessThan">
      <formula>0</formula>
    </cfRule>
    <cfRule type="cellIs" dxfId="606" priority="364" operator="greaterThan">
      <formula>0</formula>
    </cfRule>
  </conditionalFormatting>
  <conditionalFormatting sqref="D114">
    <cfRule type="cellIs" dxfId="605" priority="359" operator="greaterThan">
      <formula>0.25</formula>
    </cfRule>
    <cfRule type="cellIs" dxfId="604" priority="360" operator="lessThan">
      <formula>0</formula>
    </cfRule>
    <cfRule type="cellIs" dxfId="603" priority="361" operator="between">
      <formula>0.01</formula>
      <formula>0.24</formula>
    </cfRule>
    <cfRule type="cellIs" dxfId="602" priority="362" operator="greaterThan">
      <formula>25</formula>
    </cfRule>
  </conditionalFormatting>
  <conditionalFormatting sqref="D142">
    <cfRule type="cellIs" dxfId="601" priority="357" operator="lessThan">
      <formula>0</formula>
    </cfRule>
    <cfRule type="cellIs" dxfId="600" priority="358" operator="greaterThan">
      <formula>0</formula>
    </cfRule>
  </conditionalFormatting>
  <conditionalFormatting sqref="D143">
    <cfRule type="cellIs" dxfId="599" priority="353" operator="greaterThan">
      <formula>0.25</formula>
    </cfRule>
    <cfRule type="cellIs" dxfId="598" priority="354" operator="lessThan">
      <formula>0</formula>
    </cfRule>
    <cfRule type="cellIs" dxfId="597" priority="355" operator="between">
      <formula>0.01</formula>
      <formula>0.24</formula>
    </cfRule>
    <cfRule type="cellIs" dxfId="596" priority="356" operator="greaterThan">
      <formula>25</formula>
    </cfRule>
  </conditionalFormatting>
  <conditionalFormatting sqref="K28">
    <cfRule type="cellIs" dxfId="595" priority="259" operator="lessThan">
      <formula>0</formula>
    </cfRule>
    <cfRule type="cellIs" dxfId="594" priority="260" operator="greaterThan">
      <formula>0</formula>
    </cfRule>
  </conditionalFormatting>
  <conditionalFormatting sqref="M12:N14 M16:N16">
    <cfRule type="cellIs" dxfId="593" priority="352" operator="lessThan">
      <formula>0</formula>
    </cfRule>
  </conditionalFormatting>
  <conditionalFormatting sqref="M14:N14 M16:N16">
    <cfRule type="cellIs" dxfId="592" priority="351" operator="greaterThan">
      <formula>0</formula>
    </cfRule>
  </conditionalFormatting>
  <conditionalFormatting sqref="N28">
    <cfRule type="cellIs" dxfId="591" priority="349" operator="lessThan">
      <formula>0</formula>
    </cfRule>
    <cfRule type="cellIs" dxfId="590" priority="350" operator="greaterThan">
      <formula>0</formula>
    </cfRule>
  </conditionalFormatting>
  <conditionalFormatting sqref="N41:N43 N45">
    <cfRule type="cellIs" dxfId="589" priority="348" operator="lessThan">
      <formula>0</formula>
    </cfRule>
  </conditionalFormatting>
  <conditionalFormatting sqref="N43 N45">
    <cfRule type="cellIs" dxfId="588" priority="347" operator="greaterThan">
      <formula>0</formula>
    </cfRule>
  </conditionalFormatting>
  <conditionalFormatting sqref="N57">
    <cfRule type="cellIs" dxfId="587" priority="345" operator="lessThan">
      <formula>0</formula>
    </cfRule>
    <cfRule type="cellIs" dxfId="586" priority="346" operator="greaterThan">
      <formula>0</formula>
    </cfRule>
  </conditionalFormatting>
  <conditionalFormatting sqref="N69:N71 N73">
    <cfRule type="cellIs" dxfId="585" priority="344" operator="lessThan">
      <formula>0</formula>
    </cfRule>
  </conditionalFormatting>
  <conditionalFormatting sqref="N71 N73">
    <cfRule type="cellIs" dxfId="584" priority="343" operator="greaterThan">
      <formula>0</formula>
    </cfRule>
  </conditionalFormatting>
  <conditionalFormatting sqref="N85">
    <cfRule type="cellIs" dxfId="583" priority="341" operator="lessThan">
      <formula>0</formula>
    </cfRule>
    <cfRule type="cellIs" dxfId="582" priority="342" operator="greaterThan">
      <formula>0</formula>
    </cfRule>
  </conditionalFormatting>
  <conditionalFormatting sqref="N99:N101 N103">
    <cfRule type="cellIs" dxfId="581" priority="340" operator="lessThan">
      <formula>0</formula>
    </cfRule>
  </conditionalFormatting>
  <conditionalFormatting sqref="N101 N103">
    <cfRule type="cellIs" dxfId="580" priority="339" operator="greaterThan">
      <formula>0</formula>
    </cfRule>
  </conditionalFormatting>
  <conditionalFormatting sqref="N115">
    <cfRule type="cellIs" dxfId="579" priority="337" operator="lessThan">
      <formula>0</formula>
    </cfRule>
    <cfRule type="cellIs" dxfId="578" priority="338" operator="greaterThan">
      <formula>0</formula>
    </cfRule>
  </conditionalFormatting>
  <conditionalFormatting sqref="M126:N128 M130:N130">
    <cfRule type="cellIs" dxfId="577" priority="336" operator="lessThan">
      <formula>0</formula>
    </cfRule>
  </conditionalFormatting>
  <conditionalFormatting sqref="M128:N128 M130:N130">
    <cfRule type="cellIs" dxfId="576" priority="335" operator="greaterThan">
      <formula>0</formula>
    </cfRule>
  </conditionalFormatting>
  <conditionalFormatting sqref="L142:N142">
    <cfRule type="cellIs" dxfId="575" priority="333" operator="lessThan">
      <formula>0</formula>
    </cfRule>
    <cfRule type="cellIs" dxfId="574" priority="334" operator="greaterThan">
      <formula>0</formula>
    </cfRule>
  </conditionalFormatting>
  <conditionalFormatting sqref="N116">
    <cfRule type="cellIs" dxfId="573" priority="329" operator="greaterThan">
      <formula>0.25</formula>
    </cfRule>
    <cfRule type="cellIs" dxfId="572" priority="330" operator="lessThan">
      <formula>0</formula>
    </cfRule>
    <cfRule type="cellIs" dxfId="571" priority="331" operator="between">
      <formula>0.01</formula>
      <formula>0.24</formula>
    </cfRule>
    <cfRule type="cellIs" dxfId="570" priority="332" operator="greaterThan">
      <formula>25</formula>
    </cfRule>
  </conditionalFormatting>
  <conditionalFormatting sqref="L143:N143">
    <cfRule type="cellIs" dxfId="569" priority="325" operator="greaterThan">
      <formula>0.25</formula>
    </cfRule>
    <cfRule type="cellIs" dxfId="568" priority="326" operator="lessThan">
      <formula>0</formula>
    </cfRule>
    <cfRule type="cellIs" dxfId="567" priority="327" operator="between">
      <formula>0.01</formula>
      <formula>0.24</formula>
    </cfRule>
    <cfRule type="cellIs" dxfId="566" priority="328" operator="greaterThan">
      <formula>25</formula>
    </cfRule>
  </conditionalFormatting>
  <conditionalFormatting sqref="N86">
    <cfRule type="cellIs" dxfId="565" priority="321" operator="greaterThan">
      <formula>0.25</formula>
    </cfRule>
    <cfRule type="cellIs" dxfId="564" priority="322" operator="lessThan">
      <formula>0</formula>
    </cfRule>
    <cfRule type="cellIs" dxfId="563" priority="323" operator="between">
      <formula>0.01</formula>
      <formula>0.24</formula>
    </cfRule>
    <cfRule type="cellIs" dxfId="562" priority="324" operator="greaterThan">
      <formula>25</formula>
    </cfRule>
  </conditionalFormatting>
  <conditionalFormatting sqref="N58">
    <cfRule type="cellIs" dxfId="561" priority="317" operator="greaterThan">
      <formula>0.25</formula>
    </cfRule>
    <cfRule type="cellIs" dxfId="560" priority="318" operator="lessThan">
      <formula>0</formula>
    </cfRule>
    <cfRule type="cellIs" dxfId="559" priority="319" operator="between">
      <formula>0.01</formula>
      <formula>0.24</formula>
    </cfRule>
    <cfRule type="cellIs" dxfId="558" priority="320" operator="greaterThan">
      <formula>25</formula>
    </cfRule>
  </conditionalFormatting>
  <conditionalFormatting sqref="N29">
    <cfRule type="cellIs" dxfId="557" priority="313" operator="greaterThan">
      <formula>0.25</formula>
    </cfRule>
    <cfRule type="cellIs" dxfId="556" priority="314" operator="lessThan">
      <formula>0</formula>
    </cfRule>
    <cfRule type="cellIs" dxfId="555" priority="315" operator="between">
      <formula>0.01</formula>
      <formula>0.24</formula>
    </cfRule>
    <cfRule type="cellIs" dxfId="554" priority="316" operator="greaterThan">
      <formula>25</formula>
    </cfRule>
  </conditionalFormatting>
  <conditionalFormatting sqref="O34">
    <cfRule type="cellIs" dxfId="553" priority="309" operator="lessThan">
      <formula>0</formula>
    </cfRule>
    <cfRule type="cellIs" dxfId="552" priority="310" operator="greaterThan">
      <formula>0</formula>
    </cfRule>
  </conditionalFormatting>
  <conditionalFormatting sqref="O47:O49">
    <cfRule type="cellIs" dxfId="551" priority="308" operator="lessThan">
      <formula>0</formula>
    </cfRule>
  </conditionalFormatting>
  <conditionalFormatting sqref="O49">
    <cfRule type="cellIs" dxfId="550" priority="307" operator="greaterThan">
      <formula>0</formula>
    </cfRule>
  </conditionalFormatting>
  <conditionalFormatting sqref="O73:O74 O77">
    <cfRule type="cellIs" dxfId="549" priority="304" operator="lessThan">
      <formula>0</formula>
    </cfRule>
  </conditionalFormatting>
  <conditionalFormatting sqref="O77">
    <cfRule type="cellIs" dxfId="548" priority="303" operator="greaterThan">
      <formula>0</formula>
    </cfRule>
  </conditionalFormatting>
  <conditionalFormatting sqref="O98:O99 O101">
    <cfRule type="cellIs" dxfId="547" priority="300" operator="lessThan">
      <formula>0</formula>
    </cfRule>
  </conditionalFormatting>
  <conditionalFormatting sqref="O99 O101">
    <cfRule type="cellIs" dxfId="546" priority="299" operator="greaterThan">
      <formula>0</formula>
    </cfRule>
  </conditionalFormatting>
  <conditionalFormatting sqref="O113">
    <cfRule type="cellIs" dxfId="545" priority="297" operator="lessThan">
      <formula>0</formula>
    </cfRule>
    <cfRule type="cellIs" dxfId="544" priority="298" operator="greaterThan">
      <formula>0</formula>
    </cfRule>
  </conditionalFormatting>
  <conditionalFormatting sqref="O126:O128 O130">
    <cfRule type="cellIs" dxfId="543" priority="296" operator="lessThan">
      <formula>0</formula>
    </cfRule>
  </conditionalFormatting>
  <conditionalFormatting sqref="O128 O130">
    <cfRule type="cellIs" dxfId="542" priority="295" operator="greaterThan">
      <formula>0</formula>
    </cfRule>
  </conditionalFormatting>
  <conditionalFormatting sqref="O142">
    <cfRule type="cellIs" dxfId="541" priority="293" operator="lessThan">
      <formula>0</formula>
    </cfRule>
    <cfRule type="cellIs" dxfId="540" priority="294" operator="greaterThan">
      <formula>0</formula>
    </cfRule>
  </conditionalFormatting>
  <conditionalFormatting sqref="O114">
    <cfRule type="cellIs" dxfId="539" priority="289" operator="greaterThan">
      <formula>0.25</formula>
    </cfRule>
    <cfRule type="cellIs" dxfId="538" priority="290" operator="lessThan">
      <formula>0</formula>
    </cfRule>
    <cfRule type="cellIs" dxfId="537" priority="291" operator="between">
      <formula>0.01</formula>
      <formula>0.24</formula>
    </cfRule>
    <cfRule type="cellIs" dxfId="536" priority="292" operator="greaterThan">
      <formula>25</formula>
    </cfRule>
  </conditionalFormatting>
  <conditionalFormatting sqref="O143">
    <cfRule type="cellIs" dxfId="535" priority="285" operator="greaterThan">
      <formula>0.25</formula>
    </cfRule>
    <cfRule type="cellIs" dxfId="534" priority="286" operator="lessThan">
      <formula>0</formula>
    </cfRule>
    <cfRule type="cellIs" dxfId="533" priority="287" operator="between">
      <formula>0.01</formula>
      <formula>0.24</formula>
    </cfRule>
    <cfRule type="cellIs" dxfId="532" priority="288" operator="greaterThan">
      <formula>25</formula>
    </cfRule>
  </conditionalFormatting>
  <conditionalFormatting sqref="O35">
    <cfRule type="cellIs" dxfId="531" priority="273" operator="greaterThan">
      <formula>0.25</formula>
    </cfRule>
    <cfRule type="cellIs" dxfId="530" priority="274" operator="lessThan">
      <formula>0</formula>
    </cfRule>
    <cfRule type="cellIs" dxfId="529" priority="275" operator="between">
      <formula>0.01</formula>
      <formula>0.24</formula>
    </cfRule>
    <cfRule type="cellIs" dxfId="528" priority="276" operator="greaterThan">
      <formula>25</formula>
    </cfRule>
  </conditionalFormatting>
  <conditionalFormatting sqref="K142">
    <cfRule type="cellIs" dxfId="527" priority="265" operator="lessThan">
      <formula>0</formula>
    </cfRule>
    <cfRule type="cellIs" dxfId="526" priority="266" operator="greaterThan">
      <formula>0</formula>
    </cfRule>
  </conditionalFormatting>
  <conditionalFormatting sqref="K143">
    <cfRule type="cellIs" dxfId="525" priority="261" operator="greaterThan">
      <formula>0.25</formula>
    </cfRule>
    <cfRule type="cellIs" dxfId="524" priority="262" operator="lessThan">
      <formula>0</formula>
    </cfRule>
    <cfRule type="cellIs" dxfId="523" priority="263" operator="between">
      <formula>0.01</formula>
      <formula>0.24</formula>
    </cfRule>
    <cfRule type="cellIs" dxfId="522" priority="264" operator="greaterThan">
      <formula>25</formula>
    </cfRule>
  </conditionalFormatting>
  <conditionalFormatting sqref="L29">
    <cfRule type="cellIs" dxfId="521" priority="249" operator="greaterThan">
      <formula>0.25</formula>
    </cfRule>
    <cfRule type="cellIs" dxfId="520" priority="250" operator="lessThan">
      <formula>0</formula>
    </cfRule>
    <cfRule type="cellIs" dxfId="519" priority="251" operator="between">
      <formula>0.01</formula>
      <formula>0.24</formula>
    </cfRule>
    <cfRule type="cellIs" dxfId="518" priority="252" operator="greaterThan">
      <formula>25</formula>
    </cfRule>
  </conditionalFormatting>
  <conditionalFormatting sqref="G206">
    <cfRule type="cellIs" dxfId="517" priority="187" operator="greaterThan">
      <formula>0.25</formula>
    </cfRule>
    <cfRule type="cellIs" dxfId="516" priority="188" operator="lessThan">
      <formula>0</formula>
    </cfRule>
    <cfRule type="cellIs" dxfId="515" priority="189" operator="between">
      <formula>0.01</formula>
      <formula>0.24</formula>
    </cfRule>
    <cfRule type="cellIs" dxfId="514" priority="190" operator="greaterThan">
      <formula>25</formula>
    </cfRule>
  </conditionalFormatting>
  <conditionalFormatting sqref="G205">
    <cfRule type="cellIs" dxfId="513" priority="191" operator="lessThan">
      <formula>0</formula>
    </cfRule>
    <cfRule type="cellIs" dxfId="512" priority="192" operator="greaterThan">
      <formula>0</formula>
    </cfRule>
  </conditionalFormatting>
  <conditionalFormatting sqref="D206">
    <cfRule type="cellIs" dxfId="511" priority="181" operator="greaterThan">
      <formula>0.25</formula>
    </cfRule>
    <cfRule type="cellIs" dxfId="510" priority="182" operator="lessThan">
      <formula>0</formula>
    </cfRule>
    <cfRule type="cellIs" dxfId="509" priority="183" operator="between">
      <formula>0.01</formula>
      <formula>0.24</formula>
    </cfRule>
    <cfRule type="cellIs" dxfId="508" priority="184" operator="greaterThan">
      <formula>25</formula>
    </cfRule>
  </conditionalFormatting>
  <conditionalFormatting sqref="D205">
    <cfRule type="cellIs" dxfId="507" priority="185" operator="lessThan">
      <formula>0</formula>
    </cfRule>
    <cfRule type="cellIs" dxfId="506" priority="186" operator="greaterThan">
      <formula>0</formula>
    </cfRule>
  </conditionalFormatting>
  <conditionalFormatting sqref="F156 F158 F160">
    <cfRule type="cellIs" dxfId="505" priority="224" operator="lessThan">
      <formula>0</formula>
    </cfRule>
  </conditionalFormatting>
  <conditionalFormatting sqref="F158 F160">
    <cfRule type="cellIs" dxfId="504" priority="223" operator="greaterThan">
      <formula>0</formula>
    </cfRule>
  </conditionalFormatting>
  <conditionalFormatting sqref="E174:F174">
    <cfRule type="cellIs" dxfId="503" priority="221" operator="lessThan">
      <formula>0</formula>
    </cfRule>
    <cfRule type="cellIs" dxfId="502" priority="222" operator="greaterThan">
      <formula>0</formula>
    </cfRule>
  </conditionalFormatting>
  <conditionalFormatting sqref="E175:F175">
    <cfRule type="cellIs" dxfId="501" priority="217" operator="greaterThan">
      <formula>0.25</formula>
    </cfRule>
    <cfRule type="cellIs" dxfId="500" priority="218" operator="lessThan">
      <formula>0</formula>
    </cfRule>
    <cfRule type="cellIs" dxfId="499" priority="219" operator="between">
      <formula>0.01</formula>
      <formula>0.24</formula>
    </cfRule>
    <cfRule type="cellIs" dxfId="498" priority="220" operator="greaterThan">
      <formula>25</formula>
    </cfRule>
  </conditionalFormatting>
  <conditionalFormatting sqref="G156 G158 G160">
    <cfRule type="cellIs" dxfId="497" priority="216" operator="lessThan">
      <formula>0</formula>
    </cfRule>
  </conditionalFormatting>
  <conditionalFormatting sqref="G158 G160">
    <cfRule type="cellIs" dxfId="496" priority="215" operator="greaterThan">
      <formula>0</formula>
    </cfRule>
  </conditionalFormatting>
  <conditionalFormatting sqref="G174">
    <cfRule type="cellIs" dxfId="495" priority="213" operator="lessThan">
      <formula>0</formula>
    </cfRule>
    <cfRule type="cellIs" dxfId="494" priority="214" operator="greaterThan">
      <formula>0</formula>
    </cfRule>
  </conditionalFormatting>
  <conditionalFormatting sqref="G175">
    <cfRule type="cellIs" dxfId="493" priority="209" operator="greaterThan">
      <formula>0.25</formula>
    </cfRule>
    <cfRule type="cellIs" dxfId="492" priority="210" operator="lessThan">
      <formula>0</formula>
    </cfRule>
    <cfRule type="cellIs" dxfId="491" priority="211" operator="between">
      <formula>0.01</formula>
      <formula>0.24</formula>
    </cfRule>
    <cfRule type="cellIs" dxfId="490" priority="212" operator="greaterThan">
      <formula>25</formula>
    </cfRule>
  </conditionalFormatting>
  <conditionalFormatting sqref="D174">
    <cfRule type="cellIs" dxfId="489" priority="207" operator="lessThan">
      <formula>0</formula>
    </cfRule>
    <cfRule type="cellIs" dxfId="488" priority="208" operator="greaterThan">
      <formula>0</formula>
    </cfRule>
  </conditionalFormatting>
  <conditionalFormatting sqref="D175">
    <cfRule type="cellIs" dxfId="487" priority="203" operator="greaterThan">
      <formula>0.25</formula>
    </cfRule>
    <cfRule type="cellIs" dxfId="486" priority="204" operator="lessThan">
      <formula>0</formula>
    </cfRule>
    <cfRule type="cellIs" dxfId="485" priority="205" operator="between">
      <formula>0.01</formula>
      <formula>0.24</formula>
    </cfRule>
    <cfRule type="cellIs" dxfId="484" priority="206" operator="greaterThan">
      <formula>25</formula>
    </cfRule>
  </conditionalFormatting>
  <conditionalFormatting sqref="F187 F189 F191">
    <cfRule type="cellIs" dxfId="483" priority="202" operator="lessThan">
      <formula>0</formula>
    </cfRule>
  </conditionalFormatting>
  <conditionalFormatting sqref="F189 F191">
    <cfRule type="cellIs" dxfId="482" priority="201" operator="greaterThan">
      <formula>0</formula>
    </cfRule>
  </conditionalFormatting>
  <conditionalFormatting sqref="E205:F205">
    <cfRule type="cellIs" dxfId="481" priority="199" operator="lessThan">
      <formula>0</formula>
    </cfRule>
    <cfRule type="cellIs" dxfId="480" priority="200" operator="greaterThan">
      <formula>0</formula>
    </cfRule>
  </conditionalFormatting>
  <conditionalFormatting sqref="E206:F206">
    <cfRule type="cellIs" dxfId="479" priority="195" operator="greaterThan">
      <formula>0.25</formula>
    </cfRule>
    <cfRule type="cellIs" dxfId="478" priority="196" operator="lessThan">
      <formula>0</formula>
    </cfRule>
    <cfRule type="cellIs" dxfId="477" priority="197" operator="between">
      <formula>0.01</formula>
      <formula>0.24</formula>
    </cfRule>
    <cfRule type="cellIs" dxfId="476" priority="198" operator="greaterThan">
      <formula>25</formula>
    </cfRule>
  </conditionalFormatting>
  <conditionalFormatting sqref="G187 G189 G191">
    <cfRule type="cellIs" dxfId="475" priority="194" operator="lessThan">
      <formula>0</formula>
    </cfRule>
  </conditionalFormatting>
  <conditionalFormatting sqref="G189 G191">
    <cfRule type="cellIs" dxfId="474" priority="193" operator="greaterThan">
      <formula>0</formula>
    </cfRule>
  </conditionalFormatting>
  <conditionalFormatting sqref="F218 F220 F222">
    <cfRule type="cellIs" dxfId="473" priority="180" operator="lessThan">
      <formula>0</formula>
    </cfRule>
  </conditionalFormatting>
  <conditionalFormatting sqref="F220 F222">
    <cfRule type="cellIs" dxfId="472" priority="179" operator="greaterThan">
      <formula>0</formula>
    </cfRule>
  </conditionalFormatting>
  <conditionalFormatting sqref="E236:F236">
    <cfRule type="cellIs" dxfId="471" priority="177" operator="lessThan">
      <formula>0</formula>
    </cfRule>
    <cfRule type="cellIs" dxfId="470" priority="178" operator="greaterThan">
      <formula>0</formula>
    </cfRule>
  </conditionalFormatting>
  <conditionalFormatting sqref="E237:F237">
    <cfRule type="cellIs" dxfId="469" priority="173" operator="greaterThan">
      <formula>0.25</formula>
    </cfRule>
    <cfRule type="cellIs" dxfId="468" priority="174" operator="lessThan">
      <formula>0</formula>
    </cfRule>
    <cfRule type="cellIs" dxfId="467" priority="175" operator="between">
      <formula>0.01</formula>
      <formula>0.24</formula>
    </cfRule>
    <cfRule type="cellIs" dxfId="466" priority="176" operator="greaterThan">
      <formula>25</formula>
    </cfRule>
  </conditionalFormatting>
  <conditionalFormatting sqref="G218 G220 G222">
    <cfRule type="cellIs" dxfId="465" priority="172" operator="lessThan">
      <formula>0</formula>
    </cfRule>
  </conditionalFormatting>
  <conditionalFormatting sqref="G220 G222">
    <cfRule type="cellIs" dxfId="464" priority="171" operator="greaterThan">
      <formula>0</formula>
    </cfRule>
  </conditionalFormatting>
  <conditionalFormatting sqref="G236">
    <cfRule type="cellIs" dxfId="463" priority="169" operator="lessThan">
      <formula>0</formula>
    </cfRule>
    <cfRule type="cellIs" dxfId="462" priority="170" operator="greaterThan">
      <formula>0</formula>
    </cfRule>
  </conditionalFormatting>
  <conditionalFormatting sqref="G237">
    <cfRule type="cellIs" dxfId="461" priority="165" operator="greaterThan">
      <formula>0.25</formula>
    </cfRule>
    <cfRule type="cellIs" dxfId="460" priority="166" operator="lessThan">
      <formula>0</formula>
    </cfRule>
    <cfRule type="cellIs" dxfId="459" priority="167" operator="between">
      <formula>0.01</formula>
      <formula>0.24</formula>
    </cfRule>
    <cfRule type="cellIs" dxfId="458" priority="168" operator="greaterThan">
      <formula>25</formula>
    </cfRule>
  </conditionalFormatting>
  <conditionalFormatting sqref="D236">
    <cfRule type="cellIs" dxfId="457" priority="163" operator="lessThan">
      <formula>0</formula>
    </cfRule>
    <cfRule type="cellIs" dxfId="456" priority="164" operator="greaterThan">
      <formula>0</formula>
    </cfRule>
  </conditionalFormatting>
  <conditionalFormatting sqref="D237">
    <cfRule type="cellIs" dxfId="455" priority="159" operator="greaterThan">
      <formula>0.25</formula>
    </cfRule>
    <cfRule type="cellIs" dxfId="454" priority="160" operator="lessThan">
      <formula>0</formula>
    </cfRule>
    <cfRule type="cellIs" dxfId="453" priority="161" operator="between">
      <formula>0.01</formula>
      <formula>0.24</formula>
    </cfRule>
    <cfRule type="cellIs" dxfId="452" priority="162" operator="greaterThan">
      <formula>25</formula>
    </cfRule>
  </conditionalFormatting>
  <conditionalFormatting sqref="F249 F251 F253">
    <cfRule type="cellIs" dxfId="451" priority="158" operator="lessThan">
      <formula>0</formula>
    </cfRule>
  </conditionalFormatting>
  <conditionalFormatting sqref="F251 F253">
    <cfRule type="cellIs" dxfId="450" priority="157" operator="greaterThan">
      <formula>0</formula>
    </cfRule>
  </conditionalFormatting>
  <conditionalFormatting sqref="E267:F267">
    <cfRule type="cellIs" dxfId="449" priority="155" operator="lessThan">
      <formula>0</formula>
    </cfRule>
    <cfRule type="cellIs" dxfId="448" priority="156" operator="greaterThan">
      <formula>0</formula>
    </cfRule>
  </conditionalFormatting>
  <conditionalFormatting sqref="E268:F268">
    <cfRule type="cellIs" dxfId="447" priority="151" operator="greaterThan">
      <formula>0.25</formula>
    </cfRule>
    <cfRule type="cellIs" dxfId="446" priority="152" operator="lessThan">
      <formula>0</formula>
    </cfRule>
    <cfRule type="cellIs" dxfId="445" priority="153" operator="between">
      <formula>0.01</formula>
      <formula>0.24</formula>
    </cfRule>
    <cfRule type="cellIs" dxfId="444" priority="154" operator="greaterThan">
      <formula>25</formula>
    </cfRule>
  </conditionalFormatting>
  <conditionalFormatting sqref="G249 G251 G253">
    <cfRule type="cellIs" dxfId="443" priority="150" operator="lessThan">
      <formula>0</formula>
    </cfRule>
  </conditionalFormatting>
  <conditionalFormatting sqref="G251 G253">
    <cfRule type="cellIs" dxfId="442" priority="149" operator="greaterThan">
      <formula>0</formula>
    </cfRule>
  </conditionalFormatting>
  <conditionalFormatting sqref="G267">
    <cfRule type="cellIs" dxfId="441" priority="147" operator="lessThan">
      <formula>0</formula>
    </cfRule>
    <cfRule type="cellIs" dxfId="440" priority="148" operator="greaterThan">
      <formula>0</formula>
    </cfRule>
  </conditionalFormatting>
  <conditionalFormatting sqref="G268">
    <cfRule type="cellIs" dxfId="439" priority="143" operator="greaterThan">
      <formula>0.25</formula>
    </cfRule>
    <cfRule type="cellIs" dxfId="438" priority="144" operator="lessThan">
      <formula>0</formula>
    </cfRule>
    <cfRule type="cellIs" dxfId="437" priority="145" operator="between">
      <formula>0.01</formula>
      <formula>0.24</formula>
    </cfRule>
    <cfRule type="cellIs" dxfId="436" priority="146" operator="greaterThan">
      <formula>25</formula>
    </cfRule>
  </conditionalFormatting>
  <conditionalFormatting sqref="D267">
    <cfRule type="cellIs" dxfId="435" priority="141" operator="lessThan">
      <formula>0</formula>
    </cfRule>
    <cfRule type="cellIs" dxfId="434" priority="142" operator="greaterThan">
      <formula>0</formula>
    </cfRule>
  </conditionalFormatting>
  <conditionalFormatting sqref="D268">
    <cfRule type="cellIs" dxfId="433" priority="137" operator="greaterThan">
      <formula>0.25</formula>
    </cfRule>
    <cfRule type="cellIs" dxfId="432" priority="138" operator="lessThan">
      <formula>0</formula>
    </cfRule>
    <cfRule type="cellIs" dxfId="431" priority="139" operator="between">
      <formula>0.01</formula>
      <formula>0.24</formula>
    </cfRule>
    <cfRule type="cellIs" dxfId="430" priority="140" operator="greaterThan">
      <formula>25</formula>
    </cfRule>
  </conditionalFormatting>
  <conditionalFormatting sqref="M29">
    <cfRule type="cellIs" dxfId="429" priority="121" operator="greaterThan">
      <formula>0.25</formula>
    </cfRule>
    <cfRule type="cellIs" dxfId="428" priority="122" operator="lessThan">
      <formula>0</formula>
    </cfRule>
    <cfRule type="cellIs" dxfId="427" priority="123" operator="between">
      <formula>0.01</formula>
      <formula>0.24</formula>
    </cfRule>
    <cfRule type="cellIs" dxfId="426" priority="124" operator="greaterThan">
      <formula>25</formula>
    </cfRule>
  </conditionalFormatting>
  <conditionalFormatting sqref="M30">
    <cfRule type="cellIs" dxfId="425" priority="119" operator="lessThan">
      <formula>0</formula>
    </cfRule>
    <cfRule type="cellIs" dxfId="424" priority="120" operator="greaterThan">
      <formula>0</formula>
    </cfRule>
  </conditionalFormatting>
  <conditionalFormatting sqref="L28">
    <cfRule type="cellIs" dxfId="423" priority="117" operator="lessThan">
      <formula>0</formula>
    </cfRule>
    <cfRule type="cellIs" dxfId="422" priority="118" operator="greaterThan">
      <formula>0</formula>
    </cfRule>
  </conditionalFormatting>
  <conditionalFormatting sqref="M28">
    <cfRule type="cellIs" dxfId="421" priority="115" operator="lessThan">
      <formula>0</formula>
    </cfRule>
    <cfRule type="cellIs" dxfId="420" priority="116" operator="greaterThan">
      <formula>0</formula>
    </cfRule>
  </conditionalFormatting>
  <conditionalFormatting sqref="K121">
    <cfRule type="cellIs" dxfId="419" priority="41" operator="greaterThan">
      <formula>0.25</formula>
    </cfRule>
    <cfRule type="cellIs" dxfId="418" priority="42" operator="lessThan">
      <formula>0</formula>
    </cfRule>
    <cfRule type="cellIs" dxfId="417" priority="43" operator="between">
      <formula>0.01</formula>
      <formula>0.24</formula>
    </cfRule>
    <cfRule type="cellIs" dxfId="416" priority="44" operator="greaterThan">
      <formula>25</formula>
    </cfRule>
  </conditionalFormatting>
  <conditionalFormatting sqref="K120">
    <cfRule type="cellIs" dxfId="415" priority="45" operator="lessThan">
      <formula>0</formula>
    </cfRule>
    <cfRule type="cellIs" dxfId="414" priority="46" operator="greaterThan">
      <formula>0</formula>
    </cfRule>
  </conditionalFormatting>
  <conditionalFormatting sqref="M104:M106 M108">
    <cfRule type="cellIs" dxfId="413" priority="48" operator="lessThan">
      <formula>0</formula>
    </cfRule>
  </conditionalFormatting>
  <conditionalFormatting sqref="M106 M108">
    <cfRule type="cellIs" dxfId="412" priority="47" operator="greaterThan">
      <formula>0</formula>
    </cfRule>
  </conditionalFormatting>
  <conditionalFormatting sqref="L121">
    <cfRule type="cellIs" dxfId="411" priority="37" operator="greaterThan">
      <formula>0.25</formula>
    </cfRule>
    <cfRule type="cellIs" dxfId="410" priority="38" operator="lessThan">
      <formula>0</formula>
    </cfRule>
    <cfRule type="cellIs" dxfId="409" priority="39" operator="between">
      <formula>0.01</formula>
      <formula>0.24</formula>
    </cfRule>
    <cfRule type="cellIs" dxfId="408" priority="40" operator="greaterThan">
      <formula>25</formula>
    </cfRule>
  </conditionalFormatting>
  <conditionalFormatting sqref="M121">
    <cfRule type="cellIs" dxfId="407" priority="33" operator="greaterThan">
      <formula>0.25</formula>
    </cfRule>
    <cfRule type="cellIs" dxfId="406" priority="34" operator="lessThan">
      <formula>0</formula>
    </cfRule>
    <cfRule type="cellIs" dxfId="405" priority="35" operator="between">
      <formula>0.01</formula>
      <formula>0.24</formula>
    </cfRule>
    <cfRule type="cellIs" dxfId="404" priority="36" operator="greaterThan">
      <formula>25</formula>
    </cfRule>
  </conditionalFormatting>
  <conditionalFormatting sqref="M122">
    <cfRule type="cellIs" dxfId="403" priority="31" operator="lessThan">
      <formula>0</formula>
    </cfRule>
    <cfRule type="cellIs" dxfId="402" priority="32" operator="greaterThan">
      <formula>0</formula>
    </cfRule>
  </conditionalFormatting>
  <conditionalFormatting sqref="L120">
    <cfRule type="cellIs" dxfId="401" priority="29" operator="lessThan">
      <formula>0</formula>
    </cfRule>
    <cfRule type="cellIs" dxfId="400" priority="30" operator="greaterThan">
      <formula>0</formula>
    </cfRule>
  </conditionalFormatting>
  <conditionalFormatting sqref="M120">
    <cfRule type="cellIs" dxfId="399" priority="27" operator="lessThan">
      <formula>0</formula>
    </cfRule>
    <cfRule type="cellIs" dxfId="398" priority="28" operator="greaterThan">
      <formula>0</formula>
    </cfRule>
  </conditionalFormatting>
  <conditionalFormatting sqref="K59">
    <cfRule type="cellIs" dxfId="397" priority="85" operator="greaterThan">
      <formula>0.25</formula>
    </cfRule>
    <cfRule type="cellIs" dxfId="396" priority="86" operator="lessThan">
      <formula>0</formula>
    </cfRule>
    <cfRule type="cellIs" dxfId="395" priority="87" operator="between">
      <formula>0.01</formula>
      <formula>0.24</formula>
    </cfRule>
    <cfRule type="cellIs" dxfId="394" priority="88" operator="greaterThan">
      <formula>25</formula>
    </cfRule>
  </conditionalFormatting>
  <conditionalFormatting sqref="K58">
    <cfRule type="cellIs" dxfId="393" priority="89" operator="lessThan">
      <formula>0</formula>
    </cfRule>
    <cfRule type="cellIs" dxfId="392" priority="90" operator="greaterThan">
      <formula>0</formula>
    </cfRule>
  </conditionalFormatting>
  <conditionalFormatting sqref="M42:M44 M46">
    <cfRule type="cellIs" dxfId="391" priority="92" operator="lessThan">
      <formula>0</formula>
    </cfRule>
  </conditionalFormatting>
  <conditionalFormatting sqref="M44 M46">
    <cfRule type="cellIs" dxfId="390" priority="91" operator="greaterThan">
      <formula>0</formula>
    </cfRule>
  </conditionalFormatting>
  <conditionalFormatting sqref="L59">
    <cfRule type="cellIs" dxfId="389" priority="81" operator="greaterThan">
      <formula>0.25</formula>
    </cfRule>
    <cfRule type="cellIs" dxfId="388" priority="82" operator="lessThan">
      <formula>0</formula>
    </cfRule>
    <cfRule type="cellIs" dxfId="387" priority="83" operator="between">
      <formula>0.01</formula>
      <formula>0.24</formula>
    </cfRule>
    <cfRule type="cellIs" dxfId="386" priority="84" operator="greaterThan">
      <formula>25</formula>
    </cfRule>
  </conditionalFormatting>
  <conditionalFormatting sqref="M59">
    <cfRule type="cellIs" dxfId="385" priority="77" operator="greaterThan">
      <formula>0.25</formula>
    </cfRule>
    <cfRule type="cellIs" dxfId="384" priority="78" operator="lessThan">
      <formula>0</formula>
    </cfRule>
    <cfRule type="cellIs" dxfId="383" priority="79" operator="between">
      <formula>0.01</formula>
      <formula>0.24</formula>
    </cfRule>
    <cfRule type="cellIs" dxfId="382" priority="80" operator="greaterThan">
      <formula>25</formula>
    </cfRule>
  </conditionalFormatting>
  <conditionalFormatting sqref="M60">
    <cfRule type="cellIs" dxfId="381" priority="75" operator="lessThan">
      <formula>0</formula>
    </cfRule>
    <cfRule type="cellIs" dxfId="380" priority="76" operator="greaterThan">
      <formula>0</formula>
    </cfRule>
  </conditionalFormatting>
  <conditionalFormatting sqref="L58">
    <cfRule type="cellIs" dxfId="379" priority="73" operator="lessThan">
      <formula>0</formula>
    </cfRule>
    <cfRule type="cellIs" dxfId="378" priority="74" operator="greaterThan">
      <formula>0</formula>
    </cfRule>
  </conditionalFormatting>
  <conditionalFormatting sqref="M58">
    <cfRule type="cellIs" dxfId="377" priority="71" operator="lessThan">
      <formula>0</formula>
    </cfRule>
    <cfRule type="cellIs" dxfId="376" priority="72" operator="greaterThan">
      <formula>0</formula>
    </cfRule>
  </conditionalFormatting>
  <conditionalFormatting sqref="K88">
    <cfRule type="cellIs" dxfId="375" priority="63" operator="greaterThan">
      <formula>0.25</formula>
    </cfRule>
    <cfRule type="cellIs" dxfId="374" priority="64" operator="lessThan">
      <formula>0</formula>
    </cfRule>
    <cfRule type="cellIs" dxfId="373" priority="65" operator="between">
      <formula>0.01</formula>
      <formula>0.24</formula>
    </cfRule>
    <cfRule type="cellIs" dxfId="372" priority="66" operator="greaterThan">
      <formula>25</formula>
    </cfRule>
  </conditionalFormatting>
  <conditionalFormatting sqref="K87">
    <cfRule type="cellIs" dxfId="371" priority="67" operator="lessThan">
      <formula>0</formula>
    </cfRule>
    <cfRule type="cellIs" dxfId="370" priority="68" operator="greaterThan">
      <formula>0</formula>
    </cfRule>
  </conditionalFormatting>
  <conditionalFormatting sqref="M71:M73 M75">
    <cfRule type="cellIs" dxfId="369" priority="70" operator="lessThan">
      <formula>0</formula>
    </cfRule>
  </conditionalFormatting>
  <conditionalFormatting sqref="M73 M75">
    <cfRule type="cellIs" dxfId="368" priority="69" operator="greaterThan">
      <formula>0</formula>
    </cfRule>
  </conditionalFormatting>
  <conditionalFormatting sqref="L88">
    <cfRule type="cellIs" dxfId="367" priority="59" operator="greaterThan">
      <formula>0.25</formula>
    </cfRule>
    <cfRule type="cellIs" dxfId="366" priority="60" operator="lessThan">
      <formula>0</formula>
    </cfRule>
    <cfRule type="cellIs" dxfId="365" priority="61" operator="between">
      <formula>0.01</formula>
      <formula>0.24</formula>
    </cfRule>
    <cfRule type="cellIs" dxfId="364" priority="62" operator="greaterThan">
      <formula>25</formula>
    </cfRule>
  </conditionalFormatting>
  <conditionalFormatting sqref="M88">
    <cfRule type="cellIs" dxfId="363" priority="55" operator="greaterThan">
      <formula>0.25</formula>
    </cfRule>
    <cfRule type="cellIs" dxfId="362" priority="56" operator="lessThan">
      <formula>0</formula>
    </cfRule>
    <cfRule type="cellIs" dxfId="361" priority="57" operator="between">
      <formula>0.01</formula>
      <formula>0.24</formula>
    </cfRule>
    <cfRule type="cellIs" dxfId="360" priority="58" operator="greaterThan">
      <formula>25</formula>
    </cfRule>
  </conditionalFormatting>
  <conditionalFormatting sqref="M89">
    <cfRule type="cellIs" dxfId="359" priority="53" operator="lessThan">
      <formula>0</formula>
    </cfRule>
    <cfRule type="cellIs" dxfId="358" priority="54" operator="greaterThan">
      <formula>0</formula>
    </cfRule>
  </conditionalFormatting>
  <conditionalFormatting sqref="L87">
    <cfRule type="cellIs" dxfId="357" priority="51" operator="lessThan">
      <formula>0</formula>
    </cfRule>
    <cfRule type="cellIs" dxfId="356" priority="52" operator="greaterThan">
      <formula>0</formula>
    </cfRule>
  </conditionalFormatting>
  <conditionalFormatting sqref="M87">
    <cfRule type="cellIs" dxfId="355" priority="49" operator="lessThan">
      <formula>0</formula>
    </cfRule>
    <cfRule type="cellIs" dxfId="354" priority="50" operator="greaterThan">
      <formula>0</formula>
    </cfRule>
  </conditionalFormatting>
  <conditionalFormatting sqref="F282:F284 F286">
    <cfRule type="cellIs" dxfId="353" priority="24" operator="lessThan">
      <formula>0</formula>
    </cfRule>
  </conditionalFormatting>
  <conditionalFormatting sqref="F284 F286">
    <cfRule type="cellIs" dxfId="352" priority="23" operator="greaterThan">
      <formula>0</formula>
    </cfRule>
  </conditionalFormatting>
  <conditionalFormatting sqref="H282:H286">
    <cfRule type="cellIs" dxfId="351" priority="22" operator="lessThan">
      <formula>0</formula>
    </cfRule>
  </conditionalFormatting>
  <conditionalFormatting sqref="H284:H287">
    <cfRule type="cellIs" dxfId="350" priority="21" operator="greaterThan">
      <formula>0</formula>
    </cfRule>
  </conditionalFormatting>
  <conditionalFormatting sqref="E298:F298">
    <cfRule type="cellIs" dxfId="349" priority="19" operator="lessThan">
      <formula>0</formula>
    </cfRule>
    <cfRule type="cellIs" dxfId="348" priority="20" operator="greaterThan">
      <formula>0</formula>
    </cfRule>
  </conditionalFormatting>
  <conditionalFormatting sqref="E299:F299">
    <cfRule type="cellIs" dxfId="347" priority="15" operator="greaterThan">
      <formula>0.25</formula>
    </cfRule>
    <cfRule type="cellIs" dxfId="346" priority="16" operator="lessThan">
      <formula>0</formula>
    </cfRule>
    <cfRule type="cellIs" dxfId="345" priority="17" operator="between">
      <formula>0.01</formula>
      <formula>0.24</formula>
    </cfRule>
    <cfRule type="cellIs" dxfId="344" priority="18" operator="greaterThan">
      <formula>25</formula>
    </cfRule>
  </conditionalFormatting>
  <conditionalFormatting sqref="G282:G284 G286">
    <cfRule type="cellIs" dxfId="343" priority="14" operator="lessThan">
      <formula>0</formula>
    </cfRule>
  </conditionalFormatting>
  <conditionalFormatting sqref="G284 G286">
    <cfRule type="cellIs" dxfId="342" priority="13" operator="greaterThan">
      <formula>0</formula>
    </cfRule>
  </conditionalFormatting>
  <conditionalFormatting sqref="G298">
    <cfRule type="cellIs" dxfId="341" priority="11" operator="lessThan">
      <formula>0</formula>
    </cfRule>
    <cfRule type="cellIs" dxfId="340" priority="12" operator="greaterThan">
      <formula>0</formula>
    </cfRule>
  </conditionalFormatting>
  <conditionalFormatting sqref="G299">
    <cfRule type="cellIs" dxfId="339" priority="7" operator="greaterThan">
      <formula>0.25</formula>
    </cfRule>
    <cfRule type="cellIs" dxfId="338" priority="8" operator="lessThan">
      <formula>0</formula>
    </cfRule>
    <cfRule type="cellIs" dxfId="337" priority="9" operator="between">
      <formula>0.01</formula>
      <formula>0.24</formula>
    </cfRule>
    <cfRule type="cellIs" dxfId="336" priority="10" operator="greaterThan">
      <formula>25</formula>
    </cfRule>
  </conditionalFormatting>
  <conditionalFormatting sqref="D298">
    <cfRule type="cellIs" dxfId="335" priority="5" operator="lessThan">
      <formula>0</formula>
    </cfRule>
    <cfRule type="cellIs" dxfId="334" priority="6" operator="greaterThan">
      <formula>0</formula>
    </cfRule>
  </conditionalFormatting>
  <conditionalFormatting sqref="D299">
    <cfRule type="cellIs" dxfId="333" priority="1" operator="greaterThan">
      <formula>0.25</formula>
    </cfRule>
    <cfRule type="cellIs" dxfId="332" priority="2" operator="lessThan">
      <formula>0</formula>
    </cfRule>
    <cfRule type="cellIs" dxfId="331" priority="3" operator="between">
      <formula>0.01</formula>
      <formula>0.24</formula>
    </cfRule>
    <cfRule type="cellIs" dxfId="330" priority="4" operator="greaterThan">
      <formula>25</formula>
    </cfRule>
  </conditionalFormatting>
  <pageMargins left="0.7" right="0.7" top="0.75" bottom="0.75" header="0.3" footer="0.3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pageSetUpPr fitToPage="1"/>
  </sheetPr>
  <dimension ref="A2:EK194"/>
  <sheetViews>
    <sheetView workbookViewId="0">
      <pane xSplit="12" ySplit="2" topLeftCell="DS121" activePane="bottomRight" state="frozen"/>
      <selection activeCell="V27" sqref="V27"/>
      <selection pane="topRight" activeCell="V27" sqref="V27"/>
      <selection pane="bottomLeft" activeCell="V27" sqref="V27"/>
      <selection pane="bottomRight" activeCell="EA164" sqref="EA164"/>
    </sheetView>
  </sheetViews>
  <sheetFormatPr defaultColWidth="9.1328125" defaultRowHeight="12.75" x14ac:dyDescent="0.35"/>
  <cols>
    <col min="1" max="1" width="29.19921875" style="253" customWidth="1"/>
    <col min="2" max="2" width="13.1328125" style="253" customWidth="1"/>
    <col min="3" max="3" width="8" style="253" bestFit="1" customWidth="1"/>
    <col min="4" max="4" width="10" style="253" bestFit="1" customWidth="1"/>
    <col min="5" max="5" width="11.19921875" style="253" customWidth="1"/>
    <col min="6" max="6" width="9.1328125" style="253" customWidth="1"/>
    <col min="7" max="7" width="10.19921875" style="253" bestFit="1" customWidth="1"/>
    <col min="8" max="8" width="11.19921875" style="253" bestFit="1" customWidth="1"/>
    <col min="9" max="9" width="11.19921875" style="253" customWidth="1"/>
    <col min="10" max="10" width="11.19921875" style="253" bestFit="1" customWidth="1"/>
    <col min="11" max="12" width="11.19921875" style="253" customWidth="1"/>
    <col min="13" max="22" width="11.19921875" style="253" hidden="1" customWidth="1"/>
    <col min="23" max="23" width="10.19921875" style="253" hidden="1" customWidth="1"/>
    <col min="24" max="24" width="10.19921875" style="253" customWidth="1"/>
    <col min="25" max="25" width="10.46484375" style="253" customWidth="1"/>
    <col min="26" max="27" width="9.1328125" style="253" customWidth="1"/>
    <col min="28" max="28" width="10.19921875" style="253" bestFit="1" customWidth="1"/>
    <col min="29" max="32" width="9.1328125" style="253" customWidth="1"/>
    <col min="33" max="34" width="10.19921875" style="253" bestFit="1" customWidth="1"/>
    <col min="35" max="35" width="9.1328125" style="253" customWidth="1"/>
    <col min="36" max="37" width="10.19921875" style="253" bestFit="1" customWidth="1"/>
    <col min="38" max="38" width="10" style="253" bestFit="1" customWidth="1"/>
    <col min="39" max="39" width="9.1328125" style="253" customWidth="1"/>
    <col min="40" max="40" width="10" style="253" bestFit="1" customWidth="1"/>
    <col min="41" max="41" width="10.19921875" style="253" customWidth="1"/>
    <col min="42" max="42" width="10" style="253" bestFit="1" customWidth="1"/>
    <col min="43" max="43" width="10.33203125" style="253" customWidth="1"/>
    <col min="44" max="47" width="9.1328125" style="253" customWidth="1"/>
    <col min="48" max="48" width="10.46484375" style="253" customWidth="1"/>
    <col min="49" max="49" width="10.796875" style="253" customWidth="1"/>
    <col min="50" max="50" width="9.1328125" style="253" customWidth="1"/>
    <col min="51" max="51" width="10" style="253" bestFit="1" customWidth="1"/>
    <col min="52" max="53" width="9.1328125" style="253" customWidth="1"/>
    <col min="54" max="54" width="10" style="253" bestFit="1" customWidth="1"/>
    <col min="55" max="56" width="9.1328125" style="253" customWidth="1"/>
    <col min="57" max="57" width="9.86328125" style="253" customWidth="1"/>
    <col min="58" max="72" width="9.1328125" style="253" customWidth="1"/>
    <col min="73" max="73" width="11.796875" style="253" customWidth="1"/>
    <col min="74" max="75" width="10.53125" style="253" customWidth="1"/>
    <col min="76" max="76" width="10.796875" style="253" customWidth="1"/>
    <col min="77" max="77" width="9.1328125" style="253" customWidth="1"/>
    <col min="78" max="78" width="10.46484375" style="253" customWidth="1"/>
    <col min="79" max="79" width="10" style="253" bestFit="1" customWidth="1"/>
    <col min="80" max="80" width="10.1328125" style="253" customWidth="1"/>
    <col min="81" max="81" width="10.19921875" style="253" customWidth="1"/>
    <col min="82" max="82" width="11.1328125" style="253" customWidth="1"/>
    <col min="83" max="84" width="10.53125" style="253" customWidth="1"/>
    <col min="85" max="85" width="8.46484375" style="253" bestFit="1" customWidth="1"/>
    <col min="86" max="122" width="9.1328125" style="253" customWidth="1"/>
    <col min="123" max="123" width="10" style="253" bestFit="1" customWidth="1"/>
    <col min="124" max="124" width="9.1328125" style="253" customWidth="1"/>
    <col min="125" max="16384" width="9.1328125" style="253"/>
  </cols>
  <sheetData>
    <row r="2" spans="3:141" ht="13.15" customHeight="1" x14ac:dyDescent="0.4">
      <c r="D2" s="254" t="s">
        <v>923</v>
      </c>
      <c r="G2" s="254" t="s">
        <v>3973</v>
      </c>
      <c r="H2" s="254" t="s">
        <v>3974</v>
      </c>
      <c r="I2" s="254" t="s">
        <v>1294</v>
      </c>
      <c r="M2" s="255">
        <v>41609</v>
      </c>
      <c r="N2" s="255">
        <v>41640</v>
      </c>
      <c r="O2" s="255">
        <v>41671</v>
      </c>
      <c r="P2" s="255">
        <v>41699</v>
      </c>
      <c r="Q2" s="255">
        <v>41730</v>
      </c>
      <c r="R2" s="255">
        <v>41760</v>
      </c>
      <c r="S2" s="255">
        <v>41791</v>
      </c>
      <c r="T2" s="255">
        <v>41821</v>
      </c>
      <c r="U2" s="255">
        <v>41852</v>
      </c>
      <c r="V2" s="255">
        <v>41883</v>
      </c>
      <c r="W2" s="255">
        <v>41913</v>
      </c>
      <c r="X2" s="255">
        <v>41944</v>
      </c>
      <c r="Y2" s="255">
        <v>41974</v>
      </c>
      <c r="Z2" s="255">
        <v>42005</v>
      </c>
      <c r="AA2" s="255">
        <v>42036</v>
      </c>
      <c r="AB2" s="255">
        <v>42064</v>
      </c>
      <c r="AC2" s="255">
        <v>42095</v>
      </c>
      <c r="AD2" s="255">
        <v>42125</v>
      </c>
      <c r="AE2" s="255">
        <v>42156</v>
      </c>
      <c r="AF2" s="255">
        <v>42186</v>
      </c>
      <c r="AG2" s="255">
        <v>42217</v>
      </c>
      <c r="AH2" s="255">
        <v>42248</v>
      </c>
      <c r="AI2" s="255">
        <v>42278</v>
      </c>
      <c r="AJ2" s="255">
        <v>42309</v>
      </c>
      <c r="AK2" s="255">
        <v>42339</v>
      </c>
      <c r="AL2" s="255">
        <v>42370</v>
      </c>
      <c r="AM2" s="255">
        <v>42401</v>
      </c>
      <c r="AN2" s="255">
        <v>42430</v>
      </c>
      <c r="AO2" s="255">
        <v>42461</v>
      </c>
      <c r="AP2" s="255">
        <v>42491</v>
      </c>
      <c r="AQ2" s="255">
        <v>42522</v>
      </c>
      <c r="AR2" s="255">
        <v>42552</v>
      </c>
      <c r="AS2" s="255">
        <v>42583</v>
      </c>
      <c r="AT2" s="255">
        <v>42614</v>
      </c>
      <c r="AU2" s="255">
        <v>42644</v>
      </c>
      <c r="AV2" s="255">
        <v>42675</v>
      </c>
      <c r="AW2" s="255">
        <v>42705</v>
      </c>
      <c r="AX2" s="255">
        <v>42736</v>
      </c>
      <c r="AY2" s="255">
        <v>42767</v>
      </c>
      <c r="AZ2" s="255">
        <v>42795</v>
      </c>
      <c r="BA2" s="255">
        <v>42826</v>
      </c>
      <c r="BB2" s="255">
        <v>42856</v>
      </c>
      <c r="BC2" s="255">
        <v>42887</v>
      </c>
      <c r="BD2" s="255">
        <v>42917</v>
      </c>
      <c r="BE2" s="255">
        <v>42948</v>
      </c>
      <c r="BF2" s="255">
        <v>42979</v>
      </c>
      <c r="BG2" s="255">
        <v>43009</v>
      </c>
      <c r="BH2" s="255">
        <v>43040</v>
      </c>
      <c r="BI2" s="255">
        <v>43070</v>
      </c>
      <c r="BJ2" s="255">
        <v>43101</v>
      </c>
      <c r="BK2" s="255">
        <v>43132</v>
      </c>
      <c r="BL2" s="255">
        <v>43160</v>
      </c>
      <c r="BM2" s="255">
        <v>43191</v>
      </c>
      <c r="BN2" s="255">
        <v>43221</v>
      </c>
      <c r="BO2" s="255">
        <v>43252</v>
      </c>
      <c r="BP2" s="255">
        <v>43282</v>
      </c>
      <c r="BQ2" s="255">
        <v>43313</v>
      </c>
      <c r="BR2" s="255">
        <v>43344</v>
      </c>
      <c r="BS2" s="255">
        <v>43374</v>
      </c>
      <c r="BT2" s="255">
        <v>43405</v>
      </c>
      <c r="BU2" s="255">
        <v>43435</v>
      </c>
      <c r="BV2" s="255">
        <v>43466</v>
      </c>
      <c r="BW2" s="255">
        <v>43497</v>
      </c>
      <c r="BX2" s="255">
        <v>43525</v>
      </c>
      <c r="BY2" s="255">
        <v>43556</v>
      </c>
      <c r="BZ2" s="255">
        <v>43586</v>
      </c>
      <c r="CA2" s="255">
        <v>43617</v>
      </c>
      <c r="CB2" s="255">
        <v>43647</v>
      </c>
      <c r="CC2" s="255">
        <v>43678</v>
      </c>
      <c r="CD2" s="255">
        <v>43709</v>
      </c>
      <c r="CE2" s="255">
        <v>43739</v>
      </c>
      <c r="CF2" s="255">
        <v>43770</v>
      </c>
      <c r="CG2" s="255">
        <v>43800</v>
      </c>
      <c r="CH2" s="255">
        <v>43831</v>
      </c>
      <c r="CI2" s="255">
        <v>43862</v>
      </c>
      <c r="CJ2" s="255">
        <v>43891</v>
      </c>
      <c r="CK2" s="255">
        <v>43922</v>
      </c>
      <c r="CL2" s="255">
        <v>43952</v>
      </c>
      <c r="CM2" s="255">
        <v>43983</v>
      </c>
      <c r="CN2" s="255">
        <v>44013</v>
      </c>
      <c r="CO2" s="255">
        <v>44044</v>
      </c>
      <c r="CP2" s="255">
        <v>44075</v>
      </c>
      <c r="CQ2" s="255">
        <v>44105</v>
      </c>
      <c r="CR2" s="255">
        <v>44136</v>
      </c>
      <c r="CS2" s="255">
        <v>44166</v>
      </c>
      <c r="CT2" s="255">
        <v>44197</v>
      </c>
      <c r="CU2" s="255">
        <v>44228</v>
      </c>
      <c r="CV2" s="255">
        <v>44256</v>
      </c>
      <c r="CW2" s="255">
        <v>44287</v>
      </c>
      <c r="CX2" s="255">
        <v>44317</v>
      </c>
      <c r="CY2" s="255">
        <v>44348</v>
      </c>
      <c r="CZ2" s="255">
        <v>44378</v>
      </c>
      <c r="DA2" s="255">
        <v>44409</v>
      </c>
      <c r="DB2" s="255">
        <v>44440</v>
      </c>
      <c r="DC2" s="255">
        <v>44470</v>
      </c>
      <c r="DD2" s="255">
        <v>44501</v>
      </c>
      <c r="DE2" s="255">
        <v>44531</v>
      </c>
      <c r="DF2" s="255">
        <v>44562</v>
      </c>
      <c r="DG2" s="255">
        <v>44593</v>
      </c>
      <c r="DH2" s="255">
        <v>44621</v>
      </c>
      <c r="DI2" s="255">
        <v>44652</v>
      </c>
      <c r="DJ2" s="255">
        <v>44682</v>
      </c>
      <c r="DK2" s="255">
        <v>44713</v>
      </c>
      <c r="DL2" s="255">
        <v>44743</v>
      </c>
      <c r="DM2" s="255">
        <v>44774</v>
      </c>
      <c r="DN2" s="255">
        <v>44805</v>
      </c>
      <c r="DO2" s="255">
        <v>44835</v>
      </c>
      <c r="DP2" s="255">
        <v>44866</v>
      </c>
      <c r="DQ2" s="255">
        <v>44896</v>
      </c>
      <c r="DR2" s="255">
        <v>44927</v>
      </c>
      <c r="DS2" s="255">
        <v>44958</v>
      </c>
      <c r="DT2" s="255">
        <v>44986</v>
      </c>
      <c r="DU2" s="255">
        <v>45017</v>
      </c>
      <c r="DV2" s="255">
        <v>45047</v>
      </c>
      <c r="DW2" s="255">
        <v>45078</v>
      </c>
      <c r="DX2" s="255">
        <v>45108</v>
      </c>
      <c r="DY2" s="255">
        <v>45139</v>
      </c>
      <c r="DZ2" s="255">
        <v>45170</v>
      </c>
      <c r="EA2" s="255">
        <v>45200</v>
      </c>
      <c r="EB2" s="255">
        <v>45231</v>
      </c>
      <c r="EC2" s="255">
        <v>45261</v>
      </c>
      <c r="ED2" s="255">
        <v>45292</v>
      </c>
      <c r="EE2" s="255">
        <v>45323</v>
      </c>
      <c r="EF2" s="255">
        <v>45352</v>
      </c>
      <c r="EG2" s="255">
        <v>45383</v>
      </c>
      <c r="EH2" s="255">
        <v>45413</v>
      </c>
      <c r="EI2" s="255">
        <v>45444</v>
      </c>
      <c r="EJ2" s="255">
        <v>45474</v>
      </c>
      <c r="EK2" s="255">
        <v>45505</v>
      </c>
    </row>
    <row r="6" spans="3:141" x14ac:dyDescent="0.35">
      <c r="C6" s="256"/>
      <c r="D6" s="257" t="s">
        <v>3975</v>
      </c>
      <c r="E6" s="257" t="s">
        <v>3976</v>
      </c>
      <c r="F6" s="257" t="s">
        <v>550</v>
      </c>
      <c r="G6" s="257">
        <v>15</v>
      </c>
      <c r="I6" s="253" t="s">
        <v>3764</v>
      </c>
      <c r="V6" s="253">
        <v>15</v>
      </c>
      <c r="W6" s="253">
        <v>15</v>
      </c>
      <c r="X6" s="253">
        <v>15</v>
      </c>
      <c r="Y6" s="253">
        <v>15</v>
      </c>
      <c r="Z6" s="258">
        <v>15</v>
      </c>
      <c r="AA6" s="258">
        <v>15</v>
      </c>
      <c r="AB6" s="258">
        <v>15</v>
      </c>
    </row>
    <row r="8" spans="3:141" x14ac:dyDescent="0.35">
      <c r="C8" s="256">
        <v>1</v>
      </c>
      <c r="D8" s="253" t="s">
        <v>3977</v>
      </c>
      <c r="E8" s="253" t="s">
        <v>3978</v>
      </c>
      <c r="F8" s="253" t="s">
        <v>550</v>
      </c>
      <c r="G8" s="253">
        <v>12.5</v>
      </c>
      <c r="I8" s="253" t="s">
        <v>3699</v>
      </c>
      <c r="J8" s="253" t="s">
        <v>160</v>
      </c>
      <c r="V8" s="253">
        <v>12.5</v>
      </c>
      <c r="W8" s="253">
        <v>12.5</v>
      </c>
      <c r="X8" s="253">
        <v>12.5</v>
      </c>
      <c r="Y8" s="253">
        <v>12.5</v>
      </c>
      <c r="Z8" s="258">
        <v>12.5</v>
      </c>
      <c r="AA8" s="258">
        <v>12.5</v>
      </c>
      <c r="AB8" s="258">
        <v>12.5</v>
      </c>
      <c r="AC8" s="258">
        <v>12.5</v>
      </c>
      <c r="AD8" s="258">
        <v>12.5</v>
      </c>
      <c r="AE8" s="258">
        <v>12.5</v>
      </c>
      <c r="AF8" s="258">
        <v>12.5</v>
      </c>
      <c r="AG8" s="258">
        <v>12.5</v>
      </c>
    </row>
    <row r="9" spans="3:141" x14ac:dyDescent="0.35">
      <c r="C9" s="256">
        <v>2</v>
      </c>
      <c r="D9" s="253" t="s">
        <v>3979</v>
      </c>
      <c r="E9" s="253" t="s">
        <v>3980</v>
      </c>
      <c r="F9" s="253" t="s">
        <v>550</v>
      </c>
      <c r="G9" s="253">
        <v>15</v>
      </c>
      <c r="I9" s="253" t="s">
        <v>3708</v>
      </c>
      <c r="V9" s="253">
        <v>15</v>
      </c>
      <c r="W9" s="253">
        <v>15</v>
      </c>
      <c r="X9" s="253">
        <v>15</v>
      </c>
      <c r="Y9" s="253">
        <v>15</v>
      </c>
      <c r="Z9" s="258">
        <v>15</v>
      </c>
      <c r="AA9" s="258">
        <v>15</v>
      </c>
      <c r="AB9" s="258">
        <v>15</v>
      </c>
      <c r="AC9" s="258">
        <v>15</v>
      </c>
      <c r="AD9" s="258">
        <v>15</v>
      </c>
      <c r="AE9" s="258">
        <v>15</v>
      </c>
      <c r="AF9" s="258">
        <v>15</v>
      </c>
    </row>
    <row r="10" spans="3:141" x14ac:dyDescent="0.35">
      <c r="C10" s="256">
        <v>3</v>
      </c>
      <c r="D10" s="253" t="s">
        <v>3981</v>
      </c>
      <c r="E10" s="253" t="s">
        <v>3982</v>
      </c>
      <c r="F10" s="253" t="s">
        <v>550</v>
      </c>
      <c r="G10" s="253">
        <v>20</v>
      </c>
      <c r="I10" s="253" t="s">
        <v>3737</v>
      </c>
      <c r="V10" s="253">
        <v>20</v>
      </c>
      <c r="W10" s="253">
        <v>20</v>
      </c>
      <c r="X10" s="253">
        <v>20</v>
      </c>
      <c r="Y10" s="253">
        <v>20</v>
      </c>
      <c r="Z10" s="258">
        <v>20</v>
      </c>
      <c r="AA10" s="258">
        <v>20</v>
      </c>
      <c r="AB10" s="258">
        <v>20</v>
      </c>
      <c r="AC10" s="258">
        <v>20</v>
      </c>
    </row>
    <row r="11" spans="3:141" x14ac:dyDescent="0.35">
      <c r="C11" s="256">
        <v>4</v>
      </c>
      <c r="D11" s="253" t="s">
        <v>3983</v>
      </c>
      <c r="E11" s="253" t="s">
        <v>3984</v>
      </c>
      <c r="F11" s="253" t="s">
        <v>550</v>
      </c>
      <c r="G11" s="253">
        <v>20</v>
      </c>
      <c r="I11" s="253" t="s">
        <v>3764</v>
      </c>
      <c r="X11" s="253">
        <v>20</v>
      </c>
      <c r="Y11" s="253">
        <v>20</v>
      </c>
      <c r="Z11" s="258">
        <v>20</v>
      </c>
      <c r="AA11" s="258">
        <v>20</v>
      </c>
      <c r="AB11" s="258">
        <v>20</v>
      </c>
      <c r="AC11" s="258">
        <v>20</v>
      </c>
      <c r="AD11" s="258">
        <v>20</v>
      </c>
      <c r="AE11" s="258">
        <v>20</v>
      </c>
      <c r="AF11" s="258">
        <v>20</v>
      </c>
    </row>
    <row r="12" spans="3:141" x14ac:dyDescent="0.35">
      <c r="C12" s="256">
        <v>5</v>
      </c>
      <c r="D12" s="253" t="s">
        <v>3985</v>
      </c>
      <c r="E12" s="253" t="s">
        <v>3986</v>
      </c>
      <c r="F12" s="253" t="s">
        <v>550</v>
      </c>
      <c r="G12" s="253">
        <v>20</v>
      </c>
      <c r="I12" s="253" t="s">
        <v>3706</v>
      </c>
      <c r="J12" s="253" t="s">
        <v>3987</v>
      </c>
      <c r="Y12" s="258">
        <v>20</v>
      </c>
      <c r="Z12" s="258">
        <v>20</v>
      </c>
      <c r="AA12" s="258">
        <v>20</v>
      </c>
      <c r="AB12" s="258">
        <v>20</v>
      </c>
      <c r="AC12" s="258">
        <v>20</v>
      </c>
      <c r="AD12" s="258">
        <v>20</v>
      </c>
      <c r="AE12" s="258">
        <v>20</v>
      </c>
      <c r="AF12" s="258">
        <v>20</v>
      </c>
      <c r="AG12" s="258">
        <v>20</v>
      </c>
      <c r="AH12" s="258">
        <v>20</v>
      </c>
      <c r="AI12" s="258">
        <v>20</v>
      </c>
      <c r="AJ12" s="258">
        <v>20</v>
      </c>
      <c r="AK12" s="258">
        <v>20</v>
      </c>
      <c r="AL12" s="258">
        <v>20</v>
      </c>
      <c r="AM12" s="258">
        <v>20</v>
      </c>
      <c r="AN12" s="258">
        <v>20</v>
      </c>
      <c r="AO12" s="258">
        <v>20</v>
      </c>
      <c r="AP12" s="258">
        <v>20</v>
      </c>
      <c r="AQ12" s="258">
        <v>20</v>
      </c>
    </row>
    <row r="13" spans="3:141" ht="13.15" customHeight="1" x14ac:dyDescent="0.4">
      <c r="C13" s="256">
        <v>6</v>
      </c>
      <c r="D13" s="253" t="s">
        <v>3988</v>
      </c>
      <c r="E13" s="253" t="s">
        <v>3989</v>
      </c>
      <c r="F13" s="254" t="s">
        <v>551</v>
      </c>
      <c r="G13" s="253">
        <v>200</v>
      </c>
      <c r="H13" s="255">
        <v>41974</v>
      </c>
      <c r="Y13" s="258">
        <v>200</v>
      </c>
    </row>
    <row r="14" spans="3:141" ht="13.15" customHeight="1" x14ac:dyDescent="0.4">
      <c r="C14" s="256">
        <v>7</v>
      </c>
      <c r="D14" s="256" t="s">
        <v>3990</v>
      </c>
      <c r="E14" s="253" t="s">
        <v>3991</v>
      </c>
      <c r="F14" s="254" t="s">
        <v>551</v>
      </c>
      <c r="G14" s="253">
        <v>200</v>
      </c>
      <c r="H14" s="255">
        <v>41821</v>
      </c>
      <c r="Y14" s="258"/>
    </row>
    <row r="15" spans="3:141" ht="13.15" customHeight="1" x14ac:dyDescent="0.4">
      <c r="C15" s="256">
        <v>8</v>
      </c>
      <c r="D15" s="256" t="s">
        <v>1032</v>
      </c>
      <c r="E15" s="256" t="s">
        <v>3992</v>
      </c>
      <c r="F15" s="254" t="s">
        <v>551</v>
      </c>
      <c r="G15" s="253">
        <v>200</v>
      </c>
      <c r="H15" s="255">
        <v>41821</v>
      </c>
      <c r="Y15" s="258"/>
    </row>
    <row r="16" spans="3:141" ht="13.15" customHeight="1" x14ac:dyDescent="0.4">
      <c r="C16" s="256">
        <v>9</v>
      </c>
      <c r="D16" s="253" t="s">
        <v>3993</v>
      </c>
      <c r="E16" s="253" t="s">
        <v>3994</v>
      </c>
      <c r="F16" s="254" t="s">
        <v>551</v>
      </c>
      <c r="G16" s="253">
        <v>200</v>
      </c>
      <c r="H16" s="255">
        <v>42430</v>
      </c>
      <c r="AB16" s="258">
        <v>200</v>
      </c>
      <c r="AC16" s="253">
        <v>0</v>
      </c>
      <c r="AD16" s="253">
        <v>0</v>
      </c>
      <c r="AE16" s="253">
        <v>0</v>
      </c>
      <c r="AF16" s="253">
        <v>0</v>
      </c>
      <c r="AG16" s="253">
        <v>0</v>
      </c>
      <c r="AH16" s="253">
        <v>0</v>
      </c>
      <c r="AI16" s="253">
        <v>0</v>
      </c>
      <c r="AJ16" s="253">
        <v>0</v>
      </c>
      <c r="AK16" s="253">
        <v>0</v>
      </c>
      <c r="AL16" s="253">
        <v>0</v>
      </c>
      <c r="AM16" s="253">
        <v>0</v>
      </c>
      <c r="AN16" s="253">
        <v>0</v>
      </c>
      <c r="AO16" s="253">
        <v>0</v>
      </c>
      <c r="AP16" s="253">
        <v>0</v>
      </c>
      <c r="AQ16" s="253">
        <v>0</v>
      </c>
    </row>
    <row r="17" spans="3:45" ht="13.15" customHeight="1" x14ac:dyDescent="0.4">
      <c r="C17" s="256">
        <v>10</v>
      </c>
      <c r="D17" s="253" t="s">
        <v>3995</v>
      </c>
      <c r="E17" s="253" t="s">
        <v>3996</v>
      </c>
      <c r="F17" s="253" t="s">
        <v>550</v>
      </c>
      <c r="G17" s="253">
        <v>20</v>
      </c>
      <c r="H17" s="255">
        <v>42078</v>
      </c>
      <c r="I17" s="253" t="s">
        <v>3736</v>
      </c>
      <c r="J17" s="253" t="s">
        <v>160</v>
      </c>
      <c r="AB17" s="258">
        <v>20</v>
      </c>
      <c r="AC17" s="258">
        <v>20</v>
      </c>
      <c r="AD17" s="258">
        <v>20</v>
      </c>
      <c r="AE17" s="258">
        <v>20</v>
      </c>
      <c r="AF17" s="258">
        <v>20</v>
      </c>
      <c r="AG17" s="258">
        <v>20</v>
      </c>
      <c r="AH17" s="258">
        <v>20</v>
      </c>
    </row>
    <row r="18" spans="3:45" ht="13.15" customHeight="1" x14ac:dyDescent="0.4">
      <c r="C18" s="256">
        <v>11</v>
      </c>
      <c r="D18" s="262" t="s">
        <v>3997</v>
      </c>
      <c r="E18" s="263" t="s">
        <v>3998</v>
      </c>
      <c r="F18" s="253" t="s">
        <v>550</v>
      </c>
      <c r="G18" s="253">
        <v>20</v>
      </c>
      <c r="H18" s="255">
        <v>42078</v>
      </c>
      <c r="I18" s="253" t="s">
        <v>3777</v>
      </c>
      <c r="J18" s="253" t="s">
        <v>3603</v>
      </c>
      <c r="AB18" s="258">
        <v>20</v>
      </c>
      <c r="AC18" s="258">
        <v>20</v>
      </c>
      <c r="AD18" s="258">
        <v>20</v>
      </c>
    </row>
    <row r="19" spans="3:45" ht="13.15" customHeight="1" x14ac:dyDescent="0.4">
      <c r="C19" s="256">
        <v>12</v>
      </c>
      <c r="D19" s="262" t="s">
        <v>518</v>
      </c>
      <c r="E19" s="263" t="s">
        <v>3999</v>
      </c>
      <c r="F19" s="253" t="s">
        <v>550</v>
      </c>
      <c r="G19" s="253">
        <v>20</v>
      </c>
      <c r="H19" s="255">
        <v>42095</v>
      </c>
      <c r="I19" s="253" t="s">
        <v>3703</v>
      </c>
      <c r="J19" s="253" t="s">
        <v>160</v>
      </c>
      <c r="AC19" s="258">
        <v>20</v>
      </c>
      <c r="AD19" s="258">
        <v>20</v>
      </c>
      <c r="AE19" s="258">
        <v>20</v>
      </c>
      <c r="AF19" s="258">
        <v>20</v>
      </c>
      <c r="AG19" s="258">
        <v>20</v>
      </c>
    </row>
    <row r="20" spans="3:45" ht="13.15" customHeight="1" x14ac:dyDescent="0.4">
      <c r="C20" s="256">
        <v>13</v>
      </c>
      <c r="D20" s="262" t="s">
        <v>2623</v>
      </c>
      <c r="E20" s="263" t="s">
        <v>4000</v>
      </c>
      <c r="F20" s="254" t="s">
        <v>551</v>
      </c>
      <c r="G20" s="253">
        <v>200</v>
      </c>
      <c r="H20" s="255">
        <v>42095</v>
      </c>
      <c r="AC20" s="258">
        <v>200</v>
      </c>
      <c r="AD20" s="253">
        <v>0</v>
      </c>
      <c r="AE20" s="253">
        <v>0</v>
      </c>
      <c r="AF20" s="253">
        <v>0</v>
      </c>
      <c r="AG20" s="253">
        <v>0</v>
      </c>
      <c r="AH20" s="253">
        <v>0</v>
      </c>
      <c r="AI20" s="253">
        <v>0</v>
      </c>
      <c r="AJ20" s="253">
        <v>0</v>
      </c>
      <c r="AK20" s="253">
        <v>0</v>
      </c>
      <c r="AL20" s="253">
        <v>0</v>
      </c>
      <c r="AM20" s="253">
        <v>0</v>
      </c>
      <c r="AN20" s="253">
        <v>0</v>
      </c>
      <c r="AO20" s="253">
        <v>0</v>
      </c>
      <c r="AP20" s="253">
        <v>0</v>
      </c>
      <c r="AQ20" s="253">
        <v>0</v>
      </c>
    </row>
    <row r="21" spans="3:45" ht="13.15" customHeight="1" x14ac:dyDescent="0.4">
      <c r="C21" s="256">
        <v>14</v>
      </c>
      <c r="D21" s="264" t="s">
        <v>4001</v>
      </c>
      <c r="E21" s="265" t="s">
        <v>4002</v>
      </c>
      <c r="F21" s="253" t="s">
        <v>550</v>
      </c>
      <c r="G21" s="253">
        <v>20</v>
      </c>
      <c r="H21" s="255">
        <v>42095</v>
      </c>
      <c r="I21" s="253" t="s">
        <v>4003</v>
      </c>
      <c r="J21" s="253" t="s">
        <v>160</v>
      </c>
      <c r="AC21" s="258">
        <v>20</v>
      </c>
      <c r="AD21" s="258">
        <v>20</v>
      </c>
      <c r="AE21" s="258">
        <v>20</v>
      </c>
      <c r="AF21" s="258">
        <v>20</v>
      </c>
      <c r="AG21" s="258">
        <v>20</v>
      </c>
      <c r="AH21" s="258">
        <v>20</v>
      </c>
    </row>
    <row r="22" spans="3:45" ht="13.15" customHeight="1" x14ac:dyDescent="0.4">
      <c r="C22" s="256">
        <v>15</v>
      </c>
      <c r="D22" s="253" t="s">
        <v>3981</v>
      </c>
      <c r="E22" s="253" t="s">
        <v>4004</v>
      </c>
      <c r="F22" s="253" t="s">
        <v>550</v>
      </c>
      <c r="G22" s="253">
        <v>0</v>
      </c>
      <c r="H22" s="255">
        <v>42095</v>
      </c>
      <c r="AC22" s="258">
        <v>0</v>
      </c>
      <c r="AD22" s="258">
        <v>0</v>
      </c>
      <c r="AE22" s="258">
        <v>0</v>
      </c>
      <c r="AF22" s="258">
        <v>0</v>
      </c>
      <c r="AG22" s="258">
        <v>0</v>
      </c>
      <c r="AH22" s="258">
        <v>0</v>
      </c>
      <c r="AI22" s="258">
        <v>0</v>
      </c>
      <c r="AJ22" s="258">
        <v>0</v>
      </c>
      <c r="AK22" s="258">
        <v>0</v>
      </c>
      <c r="AL22" s="258">
        <v>0</v>
      </c>
      <c r="AM22" s="258">
        <v>0</v>
      </c>
      <c r="AN22" s="258">
        <v>0</v>
      </c>
      <c r="AO22" s="258">
        <v>0</v>
      </c>
      <c r="AP22" s="258">
        <v>0</v>
      </c>
      <c r="AQ22" s="258">
        <v>0</v>
      </c>
    </row>
    <row r="23" spans="3:45" ht="13.15" customHeight="1" x14ac:dyDescent="0.4">
      <c r="C23" s="256">
        <v>16</v>
      </c>
      <c r="D23" s="256" t="s">
        <v>4005</v>
      </c>
      <c r="E23" s="262" t="s">
        <v>4006</v>
      </c>
      <c r="F23" s="253" t="s">
        <v>550</v>
      </c>
      <c r="G23" s="253">
        <v>20</v>
      </c>
      <c r="H23" s="255">
        <v>42095</v>
      </c>
      <c r="I23" s="253" t="s">
        <v>3699</v>
      </c>
      <c r="J23" s="253" t="s">
        <v>3987</v>
      </c>
      <c r="AC23" s="258">
        <v>20</v>
      </c>
      <c r="AD23" s="258">
        <v>20</v>
      </c>
      <c r="AE23" s="258">
        <v>20</v>
      </c>
      <c r="AF23" s="258">
        <v>20</v>
      </c>
    </row>
    <row r="24" spans="3:45" ht="13.15" customHeight="1" x14ac:dyDescent="0.4">
      <c r="C24" s="256">
        <v>17</v>
      </c>
      <c r="D24" s="256" t="s">
        <v>4007</v>
      </c>
      <c r="E24" s="262" t="s">
        <v>4008</v>
      </c>
      <c r="F24" s="253" t="s">
        <v>550</v>
      </c>
      <c r="G24" s="253">
        <v>20</v>
      </c>
      <c r="H24" s="255">
        <v>42095</v>
      </c>
      <c r="I24" s="253" t="s">
        <v>3711</v>
      </c>
      <c r="J24" s="253" t="s">
        <v>160</v>
      </c>
      <c r="AC24" s="258">
        <v>20</v>
      </c>
      <c r="AD24" s="258">
        <v>20</v>
      </c>
      <c r="AE24" s="258">
        <v>20</v>
      </c>
      <c r="AF24" s="258">
        <v>20</v>
      </c>
      <c r="AG24" s="258">
        <v>20</v>
      </c>
      <c r="AH24" s="258">
        <v>20</v>
      </c>
      <c r="AI24" s="258">
        <v>20</v>
      </c>
    </row>
    <row r="25" spans="3:45" ht="13.15" customHeight="1" x14ac:dyDescent="0.4">
      <c r="C25" s="256">
        <v>18</v>
      </c>
      <c r="D25" s="256" t="s">
        <v>4009</v>
      </c>
      <c r="E25" s="262" t="s">
        <v>4010</v>
      </c>
      <c r="F25" s="253" t="s">
        <v>550</v>
      </c>
      <c r="G25" s="253">
        <v>20</v>
      </c>
      <c r="H25" s="255">
        <v>42139</v>
      </c>
      <c r="I25" s="253" t="s">
        <v>3714</v>
      </c>
      <c r="J25" s="253" t="s">
        <v>160</v>
      </c>
      <c r="AD25" s="258">
        <v>20</v>
      </c>
      <c r="AE25" s="258">
        <v>20</v>
      </c>
      <c r="AF25" s="258">
        <v>20</v>
      </c>
      <c r="AG25" s="258">
        <v>20</v>
      </c>
    </row>
    <row r="26" spans="3:45" ht="13.15" customHeight="1" x14ac:dyDescent="0.4">
      <c r="C26" s="256">
        <v>19</v>
      </c>
      <c r="D26" s="266" t="s">
        <v>534</v>
      </c>
      <c r="E26" s="266" t="s">
        <v>4011</v>
      </c>
      <c r="F26" s="266" t="s">
        <v>550</v>
      </c>
      <c r="G26" s="266">
        <v>20</v>
      </c>
      <c r="H26" s="255">
        <v>42170</v>
      </c>
      <c r="I26" s="266" t="s">
        <v>3703</v>
      </c>
      <c r="J26" s="266" t="s">
        <v>160</v>
      </c>
      <c r="V26" s="253">
        <v>12.5</v>
      </c>
      <c r="W26" s="253">
        <v>12.5</v>
      </c>
      <c r="X26" s="253">
        <v>12.5</v>
      </c>
      <c r="Y26" s="253">
        <v>12.5</v>
      </c>
      <c r="AE26" s="258">
        <v>20</v>
      </c>
      <c r="AF26" s="258">
        <v>20</v>
      </c>
      <c r="AG26" s="258">
        <v>20</v>
      </c>
    </row>
    <row r="27" spans="3:45" ht="13.15" customHeight="1" x14ac:dyDescent="0.4">
      <c r="C27" s="256">
        <v>20</v>
      </c>
      <c r="D27" s="267" t="s">
        <v>4012</v>
      </c>
      <c r="E27" s="267" t="s">
        <v>4013</v>
      </c>
      <c r="F27" s="267" t="s">
        <v>550</v>
      </c>
      <c r="G27" s="266">
        <v>20</v>
      </c>
      <c r="H27" s="255">
        <v>42170</v>
      </c>
      <c r="I27" s="266" t="s">
        <v>3764</v>
      </c>
      <c r="J27" s="266" t="s">
        <v>160</v>
      </c>
      <c r="K27" s="266" t="s">
        <v>4014</v>
      </c>
      <c r="L27" s="259" t="s">
        <v>4015</v>
      </c>
      <c r="AE27" s="258">
        <v>20</v>
      </c>
      <c r="AF27" s="258">
        <v>20</v>
      </c>
    </row>
    <row r="28" spans="3:45" ht="13.15" customHeight="1" x14ac:dyDescent="0.4">
      <c r="C28" s="256">
        <v>21</v>
      </c>
      <c r="D28" s="263" t="s">
        <v>4016</v>
      </c>
      <c r="E28" s="263" t="s">
        <v>4017</v>
      </c>
      <c r="F28" s="266" t="s">
        <v>551</v>
      </c>
      <c r="G28" s="266">
        <v>200</v>
      </c>
      <c r="H28" s="255">
        <v>42170</v>
      </c>
      <c r="I28" s="266"/>
      <c r="J28" s="266" t="s">
        <v>209</v>
      </c>
      <c r="K28" s="266"/>
      <c r="L28" s="259"/>
      <c r="AE28" s="258">
        <v>200</v>
      </c>
    </row>
    <row r="29" spans="3:45" ht="13.15" customHeight="1" x14ac:dyDescent="0.4">
      <c r="C29" s="256">
        <v>22</v>
      </c>
      <c r="D29" s="256" t="s">
        <v>4018</v>
      </c>
      <c r="E29" s="266" t="s">
        <v>4019</v>
      </c>
      <c r="F29" s="266" t="s">
        <v>550</v>
      </c>
      <c r="G29" s="266">
        <v>20</v>
      </c>
      <c r="H29" s="255">
        <v>42170</v>
      </c>
      <c r="I29" s="266" t="s">
        <v>3802</v>
      </c>
      <c r="J29" s="266" t="s">
        <v>2442</v>
      </c>
      <c r="K29" s="266"/>
      <c r="L29" s="259"/>
      <c r="AE29" s="258">
        <v>20</v>
      </c>
      <c r="AF29" s="258">
        <v>20</v>
      </c>
      <c r="AG29" s="258">
        <v>20</v>
      </c>
      <c r="AH29" s="258">
        <v>20</v>
      </c>
      <c r="AI29" s="258">
        <v>20</v>
      </c>
    </row>
    <row r="30" spans="3:45" ht="13.9" customHeight="1" x14ac:dyDescent="0.4">
      <c r="C30" s="256">
        <v>23</v>
      </c>
      <c r="D30" s="268" t="s">
        <v>4020</v>
      </c>
      <c r="E30" s="268" t="s">
        <v>4021</v>
      </c>
      <c r="F30" s="266" t="s">
        <v>550</v>
      </c>
      <c r="G30" s="266">
        <v>20</v>
      </c>
      <c r="H30" s="255">
        <v>42186</v>
      </c>
      <c r="I30" s="266" t="s">
        <v>3723</v>
      </c>
      <c r="J30" s="266" t="s">
        <v>2442</v>
      </c>
      <c r="AF30" s="258">
        <v>20</v>
      </c>
      <c r="AG30" s="258">
        <v>20</v>
      </c>
      <c r="AH30" s="258">
        <v>20</v>
      </c>
      <c r="AI30" s="258">
        <v>20</v>
      </c>
      <c r="AJ30" s="258">
        <v>20</v>
      </c>
    </row>
    <row r="31" spans="3:45" ht="13.9" customHeight="1" x14ac:dyDescent="0.4">
      <c r="C31" s="256">
        <v>24</v>
      </c>
      <c r="D31" s="268" t="s">
        <v>4022</v>
      </c>
      <c r="E31" s="268" t="s">
        <v>4023</v>
      </c>
      <c r="F31" s="266" t="s">
        <v>550</v>
      </c>
      <c r="G31" s="266">
        <v>20</v>
      </c>
      <c r="H31" s="255">
        <v>42217</v>
      </c>
      <c r="I31" s="266" t="s">
        <v>3711</v>
      </c>
      <c r="J31" s="266" t="s">
        <v>160</v>
      </c>
      <c r="AF31" s="258">
        <v>20</v>
      </c>
      <c r="AG31" s="258">
        <v>20</v>
      </c>
      <c r="AH31" s="258">
        <v>20</v>
      </c>
      <c r="AI31" s="258">
        <v>20</v>
      </c>
      <c r="AJ31" s="258">
        <v>20</v>
      </c>
    </row>
    <row r="32" spans="3:45" ht="13.9" customHeight="1" x14ac:dyDescent="0.4">
      <c r="C32" s="256">
        <v>25</v>
      </c>
      <c r="D32" s="268" t="s">
        <v>4024</v>
      </c>
      <c r="E32" s="268" t="s">
        <v>4025</v>
      </c>
      <c r="F32" s="266" t="s">
        <v>550</v>
      </c>
      <c r="G32" s="266">
        <v>20</v>
      </c>
      <c r="H32" s="255">
        <v>42248</v>
      </c>
      <c r="I32" s="266" t="s">
        <v>4026</v>
      </c>
      <c r="J32" s="266" t="s">
        <v>160</v>
      </c>
      <c r="AH32" s="258">
        <v>20</v>
      </c>
      <c r="AI32" s="258">
        <v>20</v>
      </c>
      <c r="AJ32" s="258">
        <v>20</v>
      </c>
      <c r="AK32" s="258">
        <v>20</v>
      </c>
      <c r="AL32" s="258">
        <v>20</v>
      </c>
      <c r="AM32" s="258">
        <v>20</v>
      </c>
      <c r="AN32" s="258">
        <v>20</v>
      </c>
      <c r="AO32" s="258">
        <v>20</v>
      </c>
      <c r="AP32" s="258">
        <v>20</v>
      </c>
      <c r="AQ32" s="258">
        <v>20</v>
      </c>
      <c r="AR32" s="258">
        <v>20</v>
      </c>
      <c r="AS32" s="258">
        <v>20</v>
      </c>
    </row>
    <row r="33" spans="1:69" ht="13.9" customHeight="1" x14ac:dyDescent="0.4">
      <c r="A33" s="259"/>
      <c r="B33" s="259"/>
      <c r="C33" s="256">
        <v>26</v>
      </c>
      <c r="D33" s="268" t="s">
        <v>518</v>
      </c>
      <c r="E33" s="268" t="s">
        <v>4027</v>
      </c>
      <c r="F33" s="266" t="s">
        <v>550</v>
      </c>
      <c r="G33" s="266">
        <v>20</v>
      </c>
      <c r="H33" s="255">
        <v>42248</v>
      </c>
      <c r="I33" s="266" t="s">
        <v>3709</v>
      </c>
      <c r="J33" s="266" t="s">
        <v>160</v>
      </c>
      <c r="AH33" s="258">
        <v>20</v>
      </c>
      <c r="AI33" s="258">
        <v>20</v>
      </c>
      <c r="AJ33" s="258">
        <v>20</v>
      </c>
      <c r="AK33" s="258">
        <v>20</v>
      </c>
      <c r="AL33" s="258">
        <v>20</v>
      </c>
      <c r="AM33" s="258">
        <v>20</v>
      </c>
      <c r="AN33" s="258">
        <v>20</v>
      </c>
      <c r="AO33" s="258">
        <v>20</v>
      </c>
      <c r="AP33" s="258">
        <v>20</v>
      </c>
    </row>
    <row r="34" spans="1:69" ht="13.15" customHeight="1" x14ac:dyDescent="0.4">
      <c r="A34" s="259"/>
      <c r="B34" s="259"/>
      <c r="C34" s="256">
        <v>27</v>
      </c>
      <c r="D34" s="256" t="s">
        <v>4028</v>
      </c>
      <c r="E34" s="256" t="s">
        <v>4029</v>
      </c>
      <c r="F34" s="266" t="s">
        <v>550</v>
      </c>
      <c r="G34" s="266">
        <v>20</v>
      </c>
      <c r="H34" s="255">
        <v>42292</v>
      </c>
      <c r="I34" s="266" t="s">
        <v>4030</v>
      </c>
      <c r="J34" s="266" t="s">
        <v>160</v>
      </c>
      <c r="AI34" s="258">
        <v>20</v>
      </c>
      <c r="AJ34" s="258">
        <v>20</v>
      </c>
      <c r="AK34" s="258">
        <v>20</v>
      </c>
      <c r="AL34" s="258">
        <v>20</v>
      </c>
    </row>
    <row r="35" spans="1:69" ht="13.15" customHeight="1" x14ac:dyDescent="0.4">
      <c r="A35" s="259"/>
      <c r="B35" s="259"/>
      <c r="C35" s="256">
        <v>28</v>
      </c>
      <c r="D35" s="256" t="s">
        <v>4031</v>
      </c>
      <c r="E35" s="256" t="s">
        <v>4032</v>
      </c>
      <c r="F35" s="266" t="s">
        <v>550</v>
      </c>
      <c r="G35" s="266">
        <v>20</v>
      </c>
      <c r="H35" s="255">
        <v>42292</v>
      </c>
      <c r="I35" s="266" t="s">
        <v>3694</v>
      </c>
      <c r="J35" s="266" t="s">
        <v>160</v>
      </c>
      <c r="AI35" s="258">
        <v>20</v>
      </c>
      <c r="AJ35" s="258">
        <v>20</v>
      </c>
      <c r="AK35" s="258">
        <v>20</v>
      </c>
    </row>
    <row r="36" spans="1:69" ht="13.15" customHeight="1" x14ac:dyDescent="0.4">
      <c r="A36" s="261"/>
      <c r="B36" s="261"/>
      <c r="C36" s="256">
        <v>29</v>
      </c>
      <c r="D36" s="256" t="s">
        <v>4033</v>
      </c>
      <c r="E36" s="256" t="s">
        <v>4034</v>
      </c>
      <c r="F36" s="266" t="s">
        <v>551</v>
      </c>
      <c r="G36" s="266">
        <v>200</v>
      </c>
      <c r="H36" s="255">
        <v>42370</v>
      </c>
      <c r="I36" s="266"/>
      <c r="J36" s="266" t="s">
        <v>160</v>
      </c>
      <c r="AK36" s="258">
        <v>200</v>
      </c>
    </row>
    <row r="37" spans="1:69" ht="13.15" customHeight="1" x14ac:dyDescent="0.4">
      <c r="A37" s="259"/>
      <c r="B37" s="259"/>
      <c r="C37" s="256">
        <v>30</v>
      </c>
      <c r="D37" s="253" t="s">
        <v>4035</v>
      </c>
      <c r="E37" s="253" t="s">
        <v>4036</v>
      </c>
      <c r="F37" s="253" t="s">
        <v>551</v>
      </c>
      <c r="G37" s="266"/>
      <c r="H37" s="255">
        <v>42370</v>
      </c>
      <c r="I37" s="266"/>
      <c r="J37" s="266" t="s">
        <v>1031</v>
      </c>
    </row>
    <row r="38" spans="1:69" ht="13.15" customHeight="1" x14ac:dyDescent="0.4">
      <c r="A38" s="259"/>
      <c r="B38" s="259"/>
      <c r="C38" s="256">
        <v>31</v>
      </c>
      <c r="D38" s="253" t="s">
        <v>4037</v>
      </c>
      <c r="E38" s="253" t="s">
        <v>4038</v>
      </c>
      <c r="F38" s="266" t="s">
        <v>550</v>
      </c>
      <c r="G38" s="266">
        <v>20</v>
      </c>
      <c r="H38" s="255">
        <v>42491</v>
      </c>
      <c r="I38" s="266" t="s">
        <v>3802</v>
      </c>
      <c r="J38" s="266" t="s">
        <v>160</v>
      </c>
      <c r="AP38" s="258">
        <v>20</v>
      </c>
    </row>
    <row r="39" spans="1:69" ht="13.15" customHeight="1" x14ac:dyDescent="0.4">
      <c r="A39" s="259"/>
      <c r="C39" s="256">
        <v>32</v>
      </c>
      <c r="D39" s="256" t="s">
        <v>4039</v>
      </c>
      <c r="E39" s="256" t="s">
        <v>4040</v>
      </c>
      <c r="F39" s="253" t="s">
        <v>551</v>
      </c>
      <c r="G39" s="266">
        <v>200</v>
      </c>
      <c r="H39" s="255">
        <v>42583</v>
      </c>
      <c r="I39" s="266"/>
      <c r="J39" s="266" t="s">
        <v>160</v>
      </c>
      <c r="AR39" s="258">
        <v>200</v>
      </c>
    </row>
    <row r="40" spans="1:69" ht="13.15" customHeight="1" x14ac:dyDescent="0.4">
      <c r="A40" s="259"/>
      <c r="B40" s="259"/>
      <c r="C40" s="256">
        <v>33</v>
      </c>
      <c r="D40" s="256" t="s">
        <v>4041</v>
      </c>
      <c r="E40" s="256" t="s">
        <v>4042</v>
      </c>
      <c r="F40" s="266" t="s">
        <v>550</v>
      </c>
      <c r="G40" s="266">
        <v>20</v>
      </c>
      <c r="H40" s="255">
        <v>42660</v>
      </c>
      <c r="I40" s="266" t="s">
        <v>4030</v>
      </c>
      <c r="J40" s="266" t="s">
        <v>160</v>
      </c>
      <c r="AU40" s="258">
        <v>20</v>
      </c>
    </row>
    <row r="41" spans="1:69" ht="13.9" customHeight="1" x14ac:dyDescent="0.4">
      <c r="A41" s="261"/>
      <c r="C41" s="256">
        <v>34</v>
      </c>
      <c r="D41" s="262" t="s">
        <v>4043</v>
      </c>
      <c r="E41" s="263" t="s">
        <v>4044</v>
      </c>
      <c r="F41" s="268" t="s">
        <v>551</v>
      </c>
      <c r="G41" s="266">
        <v>200</v>
      </c>
      <c r="H41" s="255">
        <v>42795</v>
      </c>
      <c r="I41" s="266"/>
      <c r="J41" s="266" t="s">
        <v>160</v>
      </c>
      <c r="AW41" s="258">
        <v>200</v>
      </c>
    </row>
    <row r="42" spans="1:69" ht="13.9" customHeight="1" x14ac:dyDescent="0.4">
      <c r="A42" s="261"/>
      <c r="C42" s="256">
        <v>35</v>
      </c>
      <c r="D42" s="262" t="s">
        <v>2623</v>
      </c>
      <c r="E42" s="263" t="s">
        <v>4045</v>
      </c>
      <c r="F42" s="268" t="s">
        <v>551</v>
      </c>
      <c r="G42" s="266">
        <v>200</v>
      </c>
      <c r="H42" s="255">
        <v>42736</v>
      </c>
      <c r="I42" s="266"/>
      <c r="J42" s="266" t="s">
        <v>209</v>
      </c>
      <c r="AW42" s="258">
        <v>200</v>
      </c>
    </row>
    <row r="43" spans="1:69" ht="13.9" customHeight="1" x14ac:dyDescent="0.4">
      <c r="A43" s="261"/>
      <c r="C43" s="256">
        <v>36</v>
      </c>
      <c r="D43" s="262" t="s">
        <v>4046</v>
      </c>
      <c r="E43" s="263" t="s">
        <v>4002</v>
      </c>
      <c r="F43" s="268" t="s">
        <v>550</v>
      </c>
      <c r="G43" s="266">
        <v>20</v>
      </c>
      <c r="H43" s="255">
        <v>42767</v>
      </c>
      <c r="I43" s="266" t="s">
        <v>3737</v>
      </c>
      <c r="J43" s="266" t="s">
        <v>160</v>
      </c>
      <c r="AY43" s="258">
        <v>20</v>
      </c>
      <c r="AZ43" s="258">
        <v>20</v>
      </c>
      <c r="BA43" s="258">
        <v>20</v>
      </c>
      <c r="BB43" s="258">
        <v>20</v>
      </c>
      <c r="BC43" s="258">
        <v>20</v>
      </c>
      <c r="BD43" s="258">
        <v>20</v>
      </c>
      <c r="BE43" s="258">
        <v>20</v>
      </c>
      <c r="BF43" s="258">
        <v>20</v>
      </c>
      <c r="BG43" s="258">
        <v>20</v>
      </c>
      <c r="BH43" s="258">
        <v>20</v>
      </c>
      <c r="BI43" s="258">
        <v>20</v>
      </c>
      <c r="BJ43" s="258">
        <v>20</v>
      </c>
      <c r="BK43" s="258">
        <v>20</v>
      </c>
      <c r="BL43" s="258">
        <v>20</v>
      </c>
      <c r="BM43" s="258">
        <v>20</v>
      </c>
      <c r="BN43" s="258">
        <v>20</v>
      </c>
      <c r="BO43" s="258">
        <v>20</v>
      </c>
      <c r="BP43" s="258">
        <v>20</v>
      </c>
      <c r="BQ43" s="258">
        <v>20</v>
      </c>
    </row>
    <row r="44" spans="1:69" ht="13.9" customHeight="1" x14ac:dyDescent="0.4">
      <c r="A44" s="261"/>
      <c r="C44" s="256">
        <v>37</v>
      </c>
      <c r="D44" s="262" t="s">
        <v>4047</v>
      </c>
      <c r="E44" s="263" t="s">
        <v>4048</v>
      </c>
      <c r="F44" s="268" t="s">
        <v>550</v>
      </c>
      <c r="G44" s="266">
        <v>20</v>
      </c>
      <c r="H44" s="255">
        <v>42856</v>
      </c>
      <c r="I44" s="266" t="s">
        <v>3711</v>
      </c>
      <c r="J44" s="266" t="s">
        <v>160</v>
      </c>
      <c r="BA44" s="258">
        <v>20</v>
      </c>
      <c r="BB44" s="258">
        <v>20</v>
      </c>
      <c r="BC44" s="258">
        <v>20</v>
      </c>
      <c r="BD44" s="258">
        <v>20</v>
      </c>
      <c r="BE44" s="258">
        <v>20</v>
      </c>
      <c r="BF44" s="258">
        <v>20</v>
      </c>
      <c r="BG44" s="258">
        <v>20</v>
      </c>
      <c r="BH44" s="258">
        <v>20</v>
      </c>
      <c r="BI44" s="258">
        <v>20</v>
      </c>
      <c r="BJ44" s="258">
        <v>20</v>
      </c>
    </row>
    <row r="45" spans="1:69" ht="13.9" customHeight="1" x14ac:dyDescent="0.4">
      <c r="A45" s="261"/>
      <c r="B45" s="292"/>
      <c r="C45" s="256">
        <v>38</v>
      </c>
      <c r="D45" s="256" t="s">
        <v>4049</v>
      </c>
      <c r="E45" s="268" t="s">
        <v>4050</v>
      </c>
      <c r="F45" s="268" t="s">
        <v>550</v>
      </c>
      <c r="G45" s="266">
        <v>20</v>
      </c>
      <c r="H45" s="255">
        <v>42887</v>
      </c>
      <c r="I45" s="266" t="s">
        <v>3777</v>
      </c>
      <c r="J45" s="266" t="s">
        <v>160</v>
      </c>
      <c r="BB45" s="258">
        <v>20</v>
      </c>
      <c r="BC45" s="258">
        <v>20</v>
      </c>
      <c r="BD45" s="258">
        <v>20</v>
      </c>
      <c r="BE45" s="258">
        <v>20</v>
      </c>
      <c r="BF45" s="258">
        <v>20</v>
      </c>
      <c r="BG45" s="258">
        <v>20</v>
      </c>
      <c r="BH45" s="258">
        <v>20</v>
      </c>
    </row>
    <row r="46" spans="1:69" ht="13.9" customHeight="1" x14ac:dyDescent="0.4">
      <c r="A46" s="261"/>
      <c r="B46" s="262"/>
      <c r="C46" s="262">
        <v>39</v>
      </c>
      <c r="D46" s="256" t="s">
        <v>4051</v>
      </c>
      <c r="E46" s="268" t="s">
        <v>4052</v>
      </c>
      <c r="F46" s="268" t="s">
        <v>550</v>
      </c>
      <c r="G46" s="266">
        <v>20</v>
      </c>
      <c r="H46" s="255">
        <v>42887</v>
      </c>
      <c r="I46" s="266" t="s">
        <v>3764</v>
      </c>
      <c r="J46" s="266" t="s">
        <v>160</v>
      </c>
      <c r="BC46" s="258">
        <v>20</v>
      </c>
      <c r="BD46" s="258">
        <v>20</v>
      </c>
      <c r="BE46" s="258">
        <v>20</v>
      </c>
    </row>
    <row r="47" spans="1:69" ht="13.9" customHeight="1" x14ac:dyDescent="0.4">
      <c r="A47" s="544" t="s">
        <v>4053</v>
      </c>
      <c r="C47" s="256">
        <v>40</v>
      </c>
      <c r="D47" s="256" t="s">
        <v>3988</v>
      </c>
      <c r="E47" s="268" t="s">
        <v>3989</v>
      </c>
      <c r="F47" s="268" t="s">
        <v>551</v>
      </c>
      <c r="G47" s="266">
        <v>200</v>
      </c>
      <c r="H47" s="255">
        <v>43040</v>
      </c>
      <c r="I47" s="266"/>
      <c r="J47" s="266" t="s">
        <v>160</v>
      </c>
      <c r="BE47" s="258">
        <v>200</v>
      </c>
    </row>
    <row r="48" spans="1:69" ht="13.9" customHeight="1" x14ac:dyDescent="0.4">
      <c r="A48" s="259"/>
      <c r="C48" s="256">
        <v>41</v>
      </c>
      <c r="D48" s="256" t="s">
        <v>3985</v>
      </c>
      <c r="E48" s="268" t="s">
        <v>4054</v>
      </c>
      <c r="F48" s="268" t="s">
        <v>550</v>
      </c>
      <c r="G48" s="266">
        <v>20</v>
      </c>
      <c r="H48" s="255">
        <v>42979</v>
      </c>
      <c r="I48" s="266" t="s">
        <v>3704</v>
      </c>
      <c r="J48" s="266" t="s">
        <v>160</v>
      </c>
      <c r="BE48" s="258">
        <v>20</v>
      </c>
      <c r="BF48" s="258">
        <v>20</v>
      </c>
      <c r="BG48" s="258">
        <v>20</v>
      </c>
    </row>
    <row r="49" spans="1:110" ht="13.9" customHeight="1" x14ac:dyDescent="0.4">
      <c r="A49" s="291"/>
      <c r="C49" s="256">
        <v>42</v>
      </c>
      <c r="D49" s="256" t="s">
        <v>3990</v>
      </c>
      <c r="E49" s="268" t="s">
        <v>3991</v>
      </c>
      <c r="F49" s="268" t="s">
        <v>550</v>
      </c>
      <c r="G49" s="266">
        <v>20</v>
      </c>
      <c r="H49" s="255">
        <v>42979</v>
      </c>
      <c r="I49" s="266" t="s">
        <v>4003</v>
      </c>
      <c r="J49" s="266" t="s">
        <v>160</v>
      </c>
      <c r="BF49" s="258">
        <v>20</v>
      </c>
    </row>
    <row r="50" spans="1:110" ht="13.9" customHeight="1" x14ac:dyDescent="0.4">
      <c r="A50" s="287"/>
      <c r="C50" s="256">
        <v>43</v>
      </c>
      <c r="D50" s="256" t="s">
        <v>4055</v>
      </c>
      <c r="E50" s="256" t="s">
        <v>4056</v>
      </c>
      <c r="F50" s="268" t="s">
        <v>550</v>
      </c>
      <c r="G50" s="266">
        <v>20</v>
      </c>
      <c r="H50" s="255">
        <v>43132</v>
      </c>
      <c r="I50" s="49" t="s">
        <v>3703</v>
      </c>
      <c r="J50" s="266" t="s">
        <v>160</v>
      </c>
      <c r="BK50" s="258">
        <v>20</v>
      </c>
      <c r="BL50" s="258">
        <v>20</v>
      </c>
      <c r="BM50" s="258">
        <v>20</v>
      </c>
      <c r="BN50" s="258">
        <v>20</v>
      </c>
      <c r="BO50" s="258">
        <v>20</v>
      </c>
    </row>
    <row r="51" spans="1:110" ht="13.9" customHeight="1" x14ac:dyDescent="0.4">
      <c r="A51" s="544"/>
      <c r="C51" s="256">
        <v>44</v>
      </c>
      <c r="D51" s="77" t="s">
        <v>2624</v>
      </c>
      <c r="E51" s="7" t="s">
        <v>4057</v>
      </c>
      <c r="F51" s="268" t="s">
        <v>550</v>
      </c>
      <c r="G51" s="266">
        <v>20</v>
      </c>
      <c r="H51" s="255">
        <v>43132</v>
      </c>
      <c r="I51" s="49" t="s">
        <v>3732</v>
      </c>
      <c r="J51" s="266" t="s">
        <v>160</v>
      </c>
      <c r="BK51" s="258">
        <v>20</v>
      </c>
      <c r="BL51" s="258">
        <v>20</v>
      </c>
      <c r="BM51" s="258">
        <v>20</v>
      </c>
      <c r="BN51" s="287"/>
    </row>
    <row r="52" spans="1:110" ht="13.9" customHeight="1" x14ac:dyDescent="0.4">
      <c r="A52" s="544"/>
      <c r="C52" s="256">
        <v>45</v>
      </c>
      <c r="D52" s="77" t="s">
        <v>4058</v>
      </c>
      <c r="E52" s="7" t="s">
        <v>4059</v>
      </c>
      <c r="F52" s="71" t="s">
        <v>551</v>
      </c>
      <c r="G52" s="266">
        <v>200</v>
      </c>
      <c r="H52" s="255">
        <v>43132</v>
      </c>
      <c r="I52" s="266"/>
      <c r="J52" s="266"/>
      <c r="BK52" s="258">
        <v>200</v>
      </c>
      <c r="BV52" s="740"/>
      <c r="BW52" s="253">
        <v>200</v>
      </c>
    </row>
    <row r="53" spans="1:110" ht="13.9" customHeight="1" x14ac:dyDescent="0.4">
      <c r="A53" s="291"/>
      <c r="C53" s="256">
        <v>46</v>
      </c>
      <c r="D53" s="51" t="s">
        <v>4060</v>
      </c>
      <c r="E53" s="71" t="s">
        <v>4061</v>
      </c>
      <c r="F53" s="71" t="s">
        <v>550</v>
      </c>
      <c r="G53" s="266">
        <v>20</v>
      </c>
      <c r="H53" s="255">
        <v>43160</v>
      </c>
      <c r="I53" s="49" t="s">
        <v>3708</v>
      </c>
      <c r="J53" s="49" t="s">
        <v>160</v>
      </c>
      <c r="BL53" s="258">
        <v>20</v>
      </c>
      <c r="BM53" s="258">
        <v>20</v>
      </c>
      <c r="BN53" s="258">
        <v>20</v>
      </c>
      <c r="BO53" s="258">
        <v>20</v>
      </c>
      <c r="BP53" s="258">
        <v>20</v>
      </c>
    </row>
    <row r="54" spans="1:110" ht="13.9" customHeight="1" x14ac:dyDescent="0.4">
      <c r="A54" s="544"/>
      <c r="C54" s="256">
        <v>47</v>
      </c>
      <c r="D54" s="77" t="s">
        <v>4005</v>
      </c>
      <c r="E54" s="77" t="s">
        <v>4062</v>
      </c>
      <c r="F54" s="71" t="s">
        <v>550</v>
      </c>
      <c r="G54" s="266">
        <v>20</v>
      </c>
      <c r="H54" s="255">
        <v>43191</v>
      </c>
      <c r="I54" s="49" t="s">
        <v>3704</v>
      </c>
      <c r="J54" s="49" t="s">
        <v>160</v>
      </c>
      <c r="BL54" s="258">
        <v>20</v>
      </c>
      <c r="BM54" s="258">
        <v>20</v>
      </c>
    </row>
    <row r="55" spans="1:110" ht="13.9" customHeight="1" x14ac:dyDescent="0.4">
      <c r="A55" s="261"/>
      <c r="C55" s="256">
        <v>48</v>
      </c>
      <c r="D55" s="253" t="s">
        <v>4063</v>
      </c>
      <c r="E55" s="256" t="s">
        <v>4064</v>
      </c>
      <c r="F55" s="71" t="s">
        <v>550</v>
      </c>
      <c r="G55" s="266">
        <v>20</v>
      </c>
      <c r="H55" s="255">
        <v>43221</v>
      </c>
      <c r="I55" s="49" t="s">
        <v>3699</v>
      </c>
      <c r="J55" s="49" t="s">
        <v>160</v>
      </c>
      <c r="BN55" s="258">
        <v>20</v>
      </c>
      <c r="BO55" s="258">
        <v>20</v>
      </c>
      <c r="BP55" s="258">
        <v>20</v>
      </c>
      <c r="BQ55" s="258">
        <v>20</v>
      </c>
      <c r="BR55" s="253">
        <v>20</v>
      </c>
      <c r="BS55" s="253">
        <v>20</v>
      </c>
      <c r="BT55" s="253">
        <v>20</v>
      </c>
      <c r="BU55" s="253">
        <v>20</v>
      </c>
      <c r="BV55" s="253">
        <v>20</v>
      </c>
      <c r="BW55" s="253">
        <v>20</v>
      </c>
      <c r="BX55" s="258">
        <v>20</v>
      </c>
      <c r="BY55" s="258">
        <v>20</v>
      </c>
      <c r="BZ55" s="258">
        <v>20</v>
      </c>
      <c r="CA55" s="258">
        <v>20</v>
      </c>
      <c r="CB55" s="258">
        <v>20</v>
      </c>
      <c r="CC55" s="253">
        <v>20</v>
      </c>
      <c r="CD55" s="253">
        <v>20</v>
      </c>
      <c r="CE55" s="253">
        <v>20</v>
      </c>
      <c r="CF55" s="253">
        <v>20</v>
      </c>
    </row>
    <row r="56" spans="1:110" ht="13.9" customHeight="1" x14ac:dyDescent="0.4">
      <c r="A56" s="623"/>
      <c r="B56" s="292"/>
      <c r="C56" s="256">
        <v>49</v>
      </c>
      <c r="D56" s="51" t="s">
        <v>4065</v>
      </c>
      <c r="E56" s="268" t="s">
        <v>4066</v>
      </c>
      <c r="F56" s="71" t="s">
        <v>550</v>
      </c>
      <c r="G56" s="266">
        <v>20</v>
      </c>
      <c r="H56" s="255">
        <v>43282</v>
      </c>
      <c r="I56" s="49" t="s">
        <v>4026</v>
      </c>
      <c r="J56" s="49" t="s">
        <v>160</v>
      </c>
      <c r="BP56" s="258">
        <v>20</v>
      </c>
      <c r="BQ56" s="258">
        <v>20</v>
      </c>
    </row>
    <row r="57" spans="1:110" ht="13.9" customHeight="1" x14ac:dyDescent="0.4">
      <c r="A57" s="544"/>
      <c r="C57" s="256">
        <v>50</v>
      </c>
      <c r="D57" s="77" t="s">
        <v>4067</v>
      </c>
      <c r="E57" s="77" t="s">
        <v>4068</v>
      </c>
      <c r="F57" s="71" t="s">
        <v>550</v>
      </c>
      <c r="G57" s="266">
        <v>20</v>
      </c>
      <c r="H57" s="255">
        <v>43344</v>
      </c>
      <c r="I57" s="49" t="s">
        <v>3714</v>
      </c>
      <c r="J57" s="49" t="s">
        <v>160</v>
      </c>
      <c r="BR57" s="258">
        <v>20</v>
      </c>
      <c r="BS57" s="253">
        <v>20</v>
      </c>
      <c r="BT57" s="253">
        <v>20</v>
      </c>
      <c r="BU57" s="253">
        <v>20</v>
      </c>
    </row>
    <row r="58" spans="1:110" ht="13.9" customHeight="1" x14ac:dyDescent="0.4">
      <c r="A58" s="545"/>
      <c r="C58" s="256">
        <v>51</v>
      </c>
      <c r="D58" s="77" t="s">
        <v>4069</v>
      </c>
      <c r="E58" s="77" t="s">
        <v>4070</v>
      </c>
      <c r="F58" s="71" t="s">
        <v>550</v>
      </c>
      <c r="G58" s="266">
        <v>20</v>
      </c>
      <c r="H58" s="255">
        <v>43132</v>
      </c>
      <c r="I58" s="49" t="s">
        <v>4071</v>
      </c>
      <c r="J58" s="49" t="s">
        <v>159</v>
      </c>
      <c r="BW58" s="258">
        <v>20</v>
      </c>
      <c r="BX58" s="258">
        <v>20</v>
      </c>
      <c r="BY58" s="258">
        <v>20</v>
      </c>
      <c r="BZ58" s="258">
        <v>20</v>
      </c>
      <c r="CA58" s="258">
        <v>20</v>
      </c>
      <c r="CB58" s="258">
        <v>20</v>
      </c>
    </row>
    <row r="59" spans="1:110" ht="13.9" customHeight="1" x14ac:dyDescent="0.4">
      <c r="A59" s="545"/>
      <c r="C59" s="256">
        <v>52</v>
      </c>
      <c r="D59" s="77" t="s">
        <v>4072</v>
      </c>
      <c r="E59" s="77" t="s">
        <v>4073</v>
      </c>
      <c r="F59" s="71" t="s">
        <v>550</v>
      </c>
      <c r="G59" s="266">
        <v>20</v>
      </c>
      <c r="H59" s="255">
        <v>43160</v>
      </c>
      <c r="I59" s="49" t="s">
        <v>4026</v>
      </c>
      <c r="J59" s="49" t="s">
        <v>159</v>
      </c>
      <c r="BX59" s="258">
        <v>20</v>
      </c>
      <c r="BY59" s="258">
        <v>20</v>
      </c>
      <c r="BZ59" s="257" t="s">
        <v>4074</v>
      </c>
    </row>
    <row r="60" spans="1:110" ht="13.15" customHeight="1" x14ac:dyDescent="0.4">
      <c r="A60" s="287"/>
      <c r="C60" s="256">
        <v>53</v>
      </c>
      <c r="D60" s="253" t="s">
        <v>4075</v>
      </c>
      <c r="E60" s="256" t="s">
        <v>4076</v>
      </c>
      <c r="F60" s="45" t="s">
        <v>550</v>
      </c>
      <c r="G60" s="253">
        <v>20</v>
      </c>
      <c r="H60" s="255">
        <v>43191</v>
      </c>
      <c r="I60" s="49" t="s">
        <v>3730</v>
      </c>
      <c r="J60" s="49" t="s">
        <v>159</v>
      </c>
      <c r="BY60" s="258">
        <v>20</v>
      </c>
      <c r="BZ60" s="258">
        <v>20</v>
      </c>
      <c r="CA60" s="258">
        <v>20</v>
      </c>
      <c r="CB60" s="258">
        <v>20</v>
      </c>
      <c r="CC60" s="253">
        <v>20</v>
      </c>
      <c r="CD60" s="253">
        <v>20</v>
      </c>
      <c r="CE60" s="253">
        <v>20</v>
      </c>
      <c r="CF60" s="253">
        <v>20</v>
      </c>
      <c r="CG60" s="253">
        <v>20</v>
      </c>
      <c r="CH60" s="253">
        <v>20</v>
      </c>
      <c r="CI60" s="253">
        <v>20</v>
      </c>
      <c r="CJ60" s="253">
        <v>20</v>
      </c>
      <c r="CK60" s="253">
        <v>20</v>
      </c>
      <c r="CL60" s="257" t="s">
        <v>4074</v>
      </c>
    </row>
    <row r="61" spans="1:110" ht="13.9" customHeight="1" x14ac:dyDescent="0.4">
      <c r="A61" s="544"/>
      <c r="C61" s="256">
        <v>54</v>
      </c>
      <c r="D61" s="77" t="s">
        <v>4077</v>
      </c>
      <c r="E61" s="77" t="s">
        <v>4077</v>
      </c>
      <c r="F61" s="71" t="s">
        <v>550</v>
      </c>
      <c r="G61" s="266">
        <v>20</v>
      </c>
      <c r="H61" s="255">
        <v>43191</v>
      </c>
      <c r="I61" s="49" t="s">
        <v>4078</v>
      </c>
      <c r="J61" s="49" t="s">
        <v>159</v>
      </c>
      <c r="BX61" s="253">
        <v>0</v>
      </c>
      <c r="BY61" s="258">
        <v>20</v>
      </c>
      <c r="BZ61" s="258">
        <v>20</v>
      </c>
      <c r="CA61" s="257" t="s">
        <v>4074</v>
      </c>
    </row>
    <row r="62" spans="1:110" ht="13.9" customHeight="1" x14ac:dyDescent="0.4">
      <c r="A62" s="545" t="s">
        <v>4079</v>
      </c>
      <c r="C62" s="256">
        <v>55</v>
      </c>
      <c r="D62" s="77" t="s">
        <v>4080</v>
      </c>
      <c r="E62" s="77" t="s">
        <v>4081</v>
      </c>
      <c r="F62" s="71" t="s">
        <v>550</v>
      </c>
      <c r="G62" s="266">
        <v>20</v>
      </c>
      <c r="H62" s="255">
        <v>43647</v>
      </c>
      <c r="I62" s="49" t="s">
        <v>4030</v>
      </c>
      <c r="J62" s="49" t="s">
        <v>159</v>
      </c>
      <c r="CB62" s="258">
        <v>20</v>
      </c>
      <c r="CC62" s="253">
        <v>20</v>
      </c>
      <c r="CD62" s="253">
        <v>20</v>
      </c>
      <c r="CE62" s="253">
        <v>20</v>
      </c>
      <c r="CF62" s="253">
        <v>20</v>
      </c>
      <c r="CG62" s="253">
        <v>20</v>
      </c>
      <c r="CH62" s="253">
        <v>20</v>
      </c>
    </row>
    <row r="63" spans="1:110" ht="13.9" customHeight="1" x14ac:dyDescent="0.4">
      <c r="A63" s="544" t="s">
        <v>4082</v>
      </c>
      <c r="C63" s="253">
        <v>56</v>
      </c>
      <c r="D63" s="77" t="s">
        <v>4083</v>
      </c>
      <c r="E63" s="77" t="s">
        <v>4084</v>
      </c>
      <c r="F63" s="71" t="s">
        <v>550</v>
      </c>
      <c r="G63" s="266">
        <v>20</v>
      </c>
      <c r="H63" s="255">
        <v>43831</v>
      </c>
      <c r="I63" s="49" t="s">
        <v>3790</v>
      </c>
      <c r="J63" s="49" t="s">
        <v>159</v>
      </c>
      <c r="CH63" s="253">
        <v>20</v>
      </c>
      <c r="CI63" s="253">
        <v>20</v>
      </c>
      <c r="CJ63" s="253">
        <v>20</v>
      </c>
      <c r="CK63" s="253">
        <v>20</v>
      </c>
      <c r="CQ63" s="253">
        <v>20</v>
      </c>
      <c r="CR63" s="253">
        <v>20</v>
      </c>
      <c r="CS63" s="253">
        <v>20</v>
      </c>
      <c r="CT63" s="253">
        <v>20</v>
      </c>
      <c r="CU63" s="253">
        <v>20</v>
      </c>
      <c r="CV63" s="253">
        <v>20</v>
      </c>
      <c r="CW63" s="253">
        <v>20</v>
      </c>
      <c r="CX63" s="253">
        <v>20</v>
      </c>
      <c r="CY63" s="253">
        <v>20</v>
      </c>
      <c r="CZ63" s="253">
        <v>20</v>
      </c>
    </row>
    <row r="64" spans="1:110" ht="13.9" customHeight="1" x14ac:dyDescent="0.4">
      <c r="A64" s="544" t="s">
        <v>4085</v>
      </c>
      <c r="D64" s="77" t="s">
        <v>4086</v>
      </c>
      <c r="E64" s="77" t="s">
        <v>4087</v>
      </c>
      <c r="F64" s="71" t="s">
        <v>550</v>
      </c>
      <c r="G64" s="266">
        <v>20</v>
      </c>
      <c r="H64" s="255">
        <v>43922</v>
      </c>
      <c r="I64" s="266"/>
      <c r="J64" s="266"/>
      <c r="CK64" s="253">
        <v>20</v>
      </c>
      <c r="CL64" s="253">
        <v>20</v>
      </c>
      <c r="CM64" s="253">
        <v>20</v>
      </c>
      <c r="CN64" s="253">
        <v>20</v>
      </c>
      <c r="CO64" s="253">
        <v>20</v>
      </c>
      <c r="CP64" s="253">
        <v>20</v>
      </c>
      <c r="CQ64" s="253">
        <v>20</v>
      </c>
      <c r="CR64" s="253">
        <v>20</v>
      </c>
      <c r="CS64" s="253">
        <v>20</v>
      </c>
      <c r="CT64" s="253">
        <v>20</v>
      </c>
      <c r="CU64" s="253">
        <v>20</v>
      </c>
      <c r="CV64" s="253">
        <v>20</v>
      </c>
      <c r="CW64" s="253">
        <v>20</v>
      </c>
      <c r="CX64" s="253">
        <v>20</v>
      </c>
      <c r="CY64" s="253">
        <v>20</v>
      </c>
      <c r="CZ64" s="253">
        <v>20</v>
      </c>
      <c r="DD64" s="253">
        <v>20</v>
      </c>
      <c r="DE64" s="253">
        <v>20</v>
      </c>
      <c r="DF64" s="253">
        <v>20</v>
      </c>
    </row>
    <row r="65" spans="1:115" ht="13.9" customHeight="1" x14ac:dyDescent="0.4">
      <c r="A65" s="544" t="s">
        <v>4088</v>
      </c>
      <c r="D65" s="77" t="s">
        <v>4058</v>
      </c>
      <c r="E65" s="77" t="s">
        <v>4089</v>
      </c>
      <c r="F65" s="71" t="s">
        <v>550</v>
      </c>
      <c r="G65" s="266">
        <v>20</v>
      </c>
      <c r="H65" s="255">
        <v>43922</v>
      </c>
      <c r="I65" s="266"/>
      <c r="J65" s="266"/>
      <c r="CK65" s="253">
        <v>20</v>
      </c>
      <c r="CL65" s="253">
        <v>20</v>
      </c>
      <c r="CM65" s="253">
        <v>20</v>
      </c>
      <c r="CN65" s="253">
        <v>20</v>
      </c>
    </row>
    <row r="66" spans="1:115" ht="13.9" customHeight="1" x14ac:dyDescent="0.4">
      <c r="A66" s="544" t="s">
        <v>4090</v>
      </c>
      <c r="D66" s="77" t="s">
        <v>3979</v>
      </c>
      <c r="E66" s="77" t="s">
        <v>4091</v>
      </c>
      <c r="F66" s="71" t="s">
        <v>550</v>
      </c>
      <c r="G66" s="266">
        <v>20</v>
      </c>
      <c r="H66" s="255">
        <v>43922</v>
      </c>
      <c r="I66" s="49" t="s">
        <v>3737</v>
      </c>
      <c r="J66" s="49" t="s">
        <v>159</v>
      </c>
      <c r="CK66" s="253">
        <v>20</v>
      </c>
      <c r="CL66" s="253">
        <v>20</v>
      </c>
      <c r="CM66" s="253">
        <v>20</v>
      </c>
      <c r="CN66" s="253">
        <v>20</v>
      </c>
      <c r="CO66" s="253">
        <v>20</v>
      </c>
      <c r="CP66" s="253">
        <v>20</v>
      </c>
      <c r="CQ66" s="253">
        <v>20</v>
      </c>
      <c r="CR66" s="253">
        <v>20</v>
      </c>
      <c r="CS66" s="253">
        <v>20</v>
      </c>
      <c r="CT66" s="253">
        <v>20</v>
      </c>
      <c r="CU66" s="253">
        <v>20</v>
      </c>
      <c r="CV66" s="253">
        <v>20</v>
      </c>
      <c r="CW66" s="253">
        <v>20</v>
      </c>
      <c r="CX66" s="253">
        <v>20</v>
      </c>
      <c r="CY66" s="253">
        <v>20</v>
      </c>
      <c r="CZ66" s="253">
        <v>20</v>
      </c>
      <c r="DA66" s="253">
        <v>20</v>
      </c>
      <c r="DB66" s="253">
        <v>20</v>
      </c>
      <c r="DC66" s="253">
        <v>20</v>
      </c>
      <c r="DD66" s="253">
        <v>20</v>
      </c>
      <c r="DE66" s="253">
        <v>20</v>
      </c>
      <c r="DF66" s="253">
        <v>20</v>
      </c>
      <c r="DG66" s="253">
        <v>20</v>
      </c>
      <c r="DH66" s="253">
        <v>20</v>
      </c>
      <c r="DI66" s="253">
        <v>20</v>
      </c>
      <c r="DJ66" s="253">
        <v>20</v>
      </c>
      <c r="DK66" s="253">
        <v>20</v>
      </c>
    </row>
    <row r="67" spans="1:115" ht="13.9" customHeight="1" x14ac:dyDescent="0.4">
      <c r="A67" s="544" t="s">
        <v>4092</v>
      </c>
      <c r="D67" s="77" t="s">
        <v>4093</v>
      </c>
      <c r="E67" s="77" t="s">
        <v>4094</v>
      </c>
      <c r="F67" s="71" t="s">
        <v>550</v>
      </c>
      <c r="G67" s="266">
        <v>20</v>
      </c>
      <c r="H67" s="255">
        <v>44136</v>
      </c>
      <c r="I67" s="49" t="s">
        <v>4003</v>
      </c>
      <c r="J67" s="49" t="s">
        <v>159</v>
      </c>
      <c r="CR67" s="253">
        <v>20</v>
      </c>
      <c r="CS67" s="253">
        <v>20</v>
      </c>
      <c r="CT67" s="253">
        <v>20</v>
      </c>
      <c r="CU67" s="253">
        <v>20</v>
      </c>
      <c r="CV67" s="253">
        <v>20</v>
      </c>
      <c r="CW67" s="253">
        <v>20</v>
      </c>
      <c r="CX67" s="253">
        <v>20</v>
      </c>
      <c r="CY67" s="253">
        <v>20</v>
      </c>
      <c r="CZ67" s="253">
        <v>20</v>
      </c>
      <c r="DA67" s="253">
        <v>20</v>
      </c>
      <c r="DB67" s="253">
        <v>20</v>
      </c>
      <c r="DC67" s="253">
        <v>20</v>
      </c>
      <c r="DD67" s="253">
        <v>20</v>
      </c>
      <c r="DE67" s="253">
        <v>20</v>
      </c>
      <c r="DF67" s="253">
        <v>20</v>
      </c>
      <c r="DG67" s="253">
        <v>20</v>
      </c>
      <c r="DH67" s="253">
        <v>20</v>
      </c>
      <c r="DI67" s="253">
        <v>20</v>
      </c>
      <c r="DJ67" s="253">
        <v>20</v>
      </c>
      <c r="DK67" s="253">
        <v>20</v>
      </c>
    </row>
    <row r="68" spans="1:115" ht="13.9" customHeight="1" x14ac:dyDescent="0.4">
      <c r="A68" s="544" t="s">
        <v>4095</v>
      </c>
      <c r="D68" s="77" t="s">
        <v>4096</v>
      </c>
      <c r="E68" s="77" t="s">
        <v>4097</v>
      </c>
      <c r="F68" s="71" t="s">
        <v>550</v>
      </c>
      <c r="G68" s="266">
        <v>20</v>
      </c>
      <c r="H68" s="255">
        <v>44348</v>
      </c>
      <c r="I68" s="49" t="s">
        <v>4098</v>
      </c>
      <c r="J68" s="49"/>
      <c r="CY68" s="253">
        <v>20</v>
      </c>
      <c r="CZ68" s="253">
        <v>20</v>
      </c>
    </row>
    <row r="69" spans="1:115" ht="13.9" customHeight="1" x14ac:dyDescent="0.4">
      <c r="A69" s="544" t="s">
        <v>4099</v>
      </c>
      <c r="D69" s="77" t="s">
        <v>4100</v>
      </c>
      <c r="E69" s="77" t="s">
        <v>4101</v>
      </c>
      <c r="F69" s="71" t="s">
        <v>550</v>
      </c>
      <c r="G69" s="266">
        <v>20</v>
      </c>
      <c r="H69" s="255">
        <v>44348</v>
      </c>
      <c r="I69" s="49" t="s">
        <v>3694</v>
      </c>
      <c r="J69" s="49" t="s">
        <v>159</v>
      </c>
      <c r="CY69" s="253">
        <v>20</v>
      </c>
      <c r="CZ69" s="253">
        <v>20</v>
      </c>
      <c r="DA69" s="253">
        <v>20</v>
      </c>
    </row>
    <row r="70" spans="1:115" ht="13.9" customHeight="1" x14ac:dyDescent="0.4">
      <c r="A70" s="544" t="s">
        <v>4102</v>
      </c>
      <c r="D70" s="77" t="s">
        <v>4103</v>
      </c>
      <c r="E70" s="77" t="s">
        <v>4104</v>
      </c>
      <c r="F70" s="71" t="s">
        <v>550</v>
      </c>
      <c r="G70" s="266">
        <v>20</v>
      </c>
      <c r="H70" s="255">
        <v>44501</v>
      </c>
      <c r="I70" s="49" t="s">
        <v>3732</v>
      </c>
      <c r="J70" s="49" t="s">
        <v>159</v>
      </c>
      <c r="DD70" s="253">
        <v>20</v>
      </c>
      <c r="DE70" s="253">
        <v>20</v>
      </c>
      <c r="DF70" s="253">
        <v>20</v>
      </c>
      <c r="DG70" s="253">
        <v>20</v>
      </c>
    </row>
    <row r="71" spans="1:115" ht="13.9" customHeight="1" x14ac:dyDescent="0.4">
      <c r="A71" s="544" t="s">
        <v>4105</v>
      </c>
      <c r="D71" s="77" t="s">
        <v>2623</v>
      </c>
      <c r="E71" s="77" t="s">
        <v>4106</v>
      </c>
      <c r="F71" s="71" t="s">
        <v>550</v>
      </c>
      <c r="G71" s="266">
        <v>20</v>
      </c>
      <c r="H71" s="255">
        <v>44501</v>
      </c>
      <c r="I71" s="49" t="s">
        <v>3802</v>
      </c>
      <c r="J71" s="49" t="s">
        <v>159</v>
      </c>
      <c r="DD71" s="253">
        <v>20</v>
      </c>
      <c r="DE71" s="253">
        <v>20</v>
      </c>
      <c r="DF71" s="253">
        <v>20</v>
      </c>
      <c r="DG71" s="253">
        <v>20</v>
      </c>
      <c r="DI71" s="253">
        <v>20</v>
      </c>
    </row>
    <row r="72" spans="1:115" ht="13.9" customHeight="1" x14ac:dyDescent="0.4">
      <c r="A72" s="544" t="s">
        <v>4107</v>
      </c>
      <c r="D72" s="77" t="s">
        <v>4108</v>
      </c>
      <c r="E72" s="77" t="s">
        <v>4109</v>
      </c>
      <c r="F72" s="71" t="s">
        <v>550</v>
      </c>
      <c r="G72" s="266">
        <v>20</v>
      </c>
      <c r="H72" s="255">
        <v>44562</v>
      </c>
      <c r="I72" s="49"/>
      <c r="J72" s="266"/>
      <c r="DF72" s="253">
        <v>20</v>
      </c>
      <c r="DG72" s="253">
        <v>20</v>
      </c>
      <c r="DH72" s="253">
        <v>20</v>
      </c>
      <c r="DI72" s="253">
        <v>20</v>
      </c>
      <c r="DJ72" s="253">
        <v>20</v>
      </c>
      <c r="DK72" s="253">
        <v>20</v>
      </c>
    </row>
    <row r="73" spans="1:115" ht="13.9" customHeight="1" x14ac:dyDescent="0.4">
      <c r="A73" s="544"/>
      <c r="D73" s="77"/>
      <c r="E73" s="77"/>
      <c r="F73" s="71"/>
      <c r="G73" s="266"/>
      <c r="H73" s="255"/>
      <c r="I73" s="49"/>
      <c r="J73" s="266"/>
    </row>
    <row r="74" spans="1:115" ht="13.9" customHeight="1" x14ac:dyDescent="0.4">
      <c r="A74" s="544"/>
      <c r="D74" s="77"/>
      <c r="E74" s="77"/>
      <c r="F74" s="71"/>
      <c r="G74" s="266"/>
      <c r="H74" s="255"/>
      <c r="I74" s="49"/>
      <c r="J74" s="266"/>
    </row>
    <row r="75" spans="1:115" ht="13.9" customHeight="1" x14ac:dyDescent="0.4">
      <c r="A75" s="544"/>
      <c r="D75" s="77"/>
      <c r="E75" s="77"/>
      <c r="F75" s="71"/>
      <c r="G75" s="266"/>
      <c r="H75" s="255"/>
      <c r="I75" s="49"/>
      <c r="J75" s="266"/>
    </row>
    <row r="76" spans="1:115" ht="13.9" customHeight="1" x14ac:dyDescent="0.4">
      <c r="A76" s="259"/>
      <c r="B76" s="259"/>
      <c r="C76" s="269" t="s">
        <v>2109</v>
      </c>
      <c r="D76" s="256" t="s">
        <v>3979</v>
      </c>
      <c r="E76" s="268" t="s">
        <v>3980</v>
      </c>
      <c r="F76" s="268" t="s">
        <v>3923</v>
      </c>
      <c r="G76" s="266">
        <v>60</v>
      </c>
      <c r="H76" s="255">
        <v>42248</v>
      </c>
      <c r="I76" s="266" t="s">
        <v>3699</v>
      </c>
      <c r="J76" s="266" t="s">
        <v>162</v>
      </c>
      <c r="K76" s="253">
        <f t="shared" ref="K76:K84" si="0">SUM(X76:BA76)</f>
        <v>300</v>
      </c>
      <c r="AH76" s="258">
        <v>60</v>
      </c>
      <c r="AI76" s="258">
        <v>60</v>
      </c>
      <c r="AJ76" s="258">
        <v>60</v>
      </c>
      <c r="AK76" s="258">
        <v>60</v>
      </c>
      <c r="AL76" s="258">
        <v>60</v>
      </c>
      <c r="AM76" s="257"/>
    </row>
    <row r="77" spans="1:115" ht="13.9" customHeight="1" x14ac:dyDescent="0.4">
      <c r="A77" s="261"/>
      <c r="B77" s="261"/>
      <c r="C77" s="256">
        <v>1</v>
      </c>
      <c r="D77" s="256" t="s">
        <v>4110</v>
      </c>
      <c r="E77" s="268" t="s">
        <v>4111</v>
      </c>
      <c r="F77" s="268" t="s">
        <v>3923</v>
      </c>
      <c r="G77" s="266">
        <v>60</v>
      </c>
      <c r="H77" s="255">
        <v>42217</v>
      </c>
      <c r="I77" s="266" t="s">
        <v>4003</v>
      </c>
      <c r="J77" s="266" t="s">
        <v>162</v>
      </c>
      <c r="K77" s="253">
        <f t="shared" si="0"/>
        <v>720</v>
      </c>
      <c r="AG77" s="258">
        <v>60</v>
      </c>
      <c r="AH77" s="258">
        <v>60</v>
      </c>
      <c r="AI77" s="258">
        <v>60</v>
      </c>
      <c r="AJ77" s="258">
        <v>60</v>
      </c>
      <c r="AK77" s="258">
        <v>60</v>
      </c>
      <c r="AL77" s="258">
        <v>60</v>
      </c>
      <c r="AM77" s="258">
        <v>60</v>
      </c>
      <c r="AN77" s="258">
        <v>60</v>
      </c>
      <c r="AO77" s="258">
        <v>60</v>
      </c>
      <c r="AP77" s="258">
        <v>60</v>
      </c>
      <c r="AQ77" s="258">
        <v>60</v>
      </c>
      <c r="AR77" s="258">
        <v>60</v>
      </c>
    </row>
    <row r="78" spans="1:115" ht="29.25" customHeight="1" x14ac:dyDescent="0.4">
      <c r="A78" s="261"/>
      <c r="B78" s="270" t="s">
        <v>4112</v>
      </c>
      <c r="C78" s="256">
        <v>2</v>
      </c>
      <c r="D78" s="256" t="s">
        <v>3990</v>
      </c>
      <c r="E78" s="268" t="s">
        <v>3991</v>
      </c>
      <c r="F78" s="268" t="s">
        <v>3923</v>
      </c>
      <c r="G78" s="266">
        <v>600</v>
      </c>
      <c r="H78" s="255">
        <v>42217</v>
      </c>
      <c r="I78" s="266"/>
      <c r="J78" s="266" t="s">
        <v>4113</v>
      </c>
      <c r="K78" s="253">
        <f t="shared" si="0"/>
        <v>0</v>
      </c>
    </row>
    <row r="79" spans="1:115" ht="13.9" customHeight="1" x14ac:dyDescent="0.4">
      <c r="A79" s="261"/>
      <c r="B79" s="261"/>
      <c r="C79" s="256">
        <v>3</v>
      </c>
      <c r="D79" s="256" t="s">
        <v>3977</v>
      </c>
      <c r="E79" s="268" t="s">
        <v>3978</v>
      </c>
      <c r="F79" s="268" t="s">
        <v>3923</v>
      </c>
      <c r="G79" s="266">
        <v>60</v>
      </c>
      <c r="H79" s="255">
        <v>42217</v>
      </c>
      <c r="I79" s="266" t="s">
        <v>3706</v>
      </c>
      <c r="J79" s="266" t="s">
        <v>160</v>
      </c>
      <c r="K79" s="253">
        <f t="shared" si="0"/>
        <v>420</v>
      </c>
      <c r="AG79" s="258">
        <v>60</v>
      </c>
      <c r="AH79" s="258">
        <v>60</v>
      </c>
      <c r="AI79" s="258">
        <v>60</v>
      </c>
      <c r="AJ79" s="258">
        <v>60</v>
      </c>
      <c r="AK79" s="258">
        <v>60</v>
      </c>
      <c r="AL79" s="258">
        <v>60</v>
      </c>
      <c r="AM79" s="258">
        <v>60</v>
      </c>
    </row>
    <row r="80" spans="1:115" ht="13.9" customHeight="1" x14ac:dyDescent="0.4">
      <c r="A80" s="261"/>
      <c r="B80" s="261"/>
      <c r="C80" s="256">
        <v>4</v>
      </c>
      <c r="D80" s="271" t="s">
        <v>4114</v>
      </c>
      <c r="E80" s="271" t="s">
        <v>521</v>
      </c>
      <c r="F80" s="268" t="s">
        <v>3923</v>
      </c>
      <c r="G80" s="266">
        <v>600</v>
      </c>
      <c r="H80" s="255">
        <v>42248</v>
      </c>
      <c r="I80" s="266"/>
      <c r="J80" s="266" t="s">
        <v>162</v>
      </c>
      <c r="K80" s="253">
        <f t="shared" si="0"/>
        <v>0</v>
      </c>
      <c r="AG80" s="253">
        <v>0</v>
      </c>
      <c r="AH80" s="253">
        <v>0</v>
      </c>
      <c r="AI80" s="253">
        <v>0</v>
      </c>
      <c r="AJ80" s="253">
        <v>0</v>
      </c>
      <c r="AK80" s="253">
        <v>0</v>
      </c>
      <c r="AL80" s="253">
        <v>0</v>
      </c>
      <c r="AM80" s="253">
        <v>0</v>
      </c>
      <c r="AN80" s="253">
        <v>0</v>
      </c>
      <c r="AO80" s="253">
        <v>0</v>
      </c>
      <c r="AP80" s="253">
        <v>0</v>
      </c>
      <c r="AQ80" s="253">
        <v>0</v>
      </c>
    </row>
    <row r="81" spans="1:128" ht="13.9" customHeight="1" x14ac:dyDescent="0.4">
      <c r="A81" s="261"/>
      <c r="B81" s="261"/>
      <c r="C81" s="256">
        <v>5</v>
      </c>
      <c r="D81" s="256" t="s">
        <v>4115</v>
      </c>
      <c r="E81" s="268" t="s">
        <v>4116</v>
      </c>
      <c r="F81" s="268" t="s">
        <v>3923</v>
      </c>
      <c r="G81" s="266">
        <v>600</v>
      </c>
      <c r="H81" s="255">
        <v>42370</v>
      </c>
      <c r="I81" s="266"/>
      <c r="J81" s="266" t="s">
        <v>162</v>
      </c>
      <c r="K81" s="253">
        <f t="shared" si="0"/>
        <v>0</v>
      </c>
      <c r="AG81" s="253">
        <v>0</v>
      </c>
      <c r="AH81" s="253">
        <v>0</v>
      </c>
      <c r="AI81" s="253">
        <v>0</v>
      </c>
      <c r="AJ81" s="253">
        <v>0</v>
      </c>
      <c r="AK81" s="253">
        <v>0</v>
      </c>
      <c r="AL81" s="253">
        <v>0</v>
      </c>
    </row>
    <row r="82" spans="1:128" ht="13.9" customHeight="1" x14ac:dyDescent="0.4">
      <c r="A82" s="259"/>
      <c r="B82" s="259"/>
      <c r="C82" s="256">
        <v>6</v>
      </c>
      <c r="D82" s="253" t="s">
        <v>4117</v>
      </c>
      <c r="E82" s="253" t="s">
        <v>513</v>
      </c>
      <c r="F82" s="268" t="s">
        <v>3923</v>
      </c>
      <c r="G82" s="266">
        <v>600</v>
      </c>
      <c r="H82" s="255">
        <v>42370</v>
      </c>
      <c r="J82" s="266" t="s">
        <v>4113</v>
      </c>
      <c r="K82" s="253">
        <f t="shared" si="0"/>
        <v>0</v>
      </c>
      <c r="AK82" s="253">
        <v>0</v>
      </c>
      <c r="AL82" s="253">
        <v>0</v>
      </c>
      <c r="AM82" s="253">
        <v>0</v>
      </c>
      <c r="AN82" s="253">
        <v>0</v>
      </c>
      <c r="AO82" s="253">
        <v>0</v>
      </c>
      <c r="AP82" s="253">
        <v>0</v>
      </c>
      <c r="AQ82" s="253">
        <v>0</v>
      </c>
      <c r="AR82" s="253">
        <v>0</v>
      </c>
      <c r="AS82" s="253">
        <v>0</v>
      </c>
      <c r="AT82" s="253">
        <v>0</v>
      </c>
      <c r="AU82" s="253">
        <v>0</v>
      </c>
      <c r="AV82" s="253">
        <v>0</v>
      </c>
      <c r="AW82" s="253">
        <v>0</v>
      </c>
      <c r="AX82" s="253">
        <v>0</v>
      </c>
      <c r="AY82" s="253">
        <v>0</v>
      </c>
      <c r="AZ82" s="253">
        <v>0</v>
      </c>
    </row>
    <row r="83" spans="1:128" ht="13.9" customHeight="1" x14ac:dyDescent="0.4">
      <c r="A83" s="259"/>
      <c r="B83" s="259"/>
      <c r="C83" s="256">
        <v>7</v>
      </c>
      <c r="D83" s="272" t="s">
        <v>3993</v>
      </c>
      <c r="E83" s="272" t="s">
        <v>3994</v>
      </c>
      <c r="F83" s="268" t="s">
        <v>3923</v>
      </c>
      <c r="G83" s="266">
        <v>600</v>
      </c>
      <c r="H83" s="255">
        <v>42430</v>
      </c>
      <c r="I83" s="253" t="s">
        <v>4118</v>
      </c>
      <c r="J83" s="266" t="s">
        <v>160</v>
      </c>
      <c r="K83" s="253">
        <f t="shared" si="0"/>
        <v>720</v>
      </c>
      <c r="AN83" s="258">
        <v>60</v>
      </c>
      <c r="AO83" s="258">
        <v>60</v>
      </c>
      <c r="AP83" s="258">
        <v>60</v>
      </c>
      <c r="AQ83" s="258">
        <v>60</v>
      </c>
      <c r="AR83" s="258">
        <v>60</v>
      </c>
      <c r="AS83" s="258">
        <v>60</v>
      </c>
      <c r="AT83" s="258">
        <v>60</v>
      </c>
      <c r="AU83" s="258">
        <v>60</v>
      </c>
      <c r="AV83" s="258">
        <v>60</v>
      </c>
      <c r="AW83" s="258">
        <v>60</v>
      </c>
      <c r="AX83" s="258">
        <v>60</v>
      </c>
      <c r="AY83" s="258">
        <v>60</v>
      </c>
    </row>
    <row r="84" spans="1:128" ht="13.9" customHeight="1" x14ac:dyDescent="0.4">
      <c r="B84" s="259"/>
      <c r="C84" s="256">
        <v>8</v>
      </c>
      <c r="D84" s="272" t="s">
        <v>4119</v>
      </c>
      <c r="E84" s="268" t="s">
        <v>4042</v>
      </c>
      <c r="F84" s="268" t="s">
        <v>3923</v>
      </c>
      <c r="G84" s="266">
        <v>600</v>
      </c>
      <c r="H84" s="255">
        <v>42461</v>
      </c>
      <c r="I84" s="253" t="s">
        <v>3736</v>
      </c>
      <c r="J84" s="266" t="s">
        <v>160</v>
      </c>
      <c r="K84" s="253">
        <f t="shared" si="0"/>
        <v>360</v>
      </c>
      <c r="AO84" s="258">
        <v>60</v>
      </c>
      <c r="AP84" s="258">
        <v>60</v>
      </c>
      <c r="AQ84" s="258">
        <v>60</v>
      </c>
      <c r="AR84" s="258">
        <v>60</v>
      </c>
      <c r="AS84" s="258">
        <v>120</v>
      </c>
      <c r="AT84" s="257"/>
      <c r="AU84" s="257"/>
      <c r="AV84" s="257"/>
      <c r="AW84" s="257"/>
      <c r="AX84" s="257"/>
      <c r="AY84" s="257"/>
      <c r="AZ84" s="257"/>
    </row>
    <row r="85" spans="1:128" ht="13.9" customHeight="1" x14ac:dyDescent="0.4">
      <c r="A85" s="273" t="s">
        <v>4120</v>
      </c>
      <c r="B85" s="253" t="s">
        <v>4121</v>
      </c>
      <c r="C85" s="256">
        <v>9</v>
      </c>
      <c r="D85" s="272" t="s">
        <v>4122</v>
      </c>
      <c r="E85" s="272" t="s">
        <v>4123</v>
      </c>
      <c r="F85" s="268" t="s">
        <v>3923</v>
      </c>
      <c r="G85" s="266">
        <v>600</v>
      </c>
      <c r="H85" s="255">
        <v>42491</v>
      </c>
      <c r="J85" s="266" t="s">
        <v>162</v>
      </c>
      <c r="K85" s="253">
        <v>600</v>
      </c>
      <c r="AP85" s="258">
        <v>600</v>
      </c>
    </row>
    <row r="86" spans="1:128" ht="13.9" customHeight="1" x14ac:dyDescent="0.4">
      <c r="A86" s="273" t="s">
        <v>4124</v>
      </c>
      <c r="B86" s="274" t="s">
        <v>4125</v>
      </c>
      <c r="C86" s="256">
        <v>10</v>
      </c>
      <c r="D86" s="272" t="s">
        <v>4126</v>
      </c>
      <c r="E86" s="272" t="s">
        <v>4127</v>
      </c>
      <c r="F86" s="268" t="s">
        <v>3923</v>
      </c>
      <c r="G86" s="266">
        <v>60</v>
      </c>
      <c r="H86" s="255">
        <v>42644</v>
      </c>
      <c r="I86" s="253" t="s">
        <v>3706</v>
      </c>
      <c r="J86" s="266" t="s">
        <v>160</v>
      </c>
      <c r="K86" s="253">
        <v>720</v>
      </c>
      <c r="AU86" s="258">
        <v>60</v>
      </c>
      <c r="AV86" s="258">
        <v>60</v>
      </c>
      <c r="AW86" s="258">
        <v>60</v>
      </c>
      <c r="AX86" s="258">
        <v>60</v>
      </c>
      <c r="AY86" s="258">
        <v>60</v>
      </c>
      <c r="AZ86" s="258">
        <v>60</v>
      </c>
      <c r="BA86" s="258">
        <v>60</v>
      </c>
      <c r="BB86" s="258">
        <v>60</v>
      </c>
      <c r="BC86" s="258">
        <v>60</v>
      </c>
      <c r="BD86" s="258">
        <v>60</v>
      </c>
      <c r="BE86" s="258">
        <v>60</v>
      </c>
      <c r="BF86" s="258">
        <v>60</v>
      </c>
    </row>
    <row r="87" spans="1:128" ht="13.9" customHeight="1" x14ac:dyDescent="0.4">
      <c r="C87" s="256">
        <v>11</v>
      </c>
      <c r="D87" s="272"/>
      <c r="E87" s="272"/>
      <c r="F87" s="268"/>
      <c r="H87" s="255"/>
    </row>
    <row r="88" spans="1:128" ht="13.15" customHeight="1" x14ac:dyDescent="0.4">
      <c r="A88" s="273"/>
      <c r="E88" s="254" t="s">
        <v>4128</v>
      </c>
      <c r="F88" s="254"/>
      <c r="G88" s="254"/>
      <c r="H88" s="254"/>
      <c r="I88" s="254"/>
      <c r="K88" s="254">
        <f>SUM(L88:AQ88)</f>
        <v>10820</v>
      </c>
      <c r="M88" s="254">
        <f t="shared" ref="M88:X88" si="1">SUM(M4:M12)</f>
        <v>0</v>
      </c>
      <c r="N88" s="254">
        <f t="shared" si="1"/>
        <v>0</v>
      </c>
      <c r="O88" s="254">
        <f t="shared" si="1"/>
        <v>0</v>
      </c>
      <c r="P88" s="254">
        <f t="shared" si="1"/>
        <v>0</v>
      </c>
      <c r="Q88" s="254">
        <f t="shared" si="1"/>
        <v>0</v>
      </c>
      <c r="R88" s="254">
        <f t="shared" si="1"/>
        <v>0</v>
      </c>
      <c r="S88" s="254">
        <f t="shared" si="1"/>
        <v>0</v>
      </c>
      <c r="T88" s="254">
        <f t="shared" si="1"/>
        <v>0</v>
      </c>
      <c r="U88" s="254">
        <f t="shared" si="1"/>
        <v>0</v>
      </c>
      <c r="V88" s="254">
        <f t="shared" si="1"/>
        <v>62.5</v>
      </c>
      <c r="W88" s="254">
        <f t="shared" si="1"/>
        <v>62.5</v>
      </c>
      <c r="X88" s="254">
        <f t="shared" si="1"/>
        <v>82.5</v>
      </c>
      <c r="Y88" s="254">
        <f>SUM(Y4:Y19)</f>
        <v>302.5</v>
      </c>
      <c r="Z88" s="254">
        <f>SUM(Z4:Z82)</f>
        <v>102.5</v>
      </c>
      <c r="AA88" s="254">
        <f>SUM(AA4:AA82)</f>
        <v>102.5</v>
      </c>
      <c r="AB88" s="254">
        <f t="shared" ref="AB88:AK88" si="2">SUM(AB4:AB85)</f>
        <v>342.5</v>
      </c>
      <c r="AC88" s="254">
        <f t="shared" si="2"/>
        <v>407.5</v>
      </c>
      <c r="AD88" s="254">
        <f t="shared" si="2"/>
        <v>207.5</v>
      </c>
      <c r="AE88" s="254">
        <f t="shared" si="2"/>
        <v>447.5</v>
      </c>
      <c r="AF88" s="254">
        <f t="shared" si="2"/>
        <v>287.5</v>
      </c>
      <c r="AG88" s="254">
        <f t="shared" si="2"/>
        <v>332.5</v>
      </c>
      <c r="AH88" s="254">
        <f t="shared" si="2"/>
        <v>360</v>
      </c>
      <c r="AI88" s="254">
        <f t="shared" si="2"/>
        <v>360</v>
      </c>
      <c r="AJ88" s="254">
        <f t="shared" si="2"/>
        <v>320</v>
      </c>
      <c r="AK88" s="254">
        <f t="shared" si="2"/>
        <v>480</v>
      </c>
      <c r="AL88" s="254">
        <f>SUM(AL4:BH86)</f>
        <v>4880</v>
      </c>
      <c r="AM88" s="254">
        <f t="shared" ref="AM88:BR88" si="3">SUM(AM4:AM87)</f>
        <v>180</v>
      </c>
      <c r="AN88" s="254">
        <f t="shared" si="3"/>
        <v>180</v>
      </c>
      <c r="AO88" s="254">
        <f t="shared" si="3"/>
        <v>240</v>
      </c>
      <c r="AP88" s="254">
        <f t="shared" si="3"/>
        <v>860</v>
      </c>
      <c r="AQ88" s="254">
        <f t="shared" si="3"/>
        <v>220</v>
      </c>
      <c r="AR88" s="254">
        <f t="shared" si="3"/>
        <v>400</v>
      </c>
      <c r="AS88" s="254">
        <f t="shared" si="3"/>
        <v>200</v>
      </c>
      <c r="AT88" s="254">
        <f t="shared" si="3"/>
        <v>60</v>
      </c>
      <c r="AU88" s="254">
        <f t="shared" si="3"/>
        <v>140</v>
      </c>
      <c r="AV88" s="254">
        <f t="shared" si="3"/>
        <v>120</v>
      </c>
      <c r="AW88" s="254">
        <f t="shared" si="3"/>
        <v>520</v>
      </c>
      <c r="AX88" s="254">
        <f t="shared" si="3"/>
        <v>120</v>
      </c>
      <c r="AY88" s="254">
        <f t="shared" si="3"/>
        <v>140</v>
      </c>
      <c r="AZ88" s="254">
        <f t="shared" si="3"/>
        <v>80</v>
      </c>
      <c r="BA88" s="254">
        <f t="shared" si="3"/>
        <v>100</v>
      </c>
      <c r="BB88" s="254">
        <f t="shared" si="3"/>
        <v>120</v>
      </c>
      <c r="BC88" s="254">
        <f t="shared" si="3"/>
        <v>140</v>
      </c>
      <c r="BD88" s="254">
        <f t="shared" si="3"/>
        <v>140</v>
      </c>
      <c r="BE88" s="254">
        <f t="shared" si="3"/>
        <v>360</v>
      </c>
      <c r="BF88" s="254">
        <f t="shared" si="3"/>
        <v>160</v>
      </c>
      <c r="BG88" s="254">
        <f t="shared" si="3"/>
        <v>80</v>
      </c>
      <c r="BH88" s="254">
        <f t="shared" si="3"/>
        <v>60</v>
      </c>
      <c r="BI88" s="254">
        <f t="shared" si="3"/>
        <v>40</v>
      </c>
      <c r="BJ88" s="254">
        <f t="shared" si="3"/>
        <v>40</v>
      </c>
      <c r="BK88" s="254">
        <f t="shared" si="3"/>
        <v>260</v>
      </c>
      <c r="BL88" s="254">
        <f t="shared" si="3"/>
        <v>100</v>
      </c>
      <c r="BM88" s="254">
        <f t="shared" si="3"/>
        <v>100</v>
      </c>
      <c r="BN88" s="254">
        <f t="shared" si="3"/>
        <v>80</v>
      </c>
      <c r="BO88" s="254">
        <f t="shared" si="3"/>
        <v>80</v>
      </c>
      <c r="BP88" s="254">
        <f t="shared" si="3"/>
        <v>80</v>
      </c>
      <c r="BQ88" s="254">
        <f t="shared" si="3"/>
        <v>60</v>
      </c>
      <c r="BR88" s="254">
        <f t="shared" si="3"/>
        <v>40</v>
      </c>
      <c r="BS88" s="254">
        <f t="shared" ref="BS88:CX88" si="4">SUM(BS4:BS87)</f>
        <v>40</v>
      </c>
      <c r="BT88" s="254">
        <f t="shared" si="4"/>
        <v>40</v>
      </c>
      <c r="BU88" s="254">
        <f t="shared" si="4"/>
        <v>40</v>
      </c>
      <c r="BV88" s="254">
        <f t="shared" si="4"/>
        <v>20</v>
      </c>
      <c r="BW88" s="254">
        <f t="shared" si="4"/>
        <v>240</v>
      </c>
      <c r="BX88" s="254">
        <f t="shared" si="4"/>
        <v>60</v>
      </c>
      <c r="BY88" s="254">
        <f t="shared" si="4"/>
        <v>100</v>
      </c>
      <c r="BZ88" s="254">
        <f t="shared" si="4"/>
        <v>80</v>
      </c>
      <c r="CA88" s="254">
        <f t="shared" si="4"/>
        <v>60</v>
      </c>
      <c r="CB88" s="254">
        <f t="shared" si="4"/>
        <v>80</v>
      </c>
      <c r="CC88" s="254">
        <f t="shared" si="4"/>
        <v>60</v>
      </c>
      <c r="CD88" s="254">
        <f t="shared" si="4"/>
        <v>60</v>
      </c>
      <c r="CE88" s="254">
        <f t="shared" si="4"/>
        <v>60</v>
      </c>
      <c r="CF88" s="254">
        <f t="shared" si="4"/>
        <v>60</v>
      </c>
      <c r="CG88" s="254">
        <f t="shared" si="4"/>
        <v>40</v>
      </c>
      <c r="CH88" s="254">
        <f t="shared" si="4"/>
        <v>60</v>
      </c>
      <c r="CI88" s="254">
        <f t="shared" si="4"/>
        <v>40</v>
      </c>
      <c r="CJ88" s="254">
        <f t="shared" si="4"/>
        <v>40</v>
      </c>
      <c r="CK88" s="254">
        <f t="shared" si="4"/>
        <v>100</v>
      </c>
      <c r="CL88" s="254">
        <f t="shared" si="4"/>
        <v>60</v>
      </c>
      <c r="CM88" s="254">
        <f t="shared" si="4"/>
        <v>60</v>
      </c>
      <c r="CN88" s="254">
        <f t="shared" si="4"/>
        <v>60</v>
      </c>
      <c r="CO88" s="254">
        <f t="shared" si="4"/>
        <v>40</v>
      </c>
      <c r="CP88" s="254">
        <f t="shared" si="4"/>
        <v>40</v>
      </c>
      <c r="CQ88" s="254">
        <f t="shared" si="4"/>
        <v>60</v>
      </c>
      <c r="CR88" s="254">
        <f t="shared" si="4"/>
        <v>80</v>
      </c>
      <c r="CS88" s="254">
        <f t="shared" si="4"/>
        <v>80</v>
      </c>
      <c r="CT88" s="254">
        <f t="shared" si="4"/>
        <v>80</v>
      </c>
      <c r="CU88" s="254">
        <f t="shared" si="4"/>
        <v>80</v>
      </c>
      <c r="CV88" s="254">
        <f t="shared" si="4"/>
        <v>80</v>
      </c>
      <c r="CW88" s="254">
        <f t="shared" si="4"/>
        <v>80</v>
      </c>
      <c r="CX88" s="254">
        <f t="shared" si="4"/>
        <v>80</v>
      </c>
      <c r="CY88" s="254">
        <f t="shared" ref="CY88:DX88" si="5">SUM(CY4:CY87)</f>
        <v>120</v>
      </c>
      <c r="CZ88" s="254">
        <f t="shared" si="5"/>
        <v>120</v>
      </c>
      <c r="DA88" s="254">
        <f t="shared" si="5"/>
        <v>60</v>
      </c>
      <c r="DB88" s="254">
        <f t="shared" si="5"/>
        <v>40</v>
      </c>
      <c r="DC88" s="254">
        <f t="shared" si="5"/>
        <v>40</v>
      </c>
      <c r="DD88" s="254">
        <f t="shared" si="5"/>
        <v>100</v>
      </c>
      <c r="DE88" s="254">
        <f t="shared" si="5"/>
        <v>100</v>
      </c>
      <c r="DF88" s="254">
        <f t="shared" si="5"/>
        <v>120</v>
      </c>
      <c r="DG88" s="254">
        <f t="shared" si="5"/>
        <v>100</v>
      </c>
      <c r="DH88" s="254">
        <f t="shared" si="5"/>
        <v>60</v>
      </c>
      <c r="DI88" s="254">
        <f t="shared" si="5"/>
        <v>80</v>
      </c>
      <c r="DJ88" s="254">
        <f t="shared" si="5"/>
        <v>60</v>
      </c>
      <c r="DK88" s="254">
        <f t="shared" si="5"/>
        <v>60</v>
      </c>
      <c r="DL88" s="254">
        <f t="shared" si="5"/>
        <v>0</v>
      </c>
      <c r="DM88" s="254">
        <f t="shared" si="5"/>
        <v>0</v>
      </c>
      <c r="DN88" s="254">
        <f t="shared" si="5"/>
        <v>0</v>
      </c>
      <c r="DO88" s="254">
        <f t="shared" si="5"/>
        <v>0</v>
      </c>
      <c r="DP88" s="254">
        <f t="shared" si="5"/>
        <v>0</v>
      </c>
      <c r="DQ88" s="254">
        <f t="shared" si="5"/>
        <v>0</v>
      </c>
      <c r="DR88" s="254">
        <f t="shared" si="5"/>
        <v>0</v>
      </c>
      <c r="DS88" s="254">
        <f t="shared" si="5"/>
        <v>0</v>
      </c>
      <c r="DT88" s="254">
        <f t="shared" si="5"/>
        <v>0</v>
      </c>
      <c r="DU88" s="254">
        <f t="shared" si="5"/>
        <v>0</v>
      </c>
      <c r="DV88" s="254">
        <f t="shared" si="5"/>
        <v>0</v>
      </c>
      <c r="DW88" s="254">
        <f t="shared" si="5"/>
        <v>0</v>
      </c>
      <c r="DX88" s="254">
        <f t="shared" si="5"/>
        <v>0</v>
      </c>
    </row>
    <row r="89" spans="1:128" x14ac:dyDescent="0.35">
      <c r="C89" s="256"/>
    </row>
    <row r="90" spans="1:128" ht="13.15" customHeight="1" x14ac:dyDescent="0.4">
      <c r="H90" s="275" t="s">
        <v>4129</v>
      </c>
      <c r="I90" s="275"/>
      <c r="J90" s="275" t="s">
        <v>4130</v>
      </c>
      <c r="K90" s="275" t="s">
        <v>5</v>
      </c>
      <c r="L90" s="275" t="s">
        <v>3097</v>
      </c>
      <c r="M90" s="275"/>
      <c r="N90" s="275"/>
      <c r="O90" s="275"/>
      <c r="P90" s="275"/>
      <c r="Q90" s="275"/>
      <c r="R90" s="275"/>
      <c r="S90" s="275"/>
      <c r="T90" s="275"/>
      <c r="U90" s="275"/>
    </row>
    <row r="91" spans="1:128" ht="13.15" customHeight="1" x14ac:dyDescent="0.4">
      <c r="D91" s="254" t="s">
        <v>1031</v>
      </c>
    </row>
    <row r="92" spans="1:128" ht="13.15" customHeight="1" x14ac:dyDescent="0.4">
      <c r="A92" s="259" t="s">
        <v>4131</v>
      </c>
      <c r="D92" s="253" t="s">
        <v>4132</v>
      </c>
      <c r="E92" s="253" t="s">
        <v>4133</v>
      </c>
      <c r="F92" s="253" t="s">
        <v>550</v>
      </c>
      <c r="G92" s="253">
        <v>30.38</v>
      </c>
      <c r="H92" s="255">
        <v>42095</v>
      </c>
      <c r="I92" s="255" t="s">
        <v>3764</v>
      </c>
      <c r="J92" s="255">
        <v>42430</v>
      </c>
      <c r="K92" s="253">
        <f t="shared" ref="K92:K123" si="6">SUM(X92:DS92)</f>
        <v>368.42</v>
      </c>
      <c r="L92" s="254">
        <v>364.5</v>
      </c>
      <c r="M92" s="254"/>
      <c r="N92" s="254"/>
      <c r="O92" s="254"/>
      <c r="P92" s="254"/>
      <c r="Q92" s="254"/>
      <c r="R92" s="254"/>
      <c r="S92" s="254"/>
      <c r="T92" s="254"/>
      <c r="U92" s="254"/>
      <c r="AC92" s="258">
        <v>30.38</v>
      </c>
      <c r="AD92" s="258">
        <v>30.38</v>
      </c>
      <c r="AE92" s="258">
        <v>30.38</v>
      </c>
      <c r="AF92" s="258">
        <v>30.38</v>
      </c>
      <c r="AG92" s="258">
        <v>30.38</v>
      </c>
      <c r="AH92" s="258">
        <v>30.38</v>
      </c>
      <c r="AI92" s="258">
        <v>30.38</v>
      </c>
      <c r="AJ92" s="258">
        <v>30.38</v>
      </c>
      <c r="AK92" s="258">
        <v>30.38</v>
      </c>
      <c r="AL92" s="257">
        <v>0</v>
      </c>
      <c r="AM92" s="258">
        <v>65</v>
      </c>
      <c r="AN92" s="258">
        <v>30</v>
      </c>
    </row>
    <row r="93" spans="1:128" ht="13.15" customHeight="1" x14ac:dyDescent="0.4">
      <c r="A93" s="259" t="s">
        <v>4134</v>
      </c>
      <c r="B93" s="259"/>
      <c r="C93" s="256">
        <v>1</v>
      </c>
      <c r="D93" s="253" t="s">
        <v>3981</v>
      </c>
      <c r="E93" s="253" t="s">
        <v>4135</v>
      </c>
      <c r="F93" s="253" t="s">
        <v>550</v>
      </c>
      <c r="G93" s="253">
        <v>30.38</v>
      </c>
      <c r="H93" s="255">
        <v>42095</v>
      </c>
      <c r="I93" s="255" t="s">
        <v>3777</v>
      </c>
      <c r="J93" s="255">
        <v>42430</v>
      </c>
      <c r="K93" s="253">
        <f t="shared" si="6"/>
        <v>364.5</v>
      </c>
      <c r="L93" s="254">
        <v>364.5</v>
      </c>
      <c r="AC93" s="258">
        <v>30.32</v>
      </c>
      <c r="AD93" s="258">
        <v>30.38</v>
      </c>
      <c r="AE93" s="258">
        <v>30.38</v>
      </c>
      <c r="AF93" s="258">
        <v>30.38</v>
      </c>
      <c r="AG93" s="258">
        <v>30.38</v>
      </c>
      <c r="AH93" s="258">
        <v>30.38</v>
      </c>
      <c r="AI93" s="258">
        <v>30.38</v>
      </c>
      <c r="AJ93" s="258">
        <v>30.38</v>
      </c>
      <c r="AK93" s="258">
        <v>30.38</v>
      </c>
      <c r="AL93" s="258">
        <v>30.38</v>
      </c>
      <c r="AM93" s="258">
        <v>30.38</v>
      </c>
      <c r="AN93" s="258">
        <v>30.38</v>
      </c>
    </row>
    <row r="94" spans="1:128" ht="13.9" customHeight="1" x14ac:dyDescent="0.4">
      <c r="A94" s="260" t="s">
        <v>4136</v>
      </c>
      <c r="B94" s="259"/>
      <c r="C94" s="256">
        <v>2</v>
      </c>
      <c r="D94" s="253" t="s">
        <v>1032</v>
      </c>
      <c r="E94" s="253" t="s">
        <v>3992</v>
      </c>
      <c r="F94" s="253" t="s">
        <v>4137</v>
      </c>
      <c r="G94" s="253">
        <v>179.56</v>
      </c>
      <c r="H94" s="255">
        <v>42156</v>
      </c>
      <c r="I94" s="255" t="s">
        <v>3711</v>
      </c>
      <c r="J94" s="255">
        <v>42491</v>
      </c>
      <c r="K94" s="253">
        <f t="shared" si="6"/>
        <v>5118.25</v>
      </c>
      <c r="L94" s="254">
        <f>718.25+700</f>
        <v>1418.25</v>
      </c>
      <c r="AC94" s="253">
        <v>0</v>
      </c>
      <c r="AD94" s="258">
        <v>0</v>
      </c>
      <c r="AE94" s="258">
        <v>179.57</v>
      </c>
      <c r="AH94" s="258">
        <v>179.56</v>
      </c>
      <c r="AK94" s="258">
        <v>179.56</v>
      </c>
      <c r="AN94" s="258">
        <v>179.56</v>
      </c>
      <c r="AQ94" s="258">
        <v>175</v>
      </c>
      <c r="AT94" s="258">
        <v>175</v>
      </c>
      <c r="AW94" s="258">
        <v>175</v>
      </c>
      <c r="AZ94" s="258">
        <v>175</v>
      </c>
      <c r="BF94" s="258">
        <v>175</v>
      </c>
      <c r="BI94" s="258">
        <v>175</v>
      </c>
      <c r="BL94" s="258">
        <v>175</v>
      </c>
      <c r="BO94" s="258">
        <v>175</v>
      </c>
      <c r="BR94" s="258">
        <v>187.5</v>
      </c>
      <c r="BU94" s="258">
        <v>187.5</v>
      </c>
      <c r="BX94" s="258">
        <v>187.5</v>
      </c>
      <c r="CA94" s="258">
        <v>187.5</v>
      </c>
      <c r="CD94" s="258">
        <v>187.5</v>
      </c>
      <c r="CG94" s="258">
        <v>187.5</v>
      </c>
      <c r="CI94" s="258">
        <v>187.5</v>
      </c>
      <c r="CJ94" s="258">
        <v>187.5</v>
      </c>
      <c r="CM94" s="258">
        <v>187.5</v>
      </c>
      <c r="CO94" s="253">
        <v>187.5</v>
      </c>
      <c r="CS94" s="253">
        <v>187.5</v>
      </c>
      <c r="CV94" s="253">
        <v>187.5</v>
      </c>
      <c r="CY94" s="253">
        <v>187.5</v>
      </c>
      <c r="DB94" s="253">
        <v>187.5</v>
      </c>
      <c r="DE94" s="253">
        <v>187.5</v>
      </c>
      <c r="DH94" s="253">
        <v>187.5</v>
      </c>
    </row>
    <row r="95" spans="1:128" ht="13.9" customHeight="1" x14ac:dyDescent="0.4">
      <c r="A95" s="259" t="s">
        <v>4138</v>
      </c>
      <c r="B95" s="260"/>
      <c r="C95" s="256">
        <v>3</v>
      </c>
      <c r="D95" s="253" t="s">
        <v>4139</v>
      </c>
      <c r="E95" s="253" t="s">
        <v>4140</v>
      </c>
      <c r="F95" s="253" t="s">
        <v>550</v>
      </c>
      <c r="G95" s="253">
        <v>18.75</v>
      </c>
      <c r="H95" s="255">
        <v>42401</v>
      </c>
      <c r="I95" s="255" t="s">
        <v>3699</v>
      </c>
      <c r="J95" s="255">
        <v>42675</v>
      </c>
      <c r="K95" s="253">
        <f t="shared" si="6"/>
        <v>427.5</v>
      </c>
      <c r="L95" s="254">
        <v>427.5</v>
      </c>
      <c r="AK95" s="258">
        <v>200</v>
      </c>
      <c r="AM95" s="258">
        <v>22.75</v>
      </c>
      <c r="AN95" s="258">
        <v>22.75</v>
      </c>
      <c r="AO95" s="258">
        <v>22.75</v>
      </c>
      <c r="AP95" s="258">
        <v>22.75</v>
      </c>
      <c r="AQ95" s="258">
        <v>22.75</v>
      </c>
      <c r="AR95" s="258">
        <v>22.75</v>
      </c>
      <c r="AS95" s="258">
        <v>22.75</v>
      </c>
      <c r="AT95" s="258">
        <v>22.75</v>
      </c>
      <c r="AU95" s="258">
        <v>22.75</v>
      </c>
      <c r="AV95" s="258">
        <v>22.75</v>
      </c>
    </row>
    <row r="96" spans="1:128" ht="13.15" customHeight="1" x14ac:dyDescent="0.4">
      <c r="A96" s="259"/>
      <c r="B96" s="259"/>
      <c r="C96" s="256">
        <v>4</v>
      </c>
      <c r="D96" s="253" t="s">
        <v>4141</v>
      </c>
      <c r="E96" s="253" t="s">
        <v>4142</v>
      </c>
      <c r="F96" s="253" t="s">
        <v>550</v>
      </c>
      <c r="G96" s="253">
        <v>35</v>
      </c>
      <c r="H96" s="255">
        <v>42705</v>
      </c>
      <c r="I96" s="255" t="s">
        <v>3777</v>
      </c>
      <c r="J96" s="255">
        <v>42675</v>
      </c>
      <c r="K96" s="253">
        <f t="shared" si="6"/>
        <v>35</v>
      </c>
      <c r="L96" s="254">
        <v>35</v>
      </c>
      <c r="AK96" s="258">
        <v>35</v>
      </c>
      <c r="AL96" s="257" t="s">
        <v>4074</v>
      </c>
    </row>
    <row r="97" spans="1:109" ht="13.15" customHeight="1" x14ac:dyDescent="0.4">
      <c r="A97" s="253" t="s">
        <v>4143</v>
      </c>
      <c r="B97" s="259"/>
      <c r="C97" s="256">
        <v>5</v>
      </c>
      <c r="D97" s="253" t="s">
        <v>4115</v>
      </c>
      <c r="E97" s="253" t="s">
        <v>4116</v>
      </c>
      <c r="F97" s="253" t="s">
        <v>551</v>
      </c>
      <c r="H97" s="255">
        <v>42705</v>
      </c>
      <c r="I97" s="255"/>
      <c r="J97" s="255">
        <v>42675</v>
      </c>
      <c r="K97" s="253">
        <f t="shared" si="6"/>
        <v>3500</v>
      </c>
      <c r="L97" s="254">
        <v>3500</v>
      </c>
      <c r="AK97" s="258">
        <v>3500</v>
      </c>
    </row>
    <row r="98" spans="1:109" ht="13.15" customHeight="1" x14ac:dyDescent="0.4">
      <c r="A98" s="259" t="s">
        <v>4144</v>
      </c>
      <c r="C98" s="256">
        <v>6</v>
      </c>
      <c r="D98" s="253" t="s">
        <v>4145</v>
      </c>
      <c r="E98" s="253" t="s">
        <v>4146</v>
      </c>
      <c r="F98" s="253" t="s">
        <v>551</v>
      </c>
      <c r="H98" s="255">
        <v>42705</v>
      </c>
      <c r="I98" s="255"/>
      <c r="J98" s="255">
        <v>42675</v>
      </c>
      <c r="K98" s="253">
        <f t="shared" si="6"/>
        <v>600</v>
      </c>
      <c r="L98" s="254">
        <f>326.5+300+300</f>
        <v>926.5</v>
      </c>
      <c r="M98" s="253">
        <v>326.5</v>
      </c>
      <c r="N98" s="254"/>
      <c r="O98" s="254"/>
      <c r="P98" s="254"/>
      <c r="Q98" s="254"/>
      <c r="R98" s="254"/>
      <c r="S98" s="254"/>
      <c r="T98" s="254"/>
      <c r="U98" s="254"/>
      <c r="Y98" s="258">
        <v>300</v>
      </c>
      <c r="AC98" s="253">
        <v>0</v>
      </c>
      <c r="AK98" s="258">
        <v>300</v>
      </c>
    </row>
    <row r="99" spans="1:109" ht="13.15" customHeight="1" x14ac:dyDescent="0.4">
      <c r="B99" s="259"/>
      <c r="C99" s="256">
        <v>7</v>
      </c>
      <c r="D99" s="253" t="s">
        <v>4117</v>
      </c>
      <c r="E99" s="253" t="s">
        <v>513</v>
      </c>
      <c r="F99" s="253" t="s">
        <v>551</v>
      </c>
      <c r="H99" s="255">
        <v>42705</v>
      </c>
      <c r="I99" s="255"/>
      <c r="J99" s="255">
        <v>42675</v>
      </c>
      <c r="K99" s="253">
        <f t="shared" si="6"/>
        <v>5308.5</v>
      </c>
      <c r="L99" s="254">
        <f>1159.6+1622.5+1000</f>
        <v>3782.1</v>
      </c>
      <c r="M99" s="253">
        <v>1159.5999999999999</v>
      </c>
      <c r="N99" s="254"/>
      <c r="O99" s="254"/>
      <c r="P99" s="254"/>
      <c r="Q99" s="254"/>
      <c r="R99" s="254"/>
      <c r="S99" s="254"/>
      <c r="T99" s="254"/>
      <c r="U99" s="254"/>
      <c r="X99" s="258">
        <v>1622.5</v>
      </c>
      <c r="AC99" s="253">
        <v>0</v>
      </c>
      <c r="AK99" s="258">
        <v>1000</v>
      </c>
      <c r="AO99" s="258">
        <v>989</v>
      </c>
      <c r="AV99" s="258">
        <v>1000</v>
      </c>
      <c r="CC99" s="253">
        <v>697</v>
      </c>
    </row>
    <row r="100" spans="1:109" ht="13.15" customHeight="1" x14ac:dyDescent="0.4">
      <c r="A100" s="259" t="s">
        <v>4147</v>
      </c>
      <c r="C100" s="256">
        <v>8</v>
      </c>
      <c r="D100" s="253" t="s">
        <v>4148</v>
      </c>
      <c r="E100" s="253" t="s">
        <v>4149</v>
      </c>
      <c r="F100" s="253" t="s">
        <v>4137</v>
      </c>
      <c r="G100" s="253">
        <v>187.5</v>
      </c>
      <c r="H100" s="255">
        <v>42705</v>
      </c>
      <c r="I100" s="255" t="s">
        <v>3777</v>
      </c>
      <c r="J100" s="255">
        <v>42675</v>
      </c>
      <c r="K100" s="253">
        <f t="shared" si="6"/>
        <v>750</v>
      </c>
      <c r="L100" s="254">
        <v>750</v>
      </c>
      <c r="AK100" s="258">
        <v>187.5</v>
      </c>
      <c r="AN100" s="258">
        <v>187.5</v>
      </c>
      <c r="AQ100" s="258">
        <v>187.5</v>
      </c>
      <c r="AT100" s="258">
        <v>187.5</v>
      </c>
    </row>
    <row r="101" spans="1:109" ht="13.15" customHeight="1" x14ac:dyDescent="0.4">
      <c r="A101" s="259" t="s">
        <v>4150</v>
      </c>
      <c r="B101" s="259"/>
      <c r="C101" s="256">
        <v>9</v>
      </c>
      <c r="D101" s="253" t="s">
        <v>4114</v>
      </c>
      <c r="E101" s="253" t="s">
        <v>521</v>
      </c>
      <c r="F101" s="253" t="s">
        <v>551</v>
      </c>
      <c r="H101" s="255">
        <v>42705</v>
      </c>
      <c r="I101" s="70" t="s">
        <v>3711</v>
      </c>
      <c r="J101" s="255">
        <v>42675</v>
      </c>
      <c r="K101" s="253">
        <f t="shared" si="6"/>
        <v>4440</v>
      </c>
      <c r="L101" s="254">
        <v>3000</v>
      </c>
      <c r="M101" s="254"/>
      <c r="N101" s="254"/>
      <c r="O101" s="254"/>
      <c r="P101" s="254"/>
      <c r="Q101" s="254"/>
      <c r="R101" s="254"/>
      <c r="S101" s="254"/>
      <c r="T101" s="254"/>
      <c r="U101" s="254"/>
      <c r="AB101" s="258">
        <v>1000</v>
      </c>
      <c r="AC101" s="253">
        <v>0</v>
      </c>
      <c r="AD101" s="253">
        <v>0</v>
      </c>
      <c r="AE101" s="253">
        <v>0</v>
      </c>
      <c r="AF101" s="253">
        <v>0</v>
      </c>
      <c r="AG101" s="253">
        <v>0</v>
      </c>
      <c r="AH101" s="258">
        <v>1000</v>
      </c>
      <c r="AI101" s="253">
        <v>0</v>
      </c>
      <c r="AJ101" s="253">
        <v>0</v>
      </c>
      <c r="AK101" s="258">
        <v>1000</v>
      </c>
      <c r="BT101" s="258">
        <v>120</v>
      </c>
      <c r="BU101" s="258">
        <v>120</v>
      </c>
      <c r="BV101" s="258">
        <v>120</v>
      </c>
      <c r="BW101" s="258">
        <v>120</v>
      </c>
      <c r="BX101" s="258">
        <v>120</v>
      </c>
      <c r="BY101" s="258">
        <v>120</v>
      </c>
      <c r="BZ101" s="258">
        <v>120</v>
      </c>
      <c r="CA101" s="258">
        <v>120</v>
      </c>
      <c r="CB101" s="258">
        <v>120</v>
      </c>
      <c r="CC101" s="253">
        <v>120</v>
      </c>
      <c r="CD101" s="253">
        <v>120</v>
      </c>
      <c r="CE101" s="253">
        <v>120</v>
      </c>
    </row>
    <row r="102" spans="1:109" ht="13.9" customHeight="1" x14ac:dyDescent="0.4">
      <c r="A102" s="259" t="s">
        <v>4151</v>
      </c>
      <c r="B102" s="259"/>
      <c r="C102" s="256">
        <v>10</v>
      </c>
      <c r="D102" s="253" t="s">
        <v>4152</v>
      </c>
      <c r="E102" s="253" t="s">
        <v>4153</v>
      </c>
      <c r="F102" s="253" t="s">
        <v>551</v>
      </c>
      <c r="G102" s="276"/>
      <c r="H102" s="255">
        <v>42339</v>
      </c>
      <c r="J102" s="255">
        <v>42675</v>
      </c>
      <c r="K102" s="253">
        <f t="shared" si="6"/>
        <v>1000</v>
      </c>
      <c r="L102" s="254">
        <v>1000</v>
      </c>
      <c r="AK102" s="258">
        <v>1000</v>
      </c>
    </row>
    <row r="103" spans="1:109" ht="13.15" customHeight="1" x14ac:dyDescent="0.4">
      <c r="B103" s="259"/>
      <c r="C103" s="256">
        <v>11</v>
      </c>
      <c r="D103" s="253" t="s">
        <v>3990</v>
      </c>
      <c r="E103" s="253" t="s">
        <v>3991</v>
      </c>
      <c r="F103" s="253" t="s">
        <v>551</v>
      </c>
      <c r="H103" s="255">
        <v>42217</v>
      </c>
      <c r="J103" s="255">
        <v>42552</v>
      </c>
      <c r="K103" s="253">
        <f t="shared" si="6"/>
        <v>2500</v>
      </c>
      <c r="L103" s="254">
        <v>2500</v>
      </c>
      <c r="AG103" s="258">
        <v>2500</v>
      </c>
    </row>
    <row r="104" spans="1:109" ht="13.15" customHeight="1" x14ac:dyDescent="0.4">
      <c r="A104" s="259" t="s">
        <v>4154</v>
      </c>
      <c r="C104" s="256">
        <v>12</v>
      </c>
      <c r="D104" s="253" t="s">
        <v>4035</v>
      </c>
      <c r="E104" s="253" t="s">
        <v>4036</v>
      </c>
      <c r="F104" s="253" t="s">
        <v>550</v>
      </c>
      <c r="H104" s="255">
        <v>42370</v>
      </c>
      <c r="I104" s="253" t="s">
        <v>3723</v>
      </c>
      <c r="J104" s="255">
        <v>42705</v>
      </c>
      <c r="K104" s="253">
        <f t="shared" si="6"/>
        <v>420</v>
      </c>
      <c r="L104" s="254">
        <v>420</v>
      </c>
      <c r="AL104" s="258">
        <v>35</v>
      </c>
      <c r="AM104" s="258">
        <v>35</v>
      </c>
      <c r="AN104" s="258">
        <v>35</v>
      </c>
      <c r="AO104" s="258">
        <v>35</v>
      </c>
      <c r="AP104" s="258">
        <v>35</v>
      </c>
      <c r="AQ104" s="258">
        <v>35</v>
      </c>
      <c r="AR104" s="258">
        <v>35</v>
      </c>
      <c r="AS104" s="258">
        <v>35</v>
      </c>
      <c r="AT104" s="258">
        <v>35</v>
      </c>
      <c r="AU104" s="258">
        <v>35</v>
      </c>
      <c r="AV104" s="258">
        <v>35</v>
      </c>
      <c r="AW104" s="258">
        <v>35</v>
      </c>
    </row>
    <row r="105" spans="1:109" ht="13.15" customHeight="1" x14ac:dyDescent="0.4">
      <c r="A105" s="259" t="s">
        <v>4155</v>
      </c>
      <c r="B105" s="259"/>
      <c r="C105" s="256">
        <v>13</v>
      </c>
      <c r="D105" s="253" t="s">
        <v>4063</v>
      </c>
      <c r="E105" s="253" t="s">
        <v>4156</v>
      </c>
      <c r="F105" s="253" t="s">
        <v>550</v>
      </c>
      <c r="H105" s="255">
        <v>42370</v>
      </c>
      <c r="I105" s="253" t="s">
        <v>3714</v>
      </c>
      <c r="J105" s="255">
        <v>42705</v>
      </c>
      <c r="K105" s="253">
        <f t="shared" si="6"/>
        <v>420</v>
      </c>
      <c r="L105" s="254">
        <v>420</v>
      </c>
      <c r="AL105" s="258">
        <v>35</v>
      </c>
      <c r="AM105" s="258">
        <v>35</v>
      </c>
      <c r="AN105" s="258">
        <v>35</v>
      </c>
      <c r="AO105" s="258">
        <v>35</v>
      </c>
      <c r="AP105" s="258">
        <v>0</v>
      </c>
      <c r="AQ105" s="258">
        <v>70</v>
      </c>
      <c r="AR105" s="258">
        <v>35</v>
      </c>
      <c r="AS105" s="258">
        <v>35</v>
      </c>
      <c r="AT105" s="277">
        <v>35</v>
      </c>
      <c r="AU105" s="277">
        <v>35</v>
      </c>
      <c r="AV105" s="258">
        <v>70</v>
      </c>
      <c r="AW105" s="253">
        <v>0</v>
      </c>
    </row>
    <row r="106" spans="1:109" ht="13.9" customHeight="1" x14ac:dyDescent="0.4">
      <c r="A106" s="261" t="s">
        <v>4157</v>
      </c>
      <c r="C106" s="256">
        <v>14</v>
      </c>
      <c r="D106" s="256" t="s">
        <v>3977</v>
      </c>
      <c r="E106" s="268" t="s">
        <v>3978</v>
      </c>
      <c r="F106" s="268" t="s">
        <v>550</v>
      </c>
      <c r="G106" s="266">
        <v>60</v>
      </c>
      <c r="H106" s="255">
        <v>42430</v>
      </c>
      <c r="I106" s="266" t="s">
        <v>3706</v>
      </c>
      <c r="J106" s="255">
        <v>42552</v>
      </c>
      <c r="K106" s="253">
        <f t="shared" si="6"/>
        <v>300</v>
      </c>
      <c r="L106" s="254">
        <v>300</v>
      </c>
      <c r="AN106" s="258">
        <v>60</v>
      </c>
      <c r="AO106" s="258">
        <v>60</v>
      </c>
      <c r="AP106" s="258">
        <v>60</v>
      </c>
      <c r="AQ106" s="258">
        <v>60</v>
      </c>
      <c r="AR106" s="258">
        <v>60</v>
      </c>
    </row>
    <row r="107" spans="1:109" ht="13.15" customHeight="1" x14ac:dyDescent="0.4">
      <c r="A107" s="259" t="s">
        <v>4158</v>
      </c>
      <c r="B107" s="261"/>
      <c r="C107" s="256">
        <v>15</v>
      </c>
      <c r="D107" s="253" t="s">
        <v>4159</v>
      </c>
      <c r="E107" s="253" t="s">
        <v>4160</v>
      </c>
      <c r="F107" s="253" t="s">
        <v>4137</v>
      </c>
      <c r="G107" s="253">
        <v>189.13</v>
      </c>
      <c r="H107" s="255">
        <v>42491</v>
      </c>
      <c r="I107" s="253" t="s">
        <v>3793</v>
      </c>
      <c r="J107" s="255">
        <v>42826</v>
      </c>
      <c r="K107" s="253">
        <f t="shared" si="6"/>
        <v>5744.66</v>
      </c>
      <c r="L107" s="254">
        <f>2339.66+665</f>
        <v>3004.66</v>
      </c>
      <c r="AP107" s="258">
        <v>189.13</v>
      </c>
      <c r="AS107" s="258">
        <v>189.13</v>
      </c>
      <c r="AV107" s="258">
        <v>364.44</v>
      </c>
      <c r="AY107" s="258">
        <v>364.44</v>
      </c>
      <c r="BB107" s="258">
        <v>308.13</v>
      </c>
      <c r="BE107" s="258">
        <v>308.13</v>
      </c>
      <c r="BH107" s="258">
        <v>308.13</v>
      </c>
      <c r="BK107" s="258">
        <v>308.13</v>
      </c>
      <c r="BR107" s="258">
        <v>187.5</v>
      </c>
      <c r="BU107" s="258">
        <v>187.5</v>
      </c>
      <c r="BX107" s="258">
        <v>187.5</v>
      </c>
      <c r="CA107" s="258">
        <v>187.5</v>
      </c>
      <c r="CC107" s="258">
        <v>220</v>
      </c>
      <c r="CD107" s="253">
        <v>0</v>
      </c>
      <c r="CF107" s="258">
        <v>220</v>
      </c>
      <c r="CG107" s="253">
        <v>0</v>
      </c>
      <c r="CI107" s="258">
        <v>250</v>
      </c>
      <c r="CJ107" s="253">
        <v>0</v>
      </c>
      <c r="CL107" s="258">
        <v>250</v>
      </c>
      <c r="CM107" s="253">
        <v>0</v>
      </c>
      <c r="CO107" s="253">
        <v>500</v>
      </c>
      <c r="CR107" s="253">
        <v>465</v>
      </c>
      <c r="CV107" s="253">
        <v>187.5</v>
      </c>
      <c r="CY107" s="253">
        <v>187.5</v>
      </c>
      <c r="DB107" s="253">
        <v>187.5</v>
      </c>
      <c r="DE107" s="253">
        <v>187.5</v>
      </c>
    </row>
    <row r="108" spans="1:109" ht="13.15" customHeight="1" x14ac:dyDescent="0.4">
      <c r="A108" s="259" t="s">
        <v>4161</v>
      </c>
      <c r="C108" s="256">
        <v>16</v>
      </c>
      <c r="D108" s="253" t="s">
        <v>4162</v>
      </c>
      <c r="E108" s="253" t="s">
        <v>4163</v>
      </c>
      <c r="F108" s="253" t="s">
        <v>550</v>
      </c>
      <c r="G108" s="253">
        <v>700</v>
      </c>
      <c r="H108" s="255">
        <v>42491</v>
      </c>
      <c r="I108" s="253" t="s">
        <v>3793</v>
      </c>
      <c r="J108" s="255">
        <v>42826</v>
      </c>
      <c r="K108" s="253">
        <f t="shared" si="6"/>
        <v>1468.75</v>
      </c>
      <c r="L108" s="254">
        <f>743.75+700</f>
        <v>1443.75</v>
      </c>
      <c r="AP108" s="258">
        <v>743.75</v>
      </c>
      <c r="AY108" s="258">
        <v>175</v>
      </c>
      <c r="BB108" s="258">
        <v>200</v>
      </c>
      <c r="BE108" s="258">
        <v>175</v>
      </c>
      <c r="BH108" s="258">
        <v>175</v>
      </c>
    </row>
    <row r="109" spans="1:109" ht="13.15" customHeight="1" x14ac:dyDescent="0.4">
      <c r="A109" s="259" t="s">
        <v>4164</v>
      </c>
      <c r="C109" s="256">
        <v>17</v>
      </c>
      <c r="D109" s="253" t="s">
        <v>4165</v>
      </c>
      <c r="E109" s="253" t="s">
        <v>4166</v>
      </c>
      <c r="F109" s="253" t="s">
        <v>4137</v>
      </c>
      <c r="G109" s="253">
        <v>238</v>
      </c>
      <c r="H109" s="255">
        <v>42491</v>
      </c>
      <c r="I109" s="253" t="s">
        <v>3793</v>
      </c>
      <c r="J109" s="255">
        <v>42826</v>
      </c>
      <c r="K109" s="253">
        <f t="shared" si="6"/>
        <v>999</v>
      </c>
      <c r="L109" s="254">
        <v>952</v>
      </c>
      <c r="AP109" s="258">
        <v>238</v>
      </c>
      <c r="AS109" s="258">
        <v>285</v>
      </c>
      <c r="AV109" s="258">
        <v>238</v>
      </c>
      <c r="AY109" s="258">
        <v>238</v>
      </c>
    </row>
    <row r="110" spans="1:109" ht="13.15" customHeight="1" x14ac:dyDescent="0.4">
      <c r="A110" s="278" t="s">
        <v>4167</v>
      </c>
      <c r="C110" s="256">
        <v>18</v>
      </c>
      <c r="D110" s="253" t="s">
        <v>4168</v>
      </c>
      <c r="E110" s="253" t="s">
        <v>4169</v>
      </c>
      <c r="F110" s="253" t="s">
        <v>550</v>
      </c>
      <c r="G110" s="253">
        <v>35</v>
      </c>
      <c r="H110" s="255">
        <v>42491</v>
      </c>
      <c r="I110" s="253" t="s">
        <v>4170</v>
      </c>
      <c r="J110" s="255">
        <v>42826</v>
      </c>
      <c r="K110" s="253">
        <f t="shared" si="6"/>
        <v>420</v>
      </c>
      <c r="L110" s="254">
        <v>420</v>
      </c>
      <c r="AP110" s="258">
        <v>35</v>
      </c>
      <c r="AQ110" s="258">
        <v>35</v>
      </c>
      <c r="AR110" s="258">
        <v>35</v>
      </c>
      <c r="AS110" s="258">
        <v>35</v>
      </c>
      <c r="AT110" s="258">
        <v>35</v>
      </c>
      <c r="AU110" s="258">
        <v>35</v>
      </c>
      <c r="AV110" s="258">
        <v>35</v>
      </c>
      <c r="AW110" s="258">
        <v>35</v>
      </c>
      <c r="AX110" s="258">
        <v>35</v>
      </c>
      <c r="AY110" s="258">
        <v>35</v>
      </c>
      <c r="AZ110" s="258">
        <v>35</v>
      </c>
      <c r="BA110" s="258">
        <v>35</v>
      </c>
    </row>
    <row r="111" spans="1:109" ht="13.15" customHeight="1" x14ac:dyDescent="0.4">
      <c r="A111" s="259" t="s">
        <v>4171</v>
      </c>
      <c r="C111" s="256">
        <v>19</v>
      </c>
      <c r="D111" s="253" t="s">
        <v>4172</v>
      </c>
      <c r="E111" s="253" t="s">
        <v>4173</v>
      </c>
      <c r="F111" s="253" t="s">
        <v>550</v>
      </c>
      <c r="G111" s="253">
        <v>46.13</v>
      </c>
      <c r="H111" s="255">
        <v>42491</v>
      </c>
      <c r="I111" s="253" t="s">
        <v>4174</v>
      </c>
      <c r="J111" s="255">
        <v>42826</v>
      </c>
      <c r="K111" s="253">
        <f t="shared" si="6"/>
        <v>500</v>
      </c>
      <c r="L111" s="254">
        <v>553.5</v>
      </c>
      <c r="AP111" s="258">
        <v>46.13</v>
      </c>
      <c r="AQ111" s="258">
        <v>47.13</v>
      </c>
      <c r="AR111" s="258">
        <v>46.13</v>
      </c>
      <c r="AS111" s="258">
        <v>46.13</v>
      </c>
      <c r="AT111" s="258">
        <v>46.13</v>
      </c>
      <c r="AU111" s="258">
        <v>46.13</v>
      </c>
      <c r="AV111" s="258">
        <v>46.13</v>
      </c>
      <c r="AW111" s="258">
        <v>176.09</v>
      </c>
      <c r="AX111" s="257"/>
      <c r="AY111" s="257"/>
      <c r="AZ111" s="257"/>
      <c r="BA111" s="257"/>
    </row>
    <row r="112" spans="1:109" ht="13.15" customHeight="1" x14ac:dyDescent="0.4">
      <c r="A112" s="259" t="s">
        <v>4175</v>
      </c>
      <c r="C112" s="256">
        <v>20</v>
      </c>
      <c r="D112" s="253" t="s">
        <v>4176</v>
      </c>
      <c r="E112" s="253" t="s">
        <v>4177</v>
      </c>
      <c r="F112" s="253" t="s">
        <v>550</v>
      </c>
      <c r="H112" s="255">
        <v>42491</v>
      </c>
      <c r="I112" s="253" t="s">
        <v>4098</v>
      </c>
      <c r="J112" s="255">
        <v>42826</v>
      </c>
      <c r="K112" s="253">
        <f t="shared" si="6"/>
        <v>975</v>
      </c>
      <c r="L112" s="254">
        <v>450</v>
      </c>
      <c r="AC112" s="253">
        <v>0</v>
      </c>
      <c r="AQ112" s="258">
        <v>450</v>
      </c>
      <c r="BV112" s="258">
        <v>525</v>
      </c>
    </row>
    <row r="113" spans="1:88" ht="13.15" customHeight="1" x14ac:dyDescent="0.4">
      <c r="A113" s="259" t="s">
        <v>4178</v>
      </c>
      <c r="C113" s="256">
        <v>21</v>
      </c>
      <c r="D113" s="253" t="s">
        <v>4179</v>
      </c>
      <c r="E113" s="253" t="s">
        <v>4180</v>
      </c>
      <c r="F113" s="253" t="s">
        <v>4137</v>
      </c>
      <c r="G113" s="253">
        <v>183.81</v>
      </c>
      <c r="H113" s="255">
        <v>42644</v>
      </c>
      <c r="I113" s="253" t="s">
        <v>3699</v>
      </c>
      <c r="J113" s="255">
        <v>42979</v>
      </c>
      <c r="K113" s="253">
        <f t="shared" si="6"/>
        <v>735.24</v>
      </c>
      <c r="L113" s="254">
        <v>735.25</v>
      </c>
      <c r="AU113" s="258">
        <v>183.81</v>
      </c>
      <c r="AX113" s="258">
        <v>183.81</v>
      </c>
      <c r="BA113" s="258">
        <v>180</v>
      </c>
      <c r="BD113" s="258">
        <f>183.81+3.81</f>
        <v>187.62</v>
      </c>
    </row>
    <row r="114" spans="1:88" ht="13.15" customHeight="1" x14ac:dyDescent="0.4">
      <c r="A114" s="259" t="s">
        <v>4181</v>
      </c>
      <c r="C114" s="256">
        <v>22</v>
      </c>
      <c r="D114" s="253" t="s">
        <v>4182</v>
      </c>
      <c r="E114" s="253" t="s">
        <v>4183</v>
      </c>
      <c r="F114" s="253" t="s">
        <v>550</v>
      </c>
      <c r="G114" s="253">
        <v>85.5</v>
      </c>
      <c r="H114" s="255">
        <v>42644</v>
      </c>
      <c r="I114" s="253" t="s">
        <v>3709</v>
      </c>
      <c r="J114" s="255">
        <v>42979</v>
      </c>
      <c r="K114" s="253">
        <f t="shared" si="6"/>
        <v>1026</v>
      </c>
      <c r="L114" s="254">
        <v>1026</v>
      </c>
      <c r="AU114" s="258">
        <v>85.5</v>
      </c>
      <c r="AV114" s="258">
        <v>85.5</v>
      </c>
      <c r="AW114" s="258">
        <v>85.5</v>
      </c>
      <c r="AX114" s="258">
        <v>85.5</v>
      </c>
      <c r="AY114" s="258">
        <v>85.5</v>
      </c>
      <c r="AZ114" s="258">
        <v>85.5</v>
      </c>
      <c r="BA114" s="258">
        <v>85.5</v>
      </c>
      <c r="BB114" s="258">
        <v>85.5</v>
      </c>
      <c r="BC114" s="258">
        <v>85.5</v>
      </c>
      <c r="BD114" s="258">
        <v>85.5</v>
      </c>
      <c r="BE114" s="258">
        <v>85.5</v>
      </c>
      <c r="BF114" s="258">
        <v>85.5</v>
      </c>
      <c r="BG114" s="292">
        <v>0</v>
      </c>
    </row>
    <row r="115" spans="1:88" ht="13.15" customHeight="1" x14ac:dyDescent="0.4">
      <c r="A115" s="259" t="s">
        <v>4184</v>
      </c>
      <c r="C115" s="256">
        <v>23</v>
      </c>
      <c r="D115" s="256" t="s">
        <v>4185</v>
      </c>
      <c r="E115" s="253" t="s">
        <v>4186</v>
      </c>
      <c r="F115" s="253" t="s">
        <v>550</v>
      </c>
      <c r="G115" s="253">
        <v>35</v>
      </c>
      <c r="H115" s="255">
        <v>42644</v>
      </c>
      <c r="I115" s="253" t="s">
        <v>4118</v>
      </c>
      <c r="J115" s="255">
        <v>42979</v>
      </c>
      <c r="K115" s="253">
        <f t="shared" si="6"/>
        <v>420</v>
      </c>
      <c r="L115" s="254">
        <v>420</v>
      </c>
      <c r="AU115" s="258">
        <v>35</v>
      </c>
      <c r="AV115" s="258">
        <v>35</v>
      </c>
      <c r="AW115" s="258">
        <v>35</v>
      </c>
      <c r="AX115" s="258">
        <v>35</v>
      </c>
      <c r="AY115" s="258">
        <v>35</v>
      </c>
      <c r="AZ115" s="258">
        <v>35</v>
      </c>
      <c r="BA115" s="258">
        <v>35</v>
      </c>
      <c r="BB115" s="258">
        <v>175</v>
      </c>
    </row>
    <row r="116" spans="1:88" ht="13.9" customHeight="1" x14ac:dyDescent="0.4">
      <c r="A116" s="259" t="s">
        <v>4187</v>
      </c>
      <c r="C116" s="256">
        <v>24</v>
      </c>
      <c r="D116" s="268" t="s">
        <v>4188</v>
      </c>
      <c r="E116" s="268" t="s">
        <v>4189</v>
      </c>
      <c r="F116" s="268" t="s">
        <v>550</v>
      </c>
      <c r="G116" s="253">
        <v>35</v>
      </c>
      <c r="H116" s="255">
        <v>42675</v>
      </c>
      <c r="I116" s="253" t="s">
        <v>4190</v>
      </c>
      <c r="J116" s="255">
        <v>43009</v>
      </c>
      <c r="K116" s="253">
        <f t="shared" si="6"/>
        <v>420</v>
      </c>
      <c r="L116" s="254">
        <v>420</v>
      </c>
      <c r="AV116" s="258">
        <v>420</v>
      </c>
    </row>
    <row r="117" spans="1:88" ht="13.9" customHeight="1" x14ac:dyDescent="0.4">
      <c r="A117" s="259" t="s">
        <v>4191</v>
      </c>
      <c r="C117" s="256">
        <v>25</v>
      </c>
      <c r="D117" s="268" t="s">
        <v>4192</v>
      </c>
      <c r="E117" s="268" t="s">
        <v>4193</v>
      </c>
      <c r="F117" s="268" t="s">
        <v>550</v>
      </c>
      <c r="G117" s="253">
        <v>50</v>
      </c>
      <c r="H117" s="255">
        <v>42795</v>
      </c>
      <c r="I117" s="253" t="s">
        <v>4098</v>
      </c>
      <c r="J117" s="255">
        <v>43132</v>
      </c>
      <c r="K117" s="253">
        <f t="shared" si="6"/>
        <v>600</v>
      </c>
      <c r="L117" s="254">
        <v>600</v>
      </c>
      <c r="AZ117" s="258">
        <v>50</v>
      </c>
      <c r="BA117" s="258">
        <v>50</v>
      </c>
      <c r="BB117" s="258">
        <v>50</v>
      </c>
      <c r="BC117" s="258">
        <v>50</v>
      </c>
      <c r="BD117" s="258">
        <v>50</v>
      </c>
      <c r="BE117" s="258">
        <v>50</v>
      </c>
      <c r="BF117" s="258">
        <v>50</v>
      </c>
      <c r="BG117" s="258">
        <v>50</v>
      </c>
      <c r="BH117" s="258">
        <v>50</v>
      </c>
      <c r="BI117" s="258">
        <v>50</v>
      </c>
      <c r="BJ117" s="258">
        <v>50</v>
      </c>
      <c r="BK117" s="258">
        <v>50</v>
      </c>
    </row>
    <row r="118" spans="1:88" ht="13.9" customHeight="1" x14ac:dyDescent="0.4">
      <c r="A118" s="259" t="s">
        <v>4194</v>
      </c>
      <c r="C118" s="256">
        <v>26</v>
      </c>
      <c r="D118" s="268" t="s">
        <v>4145</v>
      </c>
      <c r="E118" s="268" t="s">
        <v>4195</v>
      </c>
      <c r="F118" s="268" t="s">
        <v>551</v>
      </c>
      <c r="G118" s="253">
        <v>1000</v>
      </c>
      <c r="H118" s="255">
        <v>42767</v>
      </c>
      <c r="I118" s="253" t="s">
        <v>4190</v>
      </c>
      <c r="J118" s="255">
        <v>43101</v>
      </c>
      <c r="K118" s="253">
        <f t="shared" si="6"/>
        <v>1000</v>
      </c>
      <c r="L118" s="254">
        <v>1000</v>
      </c>
      <c r="AY118" s="258">
        <v>1000</v>
      </c>
    </row>
    <row r="119" spans="1:88" ht="13.9" customHeight="1" x14ac:dyDescent="0.4">
      <c r="A119" s="259" t="s">
        <v>4196</v>
      </c>
      <c r="C119" s="256">
        <v>27</v>
      </c>
      <c r="D119" s="268" t="s">
        <v>4197</v>
      </c>
      <c r="E119" s="268" t="s">
        <v>4198</v>
      </c>
      <c r="F119" s="268" t="s">
        <v>550</v>
      </c>
      <c r="G119" s="253">
        <v>35</v>
      </c>
      <c r="H119" s="255">
        <v>42767</v>
      </c>
      <c r="I119" s="253" t="s">
        <v>3790</v>
      </c>
      <c r="J119" s="255">
        <v>43101</v>
      </c>
      <c r="K119" s="253">
        <f t="shared" si="6"/>
        <v>420</v>
      </c>
      <c r="L119" s="254">
        <v>420</v>
      </c>
      <c r="AY119" s="258">
        <v>35</v>
      </c>
      <c r="AZ119" s="258">
        <v>35</v>
      </c>
      <c r="BA119" s="258">
        <v>35</v>
      </c>
      <c r="BB119" s="258">
        <v>35</v>
      </c>
      <c r="BC119" s="258">
        <v>35</v>
      </c>
      <c r="BD119" s="258">
        <v>35</v>
      </c>
      <c r="BE119" s="258">
        <v>35</v>
      </c>
      <c r="BF119" s="258">
        <v>35</v>
      </c>
      <c r="BG119" s="258">
        <v>35</v>
      </c>
      <c r="BH119" s="258">
        <v>35</v>
      </c>
      <c r="BI119" s="258">
        <v>35</v>
      </c>
      <c r="BJ119" s="258">
        <v>35</v>
      </c>
    </row>
    <row r="120" spans="1:88" ht="13.9" customHeight="1" x14ac:dyDescent="0.4">
      <c r="A120" s="259" t="s">
        <v>4199</v>
      </c>
      <c r="C120" s="256">
        <v>28</v>
      </c>
      <c r="D120" s="268" t="s">
        <v>4200</v>
      </c>
      <c r="E120" s="268" t="s">
        <v>4201</v>
      </c>
      <c r="F120" s="268" t="s">
        <v>550</v>
      </c>
      <c r="G120" s="253">
        <v>43.8</v>
      </c>
      <c r="H120" s="255">
        <v>42795</v>
      </c>
      <c r="I120" s="253" t="s">
        <v>4202</v>
      </c>
      <c r="J120" s="255">
        <v>43132</v>
      </c>
      <c r="K120" s="253">
        <f t="shared" si="6"/>
        <v>525.59999999999991</v>
      </c>
      <c r="L120" s="254">
        <v>525.6</v>
      </c>
      <c r="AZ120" s="258">
        <v>43.8</v>
      </c>
      <c r="BA120" s="258">
        <v>43.8</v>
      </c>
      <c r="BB120" s="258">
        <v>43.8</v>
      </c>
      <c r="BC120" s="258">
        <v>394.2</v>
      </c>
    </row>
    <row r="121" spans="1:88" ht="13.9" customHeight="1" x14ac:dyDescent="0.4">
      <c r="A121" s="259" t="s">
        <v>4203</v>
      </c>
      <c r="C121" s="256">
        <v>29</v>
      </c>
      <c r="D121" s="268" t="s">
        <v>4145</v>
      </c>
      <c r="E121" s="268" t="s">
        <v>4204</v>
      </c>
      <c r="F121" s="268" t="s">
        <v>550</v>
      </c>
      <c r="G121" s="253">
        <v>47.8</v>
      </c>
      <c r="H121" s="255">
        <v>42826</v>
      </c>
      <c r="I121" s="253" t="s">
        <v>3764</v>
      </c>
      <c r="J121" s="255">
        <v>43160</v>
      </c>
      <c r="K121" s="253">
        <f t="shared" si="6"/>
        <v>997.30000000000007</v>
      </c>
      <c r="L121" s="254">
        <v>997.2</v>
      </c>
      <c r="BA121" s="258">
        <v>47.48</v>
      </c>
      <c r="BB121" s="258">
        <v>47.48</v>
      </c>
      <c r="BC121" s="258">
        <v>47.48</v>
      </c>
      <c r="BD121" s="258">
        <v>47.48</v>
      </c>
      <c r="BE121" s="258">
        <v>47.48</v>
      </c>
      <c r="BF121" s="258">
        <v>47.48</v>
      </c>
      <c r="BG121" s="258">
        <v>47.48</v>
      </c>
      <c r="BH121" s="258">
        <v>47.48</v>
      </c>
      <c r="BI121" s="258">
        <v>47.48</v>
      </c>
      <c r="BJ121" s="258">
        <v>47.48</v>
      </c>
      <c r="BK121" s="258">
        <v>47.5</v>
      </c>
      <c r="BL121" s="258">
        <v>47.5</v>
      </c>
      <c r="BM121" s="258">
        <v>47.5</v>
      </c>
      <c r="BN121" s="253">
        <v>47.5</v>
      </c>
      <c r="BO121" s="253">
        <v>47.5</v>
      </c>
      <c r="BP121" s="253">
        <v>47.5</v>
      </c>
      <c r="BQ121" s="253">
        <v>47.5</v>
      </c>
      <c r="BR121" s="253">
        <v>47.5</v>
      </c>
      <c r="BS121" s="253">
        <v>47.5</v>
      </c>
      <c r="BT121" s="253">
        <v>47.5</v>
      </c>
      <c r="BU121" s="258">
        <v>47.5</v>
      </c>
    </row>
    <row r="122" spans="1:88" ht="15" customHeight="1" x14ac:dyDescent="0.4">
      <c r="A122" s="508" t="s">
        <v>4205</v>
      </c>
      <c r="B122" s="512"/>
      <c r="C122" s="256">
        <v>30</v>
      </c>
      <c r="D122" s="512" t="s">
        <v>4206</v>
      </c>
      <c r="E122" s="512" t="s">
        <v>4207</v>
      </c>
      <c r="F122" s="71" t="s">
        <v>550</v>
      </c>
      <c r="G122" s="253">
        <v>46.13</v>
      </c>
      <c r="H122" s="255">
        <v>43145</v>
      </c>
      <c r="I122" s="45" t="s">
        <v>4003</v>
      </c>
      <c r="J122" s="255">
        <v>43479</v>
      </c>
      <c r="K122" s="253">
        <f t="shared" si="6"/>
        <v>553.56000000000006</v>
      </c>
      <c r="L122" s="254">
        <v>553.5</v>
      </c>
      <c r="BK122" s="258">
        <v>46.13</v>
      </c>
      <c r="BL122" s="258">
        <v>46.13</v>
      </c>
      <c r="BM122" s="258">
        <v>46.13</v>
      </c>
      <c r="BN122" s="258">
        <v>46.13</v>
      </c>
      <c r="BO122" s="258">
        <v>46.13</v>
      </c>
      <c r="BP122" s="258">
        <v>46.13</v>
      </c>
      <c r="BQ122" s="258">
        <v>46.13</v>
      </c>
      <c r="BR122" s="258">
        <v>46.13</v>
      </c>
      <c r="BS122" s="258">
        <v>46.13</v>
      </c>
      <c r="BT122" s="258">
        <v>46.13</v>
      </c>
      <c r="BU122" s="258">
        <v>46.13</v>
      </c>
      <c r="BV122" s="258">
        <v>46.13</v>
      </c>
    </row>
    <row r="123" spans="1:88" ht="13.9" customHeight="1" x14ac:dyDescent="0.4">
      <c r="A123" s="259" t="s">
        <v>4208</v>
      </c>
      <c r="C123" s="256">
        <v>31</v>
      </c>
      <c r="D123" s="71" t="s">
        <v>4063</v>
      </c>
      <c r="E123" s="71" t="s">
        <v>4064</v>
      </c>
      <c r="F123" s="71" t="s">
        <v>550</v>
      </c>
      <c r="G123" s="253">
        <v>150</v>
      </c>
      <c r="H123" s="255">
        <v>43282</v>
      </c>
      <c r="I123" s="45" t="s">
        <v>4202</v>
      </c>
      <c r="J123" s="255">
        <v>43617</v>
      </c>
      <c r="K123" s="253">
        <f t="shared" si="6"/>
        <v>1800</v>
      </c>
      <c r="L123" s="254">
        <v>1800</v>
      </c>
      <c r="BP123" s="258">
        <v>150</v>
      </c>
      <c r="BQ123" s="253">
        <v>150</v>
      </c>
      <c r="BR123" s="253">
        <v>150</v>
      </c>
      <c r="BS123" s="253">
        <v>150</v>
      </c>
      <c r="BT123" s="258">
        <v>150</v>
      </c>
      <c r="BU123" s="253">
        <v>150</v>
      </c>
      <c r="BV123" s="253">
        <v>150</v>
      </c>
      <c r="BW123" s="258">
        <v>150</v>
      </c>
      <c r="BX123" s="258">
        <v>150</v>
      </c>
      <c r="BY123" s="253">
        <v>150</v>
      </c>
      <c r="BZ123" s="253">
        <v>150</v>
      </c>
      <c r="CA123" s="253">
        <v>150</v>
      </c>
    </row>
    <row r="124" spans="1:88" ht="13.9" customHeight="1" x14ac:dyDescent="0.4">
      <c r="A124" s="287" t="s">
        <v>4209</v>
      </c>
      <c r="C124" s="256">
        <v>32</v>
      </c>
      <c r="D124" s="71" t="s">
        <v>4210</v>
      </c>
      <c r="E124" s="71" t="s">
        <v>4211</v>
      </c>
      <c r="F124" s="71" t="s">
        <v>550</v>
      </c>
      <c r="G124" s="253">
        <v>250</v>
      </c>
      <c r="H124" s="255">
        <v>43313</v>
      </c>
      <c r="I124" s="45" t="s">
        <v>4118</v>
      </c>
      <c r="J124" s="255">
        <v>43647</v>
      </c>
      <c r="K124" s="253">
        <f t="shared" ref="K124:K152" si="7">SUM(X124:DS124)</f>
        <v>3000</v>
      </c>
      <c r="L124" s="254">
        <f>250*12</f>
        <v>3000</v>
      </c>
      <c r="BQ124" s="258">
        <v>250</v>
      </c>
      <c r="BR124" s="258">
        <v>250</v>
      </c>
      <c r="BS124" s="258">
        <v>250</v>
      </c>
      <c r="BT124" s="258">
        <v>250</v>
      </c>
      <c r="BU124" s="253">
        <v>250</v>
      </c>
      <c r="BV124" s="258">
        <v>250</v>
      </c>
      <c r="BW124" s="258">
        <v>250</v>
      </c>
      <c r="BX124" s="258">
        <v>250</v>
      </c>
      <c r="BY124" s="258">
        <v>250</v>
      </c>
      <c r="BZ124" s="258">
        <v>250</v>
      </c>
      <c r="CA124" s="258">
        <v>250</v>
      </c>
      <c r="CB124" s="258">
        <v>250</v>
      </c>
    </row>
    <row r="125" spans="1:88" ht="13.9" customHeight="1" x14ac:dyDescent="0.4">
      <c r="A125" s="287" t="s">
        <v>4212</v>
      </c>
      <c r="C125" s="256">
        <v>33</v>
      </c>
      <c r="D125" s="71" t="s">
        <v>4213</v>
      </c>
      <c r="E125" s="268" t="s">
        <v>4214</v>
      </c>
      <c r="F125" s="71" t="s">
        <v>550</v>
      </c>
      <c r="G125" s="253">
        <v>60</v>
      </c>
      <c r="H125" s="255">
        <v>43405</v>
      </c>
      <c r="I125" s="45" t="s">
        <v>3699</v>
      </c>
      <c r="J125" s="255">
        <v>43739</v>
      </c>
      <c r="K125" s="253">
        <f t="shared" si="7"/>
        <v>720</v>
      </c>
      <c r="L125" s="254">
        <v>720</v>
      </c>
      <c r="BT125" s="700">
        <v>60</v>
      </c>
      <c r="BU125" s="258">
        <v>60</v>
      </c>
      <c r="BV125" s="253">
        <v>60</v>
      </c>
      <c r="BW125" s="253">
        <v>60</v>
      </c>
      <c r="BX125" s="258">
        <v>60</v>
      </c>
      <c r="BY125" s="253">
        <v>60</v>
      </c>
      <c r="BZ125" s="253">
        <v>60</v>
      </c>
      <c r="CA125" s="253">
        <v>60</v>
      </c>
      <c r="CB125" s="253">
        <v>60</v>
      </c>
      <c r="CC125" s="253">
        <v>60</v>
      </c>
      <c r="CD125" s="253">
        <v>60</v>
      </c>
      <c r="CE125" s="253">
        <v>60</v>
      </c>
    </row>
    <row r="126" spans="1:88" ht="13.9" customHeight="1" x14ac:dyDescent="0.4">
      <c r="A126" s="545" t="s">
        <v>4215</v>
      </c>
      <c r="C126" s="256">
        <v>34</v>
      </c>
      <c r="D126" s="71" t="s">
        <v>4216</v>
      </c>
      <c r="E126" s="71" t="s">
        <v>4217</v>
      </c>
      <c r="F126" s="71" t="s">
        <v>4137</v>
      </c>
      <c r="G126" s="253">
        <v>250</v>
      </c>
      <c r="H126" s="255">
        <v>43497</v>
      </c>
      <c r="I126" s="45" t="s">
        <v>3699</v>
      </c>
      <c r="J126" s="255">
        <v>43831</v>
      </c>
      <c r="K126" s="253">
        <f t="shared" si="7"/>
        <v>1000</v>
      </c>
      <c r="L126" s="254">
        <v>1000</v>
      </c>
      <c r="BW126" s="258">
        <v>250</v>
      </c>
      <c r="BZ126" s="258">
        <v>250</v>
      </c>
      <c r="CC126" s="258">
        <v>250</v>
      </c>
      <c r="CF126" s="258">
        <v>250</v>
      </c>
    </row>
    <row r="127" spans="1:88" ht="13.9" customHeight="1" x14ac:dyDescent="0.4">
      <c r="A127" s="3" t="s">
        <v>4218</v>
      </c>
      <c r="C127" s="256">
        <v>35</v>
      </c>
      <c r="D127" s="71" t="s">
        <v>516</v>
      </c>
      <c r="E127" s="71" t="s">
        <v>4219</v>
      </c>
      <c r="F127" s="71" t="s">
        <v>4137</v>
      </c>
      <c r="G127" s="253">
        <v>200</v>
      </c>
      <c r="H127" s="255">
        <v>43497</v>
      </c>
      <c r="I127" s="45" t="s">
        <v>3709</v>
      </c>
      <c r="J127" s="255">
        <v>43831</v>
      </c>
      <c r="K127" s="253">
        <f t="shared" si="7"/>
        <v>800</v>
      </c>
      <c r="L127" s="254">
        <v>800</v>
      </c>
      <c r="BW127" s="258">
        <v>200</v>
      </c>
      <c r="BZ127" s="258">
        <v>200</v>
      </c>
      <c r="CC127" s="258">
        <v>200</v>
      </c>
      <c r="CF127" s="258">
        <v>200</v>
      </c>
    </row>
    <row r="128" spans="1:88" ht="13.9" customHeight="1" x14ac:dyDescent="0.4">
      <c r="A128" s="287" t="s">
        <v>4220</v>
      </c>
      <c r="C128" s="256">
        <v>36</v>
      </c>
      <c r="D128" s="71" t="s">
        <v>4221</v>
      </c>
      <c r="E128" s="268" t="s">
        <v>4222</v>
      </c>
      <c r="F128" s="71" t="s">
        <v>550</v>
      </c>
      <c r="G128" s="253">
        <v>75</v>
      </c>
      <c r="H128" s="255">
        <v>43556</v>
      </c>
      <c r="I128" s="45" t="s">
        <v>3730</v>
      </c>
      <c r="J128" s="255">
        <v>43891</v>
      </c>
      <c r="K128" s="253">
        <f t="shared" si="7"/>
        <v>1125</v>
      </c>
      <c r="L128" s="254">
        <v>1125</v>
      </c>
      <c r="BY128" s="258">
        <v>75</v>
      </c>
      <c r="BZ128" s="258">
        <v>75</v>
      </c>
      <c r="CA128" s="258">
        <v>75</v>
      </c>
      <c r="CB128" s="253">
        <v>100</v>
      </c>
      <c r="CC128" s="253">
        <v>100</v>
      </c>
      <c r="CD128" s="253">
        <v>100</v>
      </c>
      <c r="CE128" s="253">
        <v>100</v>
      </c>
      <c r="CF128" s="258">
        <v>100</v>
      </c>
      <c r="CG128" s="253">
        <v>100</v>
      </c>
      <c r="CH128" s="253">
        <v>100</v>
      </c>
      <c r="CI128" s="253">
        <v>100</v>
      </c>
      <c r="CJ128" s="253">
        <v>100</v>
      </c>
    </row>
    <row r="129" spans="1:98" ht="13.9" customHeight="1" x14ac:dyDescent="0.4">
      <c r="A129" s="287" t="s">
        <v>4223</v>
      </c>
      <c r="B129" s="268"/>
      <c r="C129" s="256">
        <v>37</v>
      </c>
      <c r="D129" s="45" t="s">
        <v>513</v>
      </c>
      <c r="E129" s="45" t="s">
        <v>4224</v>
      </c>
      <c r="F129" s="71" t="s">
        <v>4137</v>
      </c>
      <c r="G129" s="253">
        <v>187.5</v>
      </c>
      <c r="H129" s="255">
        <v>43556</v>
      </c>
      <c r="I129" s="45" t="s">
        <v>4170</v>
      </c>
      <c r="J129" s="255">
        <v>43831</v>
      </c>
      <c r="K129" s="253">
        <f t="shared" si="7"/>
        <v>750</v>
      </c>
      <c r="L129" s="253">
        <v>750</v>
      </c>
      <c r="BY129" s="258">
        <v>187.5</v>
      </c>
      <c r="CB129" s="258">
        <v>187.5</v>
      </c>
      <c r="CE129" s="258">
        <v>187.5</v>
      </c>
      <c r="CH129" s="253">
        <v>187.5</v>
      </c>
    </row>
    <row r="130" spans="1:98" ht="13.9" customHeight="1" x14ac:dyDescent="0.4">
      <c r="A130" s="287" t="s">
        <v>4225</v>
      </c>
      <c r="B130" s="268"/>
      <c r="C130" s="256">
        <v>38</v>
      </c>
      <c r="D130" s="45" t="s">
        <v>3990</v>
      </c>
      <c r="E130" s="45" t="s">
        <v>3991</v>
      </c>
      <c r="F130" s="45" t="s">
        <v>550</v>
      </c>
      <c r="G130" s="253">
        <v>60</v>
      </c>
      <c r="H130" s="255">
        <v>43617</v>
      </c>
      <c r="I130" s="45" t="s">
        <v>4078</v>
      </c>
      <c r="J130" s="255">
        <v>43952</v>
      </c>
      <c r="K130" s="253">
        <f t="shared" si="7"/>
        <v>720</v>
      </c>
      <c r="L130" s="253">
        <v>720</v>
      </c>
      <c r="CA130" s="258">
        <v>60</v>
      </c>
      <c r="CB130" s="253">
        <v>60</v>
      </c>
      <c r="CC130" s="253">
        <v>60</v>
      </c>
      <c r="CD130" s="253">
        <v>60</v>
      </c>
      <c r="CE130" s="253">
        <v>60</v>
      </c>
      <c r="CF130" s="253">
        <v>60</v>
      </c>
      <c r="CG130" s="253">
        <v>60</v>
      </c>
      <c r="CH130" s="253">
        <v>60</v>
      </c>
      <c r="CI130" s="253">
        <v>60</v>
      </c>
      <c r="CJ130" s="253">
        <v>60</v>
      </c>
      <c r="CK130" s="253">
        <v>60</v>
      </c>
      <c r="CL130" s="253">
        <v>60</v>
      </c>
    </row>
    <row r="131" spans="1:98" ht="13.9" customHeight="1" x14ac:dyDescent="0.4">
      <c r="A131" s="772" t="s">
        <v>4226</v>
      </c>
      <c r="B131" s="268"/>
      <c r="C131" s="256">
        <v>39</v>
      </c>
      <c r="D131" s="45" t="s">
        <v>4227</v>
      </c>
      <c r="E131" s="45" t="s">
        <v>4228</v>
      </c>
      <c r="F131" s="45" t="s">
        <v>550</v>
      </c>
      <c r="G131" s="253">
        <v>60</v>
      </c>
      <c r="H131" s="255">
        <v>43647</v>
      </c>
      <c r="I131" s="45" t="s">
        <v>3723</v>
      </c>
      <c r="J131" s="255">
        <v>43983</v>
      </c>
      <c r="K131" s="253">
        <f t="shared" si="7"/>
        <v>720</v>
      </c>
      <c r="L131" s="253">
        <v>720</v>
      </c>
      <c r="CB131" s="258">
        <v>60</v>
      </c>
      <c r="CC131" s="253">
        <v>60</v>
      </c>
      <c r="CD131" s="253">
        <v>60</v>
      </c>
      <c r="CE131" s="253">
        <v>60</v>
      </c>
      <c r="CF131" s="253">
        <v>60</v>
      </c>
      <c r="CG131" s="253">
        <v>60</v>
      </c>
      <c r="CH131" s="253">
        <v>60</v>
      </c>
      <c r="CI131" s="253">
        <v>60</v>
      </c>
      <c r="CJ131" s="253">
        <v>60</v>
      </c>
      <c r="CK131" s="253">
        <v>60</v>
      </c>
      <c r="CL131" s="253">
        <v>60</v>
      </c>
      <c r="CM131" s="253">
        <v>60</v>
      </c>
    </row>
    <row r="132" spans="1:98" ht="13.9" customHeight="1" x14ac:dyDescent="0.4">
      <c r="A132" s="772" t="s">
        <v>4226</v>
      </c>
      <c r="B132" s="268"/>
      <c r="C132" s="256">
        <v>39</v>
      </c>
      <c r="D132" s="45" t="s">
        <v>4227</v>
      </c>
      <c r="E132" s="45" t="s">
        <v>4228</v>
      </c>
      <c r="F132" s="45" t="s">
        <v>550</v>
      </c>
      <c r="G132" s="253">
        <v>120</v>
      </c>
      <c r="H132" s="255">
        <v>43647</v>
      </c>
      <c r="I132" s="45" t="s">
        <v>3723</v>
      </c>
      <c r="J132" s="255">
        <v>43983</v>
      </c>
      <c r="K132" s="253">
        <f t="shared" si="7"/>
        <v>1440</v>
      </c>
      <c r="L132" s="253">
        <f>12*120</f>
        <v>1440</v>
      </c>
      <c r="CB132" s="258">
        <v>120</v>
      </c>
      <c r="CC132" s="253">
        <v>120</v>
      </c>
      <c r="CD132" s="253">
        <v>120</v>
      </c>
      <c r="CE132" s="253">
        <v>120</v>
      </c>
      <c r="CF132" s="253">
        <v>120</v>
      </c>
      <c r="CG132" s="253">
        <v>120</v>
      </c>
      <c r="CH132" s="253">
        <v>120</v>
      </c>
      <c r="CI132" s="253">
        <v>120</v>
      </c>
      <c r="CJ132" s="253">
        <v>120</v>
      </c>
      <c r="CK132" s="253">
        <v>120</v>
      </c>
      <c r="CL132" s="253">
        <v>120</v>
      </c>
      <c r="CM132" s="253">
        <v>120</v>
      </c>
    </row>
    <row r="133" spans="1:98" ht="13.9" customHeight="1" x14ac:dyDescent="0.4">
      <c r="A133" s="772" t="s">
        <v>4229</v>
      </c>
      <c r="B133" s="268"/>
      <c r="C133" s="256">
        <v>40</v>
      </c>
      <c r="D133" s="45" t="s">
        <v>4165</v>
      </c>
      <c r="E133" s="45" t="s">
        <v>4230</v>
      </c>
      <c r="F133" s="45" t="s">
        <v>4137</v>
      </c>
      <c r="G133" s="253">
        <v>300</v>
      </c>
      <c r="H133" s="255">
        <v>43647</v>
      </c>
      <c r="I133" s="45" t="s">
        <v>3793</v>
      </c>
      <c r="J133" s="255">
        <v>43983</v>
      </c>
      <c r="K133" s="253">
        <f t="shared" si="7"/>
        <v>600</v>
      </c>
      <c r="L133" s="253">
        <v>1200</v>
      </c>
      <c r="CB133" s="258">
        <v>300</v>
      </c>
      <c r="CD133" s="253">
        <v>300</v>
      </c>
      <c r="CE133" s="253">
        <v>0</v>
      </c>
    </row>
    <row r="134" spans="1:98" ht="13.9" customHeight="1" x14ac:dyDescent="0.4">
      <c r="A134" s="3" t="s">
        <v>4231</v>
      </c>
      <c r="B134" s="268"/>
      <c r="C134" s="256">
        <v>41</v>
      </c>
      <c r="D134" s="45" t="s">
        <v>4232</v>
      </c>
      <c r="E134" s="45" t="s">
        <v>4233</v>
      </c>
      <c r="F134" s="45" t="s">
        <v>551</v>
      </c>
      <c r="G134" s="253">
        <v>1500</v>
      </c>
      <c r="H134" s="255">
        <v>43678</v>
      </c>
      <c r="I134" s="45" t="s">
        <v>4030</v>
      </c>
      <c r="J134" s="255">
        <v>44013</v>
      </c>
      <c r="K134" s="253">
        <f t="shared" si="7"/>
        <v>1500</v>
      </c>
      <c r="L134" s="253">
        <v>1500</v>
      </c>
      <c r="CC134" s="258">
        <v>1500</v>
      </c>
    </row>
    <row r="135" spans="1:98" ht="13.9" customHeight="1" x14ac:dyDescent="0.4">
      <c r="A135" s="772" t="s">
        <v>4234</v>
      </c>
      <c r="B135" s="268"/>
      <c r="C135" s="256">
        <v>42</v>
      </c>
      <c r="D135" s="45" t="s">
        <v>4235</v>
      </c>
      <c r="E135" s="45" t="s">
        <v>4236</v>
      </c>
      <c r="F135" s="45" t="s">
        <v>550</v>
      </c>
      <c r="G135" s="253">
        <v>43.75</v>
      </c>
      <c r="H135" s="255">
        <v>43770</v>
      </c>
      <c r="I135" s="45" t="s">
        <v>3709</v>
      </c>
      <c r="J135" s="255">
        <v>44105</v>
      </c>
      <c r="K135" s="253">
        <f t="shared" si="7"/>
        <v>525</v>
      </c>
      <c r="L135" s="253">
        <f>43.75*12</f>
        <v>525</v>
      </c>
      <c r="CF135" s="258">
        <v>43.75</v>
      </c>
      <c r="CG135" s="258">
        <v>43.75</v>
      </c>
      <c r="CH135" s="258">
        <v>43.75</v>
      </c>
      <c r="CI135" s="258">
        <v>43.75</v>
      </c>
      <c r="CJ135" s="258">
        <v>43.75</v>
      </c>
      <c r="CK135" s="258">
        <v>43.75</v>
      </c>
      <c r="CL135" s="258">
        <v>43.75</v>
      </c>
      <c r="CM135" s="258">
        <v>218.75</v>
      </c>
    </row>
    <row r="136" spans="1:98" ht="13.9" customHeight="1" x14ac:dyDescent="0.4">
      <c r="A136" s="287" t="s">
        <v>4237</v>
      </c>
      <c r="B136" s="268"/>
      <c r="C136" s="256">
        <v>43</v>
      </c>
      <c r="D136" s="45" t="s">
        <v>4238</v>
      </c>
      <c r="E136" s="45" t="s">
        <v>4042</v>
      </c>
      <c r="F136" s="45" t="s">
        <v>550</v>
      </c>
      <c r="G136" s="253">
        <v>25</v>
      </c>
      <c r="H136" s="255">
        <v>44105</v>
      </c>
      <c r="K136" s="253">
        <f t="shared" si="7"/>
        <v>395</v>
      </c>
      <c r="L136" s="253">
        <v>395</v>
      </c>
      <c r="CR136" s="253">
        <v>225</v>
      </c>
      <c r="CS136" s="253">
        <v>100</v>
      </c>
      <c r="CT136" s="253">
        <v>70</v>
      </c>
    </row>
    <row r="137" spans="1:98" ht="13.15" customHeight="1" x14ac:dyDescent="0.4">
      <c r="A137" s="259"/>
      <c r="B137" s="259"/>
      <c r="C137" s="256"/>
      <c r="D137" s="253" t="s">
        <v>4197</v>
      </c>
      <c r="E137" s="253" t="s">
        <v>4239</v>
      </c>
      <c r="F137" s="253" t="s">
        <v>550</v>
      </c>
      <c r="G137" s="253">
        <v>33</v>
      </c>
      <c r="H137" s="255">
        <v>42005</v>
      </c>
      <c r="I137" s="255" t="s">
        <v>3777</v>
      </c>
      <c r="J137" s="255">
        <v>42339</v>
      </c>
      <c r="K137" s="253">
        <f t="shared" si="7"/>
        <v>395</v>
      </c>
      <c r="L137" s="254">
        <v>395</v>
      </c>
      <c r="M137" s="254"/>
      <c r="N137" s="254"/>
      <c r="O137" s="254"/>
      <c r="P137" s="254"/>
      <c r="Q137" s="254"/>
      <c r="R137" s="254"/>
      <c r="S137" s="254"/>
      <c r="T137" s="254"/>
      <c r="U137" s="254"/>
      <c r="Z137" s="258">
        <v>32</v>
      </c>
      <c r="AA137" s="258">
        <v>33</v>
      </c>
      <c r="AB137" s="258">
        <v>33</v>
      </c>
      <c r="AC137" s="258">
        <v>33</v>
      </c>
      <c r="AD137" s="258">
        <v>33</v>
      </c>
      <c r="AE137" s="258">
        <v>33</v>
      </c>
      <c r="AF137" s="258">
        <v>33</v>
      </c>
      <c r="AG137" s="258">
        <v>33</v>
      </c>
      <c r="AH137" s="258">
        <v>33</v>
      </c>
      <c r="AI137" s="258">
        <v>33</v>
      </c>
      <c r="AJ137" s="258">
        <v>33</v>
      </c>
      <c r="AK137" s="258">
        <v>33</v>
      </c>
    </row>
    <row r="138" spans="1:98" ht="13.15" customHeight="1" x14ac:dyDescent="0.4">
      <c r="D138" s="253" t="s">
        <v>4240</v>
      </c>
      <c r="E138" s="253" t="s">
        <v>4241</v>
      </c>
      <c r="F138" s="253" t="s">
        <v>550</v>
      </c>
      <c r="G138" s="253">
        <v>33</v>
      </c>
      <c r="H138" s="255">
        <v>42005</v>
      </c>
      <c r="I138" s="255" t="s">
        <v>3777</v>
      </c>
      <c r="J138" s="255">
        <v>42339</v>
      </c>
      <c r="K138" s="253">
        <f t="shared" si="7"/>
        <v>395</v>
      </c>
      <c r="L138" s="254">
        <v>395</v>
      </c>
      <c r="M138" s="254"/>
      <c r="N138" s="254"/>
      <c r="O138" s="254"/>
      <c r="P138" s="254"/>
      <c r="Q138" s="254"/>
      <c r="R138" s="254"/>
      <c r="S138" s="254"/>
      <c r="T138" s="254"/>
      <c r="U138" s="254"/>
      <c r="Z138" s="258">
        <v>32</v>
      </c>
      <c r="AA138" s="258">
        <v>33</v>
      </c>
      <c r="AB138" s="258">
        <v>33</v>
      </c>
      <c r="AC138" s="258">
        <v>33</v>
      </c>
      <c r="AD138" s="258">
        <v>33</v>
      </c>
      <c r="AE138" s="258">
        <v>33</v>
      </c>
      <c r="AF138" s="258">
        <v>33</v>
      </c>
      <c r="AG138" s="258">
        <v>33</v>
      </c>
      <c r="AH138" s="258">
        <v>33</v>
      </c>
      <c r="AI138" s="258">
        <v>33</v>
      </c>
      <c r="AJ138" s="258">
        <v>33</v>
      </c>
      <c r="AK138" s="258">
        <v>33</v>
      </c>
    </row>
    <row r="139" spans="1:98" ht="13.15" customHeight="1" x14ac:dyDescent="0.4">
      <c r="D139" s="253" t="s">
        <v>4242</v>
      </c>
      <c r="E139" s="253" t="s">
        <v>4243</v>
      </c>
      <c r="F139" s="253" t="s">
        <v>550</v>
      </c>
      <c r="G139" s="253">
        <v>62.68</v>
      </c>
      <c r="H139" s="255">
        <v>42156</v>
      </c>
      <c r="I139" s="255" t="s">
        <v>3711</v>
      </c>
      <c r="J139" s="255">
        <v>42491</v>
      </c>
      <c r="K139" s="253">
        <f t="shared" si="7"/>
        <v>562.76</v>
      </c>
      <c r="L139" s="254">
        <v>562.76</v>
      </c>
      <c r="AC139" s="258">
        <v>0</v>
      </c>
      <c r="AD139" s="258">
        <v>0</v>
      </c>
      <c r="AE139" s="258">
        <v>62.69</v>
      </c>
      <c r="AF139" s="258">
        <v>62.69</v>
      </c>
      <c r="AG139" s="258">
        <v>62.69</v>
      </c>
      <c r="AH139" s="258">
        <v>62.69</v>
      </c>
      <c r="AI139" s="258">
        <v>312</v>
      </c>
    </row>
    <row r="140" spans="1:98" ht="13.15" customHeight="1" x14ac:dyDescent="0.4">
      <c r="C140" s="256"/>
      <c r="D140" s="254" t="s">
        <v>4244</v>
      </c>
      <c r="E140" s="254" t="s">
        <v>4245</v>
      </c>
      <c r="F140" s="253" t="s">
        <v>550</v>
      </c>
      <c r="G140" s="253">
        <v>30</v>
      </c>
      <c r="J140" s="255">
        <v>41974</v>
      </c>
      <c r="K140" s="253">
        <f t="shared" si="7"/>
        <v>556.55999999999995</v>
      </c>
      <c r="L140" s="254">
        <f>786.25+360</f>
        <v>1146.25</v>
      </c>
      <c r="M140" s="254"/>
      <c r="N140" s="254"/>
      <c r="O140" s="254"/>
      <c r="P140" s="253">
        <v>196.56</v>
      </c>
      <c r="Q140" s="254"/>
      <c r="R140" s="254"/>
      <c r="S140" s="253">
        <v>196.56</v>
      </c>
      <c r="T140" s="254"/>
      <c r="U140" s="254"/>
      <c r="V140" s="253">
        <v>196.56</v>
      </c>
      <c r="Y140" s="258">
        <f>196.56+30</f>
        <v>226.56</v>
      </c>
      <c r="Z140" s="258">
        <v>30</v>
      </c>
      <c r="AA140" s="258">
        <v>30</v>
      </c>
      <c r="AB140" s="258">
        <v>30</v>
      </c>
      <c r="AC140" s="258">
        <v>30</v>
      </c>
      <c r="AD140" s="258">
        <v>30</v>
      </c>
      <c r="AE140" s="258">
        <v>30</v>
      </c>
      <c r="AF140" s="258">
        <v>30</v>
      </c>
      <c r="AG140" s="258">
        <v>30</v>
      </c>
      <c r="AH140" s="258">
        <v>30</v>
      </c>
      <c r="AI140" s="258">
        <v>30</v>
      </c>
      <c r="AJ140" s="258">
        <v>30</v>
      </c>
    </row>
    <row r="141" spans="1:98" ht="13.9" customHeight="1" x14ac:dyDescent="0.4">
      <c r="A141" s="268"/>
      <c r="B141" s="268"/>
      <c r="C141" s="256">
        <v>4</v>
      </c>
      <c r="D141" s="253" t="s">
        <v>3975</v>
      </c>
      <c r="E141" s="253" t="s">
        <v>4246</v>
      </c>
      <c r="F141" s="253" t="s">
        <v>4137</v>
      </c>
      <c r="G141" s="253">
        <v>120</v>
      </c>
      <c r="H141" s="255">
        <v>41944</v>
      </c>
      <c r="I141" s="255"/>
      <c r="J141" s="255">
        <v>42217</v>
      </c>
      <c r="K141" s="253">
        <f t="shared" si="7"/>
        <v>481</v>
      </c>
      <c r="L141" s="254">
        <v>481</v>
      </c>
      <c r="M141" s="254"/>
      <c r="N141" s="254"/>
      <c r="O141" s="254"/>
      <c r="P141" s="254"/>
      <c r="Q141" s="254"/>
      <c r="R141" s="254"/>
      <c r="S141" s="254"/>
      <c r="T141" s="254"/>
      <c r="U141" s="254"/>
      <c r="X141" s="258">
        <v>121</v>
      </c>
      <c r="AA141" s="258">
        <v>120</v>
      </c>
      <c r="AB141" s="258">
        <v>0</v>
      </c>
      <c r="AC141" s="253">
        <v>0</v>
      </c>
      <c r="AD141" s="258">
        <v>120</v>
      </c>
      <c r="AE141" s="253">
        <v>0</v>
      </c>
      <c r="AF141" s="253">
        <v>0</v>
      </c>
      <c r="AG141" s="258">
        <v>120</v>
      </c>
    </row>
    <row r="142" spans="1:98" ht="13.15" customHeight="1" x14ac:dyDescent="0.4">
      <c r="A142" s="259"/>
      <c r="B142" s="259"/>
      <c r="C142" s="256">
        <v>5</v>
      </c>
      <c r="D142" s="253" t="s">
        <v>4247</v>
      </c>
      <c r="E142" s="253" t="s">
        <v>4248</v>
      </c>
      <c r="F142" s="253" t="s">
        <v>551</v>
      </c>
      <c r="H142" s="255"/>
      <c r="I142" s="255"/>
      <c r="J142" s="255"/>
      <c r="K142" s="253">
        <f t="shared" si="7"/>
        <v>601.25</v>
      </c>
      <c r="L142" s="254">
        <f>828.75+601.25</f>
        <v>1430</v>
      </c>
      <c r="M142" s="254"/>
      <c r="N142" s="254"/>
      <c r="O142" s="254"/>
      <c r="P142" s="254"/>
      <c r="Q142" s="254"/>
      <c r="R142" s="254"/>
      <c r="S142" s="254"/>
      <c r="T142" s="254"/>
      <c r="U142" s="254"/>
      <c r="V142" s="253">
        <v>828.75</v>
      </c>
      <c r="X142" s="258">
        <v>601.25</v>
      </c>
      <c r="AC142" s="253">
        <v>0</v>
      </c>
    </row>
    <row r="143" spans="1:98" ht="13.15" customHeight="1" x14ac:dyDescent="0.4">
      <c r="C143" s="256">
        <v>6</v>
      </c>
      <c r="D143" s="253" t="s">
        <v>4249</v>
      </c>
      <c r="E143" s="253" t="s">
        <v>4250</v>
      </c>
      <c r="F143" s="253" t="s">
        <v>4137</v>
      </c>
      <c r="G143" s="253">
        <v>25</v>
      </c>
      <c r="I143" s="253" t="s">
        <v>4026</v>
      </c>
      <c r="J143" s="255">
        <v>41883</v>
      </c>
      <c r="K143" s="253">
        <f t="shared" si="7"/>
        <v>300</v>
      </c>
      <c r="L143" s="254">
        <f>652+300</f>
        <v>952</v>
      </c>
      <c r="M143" s="253">
        <v>163</v>
      </c>
      <c r="N143" s="254"/>
      <c r="O143" s="254"/>
      <c r="P143" s="253">
        <v>163</v>
      </c>
      <c r="Q143" s="254"/>
      <c r="R143" s="254"/>
      <c r="S143" s="253">
        <v>163</v>
      </c>
      <c r="T143" s="254"/>
      <c r="U143" s="254"/>
      <c r="V143" s="253">
        <v>163</v>
      </c>
      <c r="Z143" s="258">
        <v>25</v>
      </c>
      <c r="AA143" s="258">
        <v>25</v>
      </c>
      <c r="AB143" s="258">
        <v>25</v>
      </c>
      <c r="AC143" s="277">
        <v>25</v>
      </c>
      <c r="AD143" s="277">
        <v>25</v>
      </c>
      <c r="AE143" s="277">
        <v>25</v>
      </c>
      <c r="AF143" s="258">
        <v>25</v>
      </c>
      <c r="AG143" s="258">
        <v>25</v>
      </c>
      <c r="AH143" s="258">
        <v>25</v>
      </c>
      <c r="AI143" s="258">
        <v>25</v>
      </c>
      <c r="AJ143" s="258">
        <v>25</v>
      </c>
      <c r="AK143" s="258">
        <v>25</v>
      </c>
    </row>
    <row r="144" spans="1:98" ht="13.15" customHeight="1" x14ac:dyDescent="0.4">
      <c r="C144" s="256">
        <v>3</v>
      </c>
      <c r="D144" s="253" t="s">
        <v>4051</v>
      </c>
      <c r="E144" s="253" t="s">
        <v>4251</v>
      </c>
      <c r="F144" s="253" t="s">
        <v>550</v>
      </c>
      <c r="G144" s="253">
        <v>38.75</v>
      </c>
      <c r="H144" s="255">
        <v>41852</v>
      </c>
      <c r="I144" s="255" t="s">
        <v>3777</v>
      </c>
      <c r="J144" s="255">
        <v>42186</v>
      </c>
      <c r="K144" s="253">
        <f t="shared" si="7"/>
        <v>387.5</v>
      </c>
      <c r="L144" s="254">
        <v>465</v>
      </c>
      <c r="M144" s="254"/>
      <c r="N144" s="254"/>
      <c r="O144" s="254"/>
      <c r="P144" s="254"/>
      <c r="Q144" s="254"/>
      <c r="R144" s="254"/>
      <c r="S144" s="254"/>
      <c r="T144" s="254"/>
      <c r="U144" s="253">
        <v>38.75</v>
      </c>
      <c r="V144" s="253">
        <v>38.75</v>
      </c>
      <c r="W144" s="253">
        <v>38.75</v>
      </c>
      <c r="X144" s="258">
        <v>38.75</v>
      </c>
      <c r="Y144" s="258">
        <v>38.75</v>
      </c>
      <c r="Z144" s="258">
        <v>38.75</v>
      </c>
      <c r="AA144" s="258">
        <v>38.75</v>
      </c>
      <c r="AB144" s="258">
        <v>38.75</v>
      </c>
      <c r="AC144" s="258">
        <v>38.75</v>
      </c>
      <c r="AD144" s="258">
        <v>38.75</v>
      </c>
      <c r="AE144" s="258">
        <v>38.75</v>
      </c>
      <c r="AF144" s="258">
        <v>38.75</v>
      </c>
      <c r="AG144" s="258">
        <v>38.75</v>
      </c>
    </row>
    <row r="145" spans="3:36" ht="13.15" customHeight="1" x14ac:dyDescent="0.4">
      <c r="C145" s="256">
        <v>2</v>
      </c>
      <c r="D145" s="254" t="s">
        <v>4252</v>
      </c>
      <c r="E145" s="254" t="s">
        <v>4253</v>
      </c>
      <c r="F145" s="253" t="s">
        <v>550</v>
      </c>
      <c r="G145" s="253">
        <v>23</v>
      </c>
      <c r="H145" s="255">
        <v>41974</v>
      </c>
      <c r="I145" s="255" t="s">
        <v>4030</v>
      </c>
      <c r="J145" s="255">
        <v>42309</v>
      </c>
      <c r="K145" s="253">
        <f t="shared" si="7"/>
        <v>400.5</v>
      </c>
      <c r="L145" s="254">
        <v>400.5</v>
      </c>
      <c r="M145" s="254"/>
      <c r="N145" s="254"/>
      <c r="O145" s="254"/>
      <c r="P145" s="254"/>
      <c r="Q145" s="254"/>
      <c r="R145" s="254"/>
      <c r="S145" s="254"/>
      <c r="T145" s="254"/>
      <c r="U145" s="254"/>
      <c r="X145" s="258">
        <v>125</v>
      </c>
      <c r="Y145" s="258">
        <v>22.5</v>
      </c>
      <c r="Z145" s="258">
        <v>23</v>
      </c>
      <c r="AA145" s="258">
        <v>23</v>
      </c>
      <c r="AB145" s="258">
        <v>23</v>
      </c>
      <c r="AC145" s="258">
        <v>23</v>
      </c>
      <c r="AD145" s="258">
        <v>23</v>
      </c>
      <c r="AE145" s="258">
        <v>23</v>
      </c>
      <c r="AF145" s="258">
        <v>23</v>
      </c>
      <c r="AG145" s="258">
        <v>23</v>
      </c>
      <c r="AH145" s="258">
        <v>23</v>
      </c>
      <c r="AI145" s="258">
        <v>23</v>
      </c>
      <c r="AJ145" s="258">
        <v>23</v>
      </c>
    </row>
    <row r="146" spans="3:36" ht="13.15" customHeight="1" x14ac:dyDescent="0.4">
      <c r="C146" s="256">
        <v>1</v>
      </c>
      <c r="D146" s="253" t="s">
        <v>4254</v>
      </c>
      <c r="E146" s="253" t="s">
        <v>4255</v>
      </c>
      <c r="F146" s="253" t="s">
        <v>550</v>
      </c>
      <c r="G146" s="253">
        <v>32.630000000000003</v>
      </c>
      <c r="H146" s="255">
        <v>41609</v>
      </c>
      <c r="I146" s="255"/>
      <c r="J146" s="255">
        <v>41944</v>
      </c>
      <c r="K146" s="253">
        <f t="shared" si="7"/>
        <v>65.260000000000005</v>
      </c>
      <c r="L146" s="254">
        <v>391.5</v>
      </c>
      <c r="M146" s="253">
        <v>32.630000000000003</v>
      </c>
      <c r="N146" s="253">
        <v>32.630000000000003</v>
      </c>
      <c r="O146" s="253">
        <v>32.630000000000003</v>
      </c>
      <c r="P146" s="253">
        <v>32.630000000000003</v>
      </c>
      <c r="Q146" s="253">
        <v>32.630000000000003</v>
      </c>
      <c r="R146" s="253">
        <v>32.630000000000003</v>
      </c>
      <c r="S146" s="253">
        <v>32.630000000000003</v>
      </c>
      <c r="T146" s="253">
        <v>32.630000000000003</v>
      </c>
      <c r="U146" s="253">
        <v>32.630000000000003</v>
      </c>
      <c r="V146" s="253">
        <v>32.630000000000003</v>
      </c>
      <c r="W146" s="253">
        <v>32.630000000000003</v>
      </c>
      <c r="X146" s="258">
        <v>32.630000000000003</v>
      </c>
      <c r="Y146" s="257">
        <v>32.630000000000003</v>
      </c>
      <c r="AC146" s="253">
        <v>0</v>
      </c>
    </row>
    <row r="147" spans="3:36" ht="13.15" customHeight="1" x14ac:dyDescent="0.4">
      <c r="D147" s="253" t="s">
        <v>4252</v>
      </c>
      <c r="E147" s="253" t="s">
        <v>4253</v>
      </c>
      <c r="F147" s="253" t="s">
        <v>550</v>
      </c>
      <c r="G147" s="253">
        <v>25.13</v>
      </c>
      <c r="J147" s="255">
        <v>41944</v>
      </c>
      <c r="K147" s="253">
        <f t="shared" si="7"/>
        <v>25.13</v>
      </c>
      <c r="L147" s="254">
        <v>301.5</v>
      </c>
      <c r="M147" s="253">
        <v>25.13</v>
      </c>
      <c r="N147" s="253">
        <v>25.13</v>
      </c>
      <c r="O147" s="253">
        <v>25.13</v>
      </c>
      <c r="P147" s="253">
        <v>25.13</v>
      </c>
      <c r="Q147" s="253">
        <v>25.13</v>
      </c>
      <c r="R147" s="253">
        <v>25.13</v>
      </c>
      <c r="S147" s="253">
        <v>25.13</v>
      </c>
      <c r="T147" s="253">
        <v>25.13</v>
      </c>
      <c r="U147" s="253">
        <v>25.13</v>
      </c>
      <c r="V147" s="253">
        <v>25.13</v>
      </c>
      <c r="W147" s="253">
        <v>25.13</v>
      </c>
      <c r="X147" s="258">
        <v>25.13</v>
      </c>
      <c r="AC147" s="253">
        <v>0</v>
      </c>
    </row>
    <row r="148" spans="3:36" ht="13.15" customHeight="1" x14ac:dyDescent="0.4">
      <c r="D148" s="253" t="s">
        <v>4256</v>
      </c>
      <c r="E148" s="253" t="s">
        <v>4257</v>
      </c>
      <c r="F148" s="253" t="s">
        <v>550</v>
      </c>
      <c r="G148" s="253">
        <v>70</v>
      </c>
      <c r="J148" s="255">
        <v>41944</v>
      </c>
      <c r="K148" s="253">
        <f t="shared" si="7"/>
        <v>70</v>
      </c>
      <c r="L148" s="254">
        <v>765</v>
      </c>
      <c r="M148" s="253">
        <v>45</v>
      </c>
      <c r="N148" s="253">
        <v>45</v>
      </c>
      <c r="O148" s="253">
        <v>45</v>
      </c>
      <c r="P148" s="253">
        <v>70</v>
      </c>
      <c r="Q148" s="253">
        <v>70</v>
      </c>
      <c r="R148" s="253">
        <v>70</v>
      </c>
      <c r="S148" s="253">
        <v>70</v>
      </c>
      <c r="T148" s="253">
        <v>70</v>
      </c>
      <c r="U148" s="253">
        <v>70</v>
      </c>
      <c r="V148" s="253">
        <v>70</v>
      </c>
      <c r="W148" s="253">
        <v>70</v>
      </c>
      <c r="X148" s="258">
        <v>70</v>
      </c>
      <c r="AC148" s="253">
        <v>0</v>
      </c>
    </row>
    <row r="149" spans="3:36" ht="13.15" customHeight="1" x14ac:dyDescent="0.4">
      <c r="D149" s="253" t="s">
        <v>4258</v>
      </c>
      <c r="E149" s="253" t="s">
        <v>4259</v>
      </c>
      <c r="F149" s="253" t="s">
        <v>550</v>
      </c>
      <c r="G149" s="253">
        <v>27.38</v>
      </c>
      <c r="J149" s="255">
        <v>41974</v>
      </c>
      <c r="K149" s="253">
        <f t="shared" si="7"/>
        <v>54.76</v>
      </c>
      <c r="L149" s="254">
        <v>328.5</v>
      </c>
      <c r="N149" s="253">
        <v>27.38</v>
      </c>
      <c r="O149" s="253">
        <v>27.38</v>
      </c>
      <c r="P149" s="253">
        <v>27.38</v>
      </c>
      <c r="Q149" s="253">
        <v>27.38</v>
      </c>
      <c r="R149" s="253">
        <v>27.38</v>
      </c>
      <c r="S149" s="253">
        <v>27.38</v>
      </c>
      <c r="T149" s="253">
        <v>27.38</v>
      </c>
      <c r="U149" s="253">
        <v>27.38</v>
      </c>
      <c r="V149" s="253">
        <v>27.38</v>
      </c>
      <c r="W149" s="253">
        <v>27.38</v>
      </c>
      <c r="X149" s="258">
        <v>27.38</v>
      </c>
      <c r="Y149" s="258">
        <v>27.38</v>
      </c>
      <c r="AC149" s="253">
        <v>0</v>
      </c>
    </row>
    <row r="150" spans="3:36" ht="13.15" customHeight="1" x14ac:dyDescent="0.4">
      <c r="D150" s="253" t="s">
        <v>4244</v>
      </c>
      <c r="E150" s="253" t="s">
        <v>3994</v>
      </c>
      <c r="F150" s="253" t="s">
        <v>550</v>
      </c>
      <c r="G150" s="253">
        <v>37.5</v>
      </c>
      <c r="I150" s="253" t="s">
        <v>3711</v>
      </c>
      <c r="J150" s="255">
        <v>42036</v>
      </c>
      <c r="K150" s="253">
        <f t="shared" si="7"/>
        <v>150</v>
      </c>
      <c r="L150" s="254">
        <v>450</v>
      </c>
      <c r="M150" s="254"/>
      <c r="N150" s="254"/>
      <c r="O150" s="254"/>
      <c r="P150" s="253">
        <v>37.5</v>
      </c>
      <c r="Q150" s="253">
        <v>37.5</v>
      </c>
      <c r="R150" s="253">
        <v>37.5</v>
      </c>
      <c r="S150" s="253">
        <v>37.5</v>
      </c>
      <c r="T150" s="253">
        <v>37.5</v>
      </c>
      <c r="U150" s="253">
        <v>37.5</v>
      </c>
      <c r="V150" s="253">
        <v>37.5</v>
      </c>
      <c r="W150" s="253">
        <v>37.5</v>
      </c>
      <c r="X150" s="258">
        <v>37.5</v>
      </c>
      <c r="Y150" s="258">
        <v>37.5</v>
      </c>
      <c r="Z150" s="258">
        <v>37.5</v>
      </c>
      <c r="AA150" s="258">
        <v>37.5</v>
      </c>
      <c r="AC150" s="253">
        <v>0</v>
      </c>
    </row>
    <row r="151" spans="3:36" ht="13.15" customHeight="1" x14ac:dyDescent="0.4">
      <c r="D151" s="253" t="s">
        <v>3981</v>
      </c>
      <c r="E151" s="253" t="s">
        <v>4004</v>
      </c>
      <c r="F151" s="253" t="s">
        <v>550</v>
      </c>
      <c r="G151" s="253">
        <v>39.380000000000003</v>
      </c>
      <c r="J151" s="255">
        <v>42036</v>
      </c>
      <c r="K151" s="253">
        <f t="shared" si="7"/>
        <v>157.52000000000001</v>
      </c>
      <c r="L151" s="254">
        <v>472.5</v>
      </c>
      <c r="M151" s="254"/>
      <c r="N151" s="254"/>
      <c r="O151" s="254"/>
      <c r="P151" s="253">
        <v>39.380000000000003</v>
      </c>
      <c r="Q151" s="253">
        <v>39.380000000000003</v>
      </c>
      <c r="R151" s="253">
        <v>39.380000000000003</v>
      </c>
      <c r="S151" s="253">
        <v>39.380000000000003</v>
      </c>
      <c r="T151" s="253">
        <v>39.380000000000003</v>
      </c>
      <c r="U151" s="253">
        <v>39.380000000000003</v>
      </c>
      <c r="V151" s="253">
        <v>39.380000000000003</v>
      </c>
      <c r="W151" s="253">
        <v>39.380000000000003</v>
      </c>
      <c r="X151" s="258">
        <v>39.380000000000003</v>
      </c>
      <c r="Y151" s="258">
        <v>39.380000000000003</v>
      </c>
      <c r="Z151" s="258">
        <v>39.380000000000003</v>
      </c>
      <c r="AA151" s="258">
        <v>39.380000000000003</v>
      </c>
      <c r="AC151" s="253">
        <v>0</v>
      </c>
    </row>
    <row r="152" spans="3:36" ht="13.15" customHeight="1" x14ac:dyDescent="0.4">
      <c r="D152" s="253" t="s">
        <v>4039</v>
      </c>
      <c r="E152" s="253" t="s">
        <v>4257</v>
      </c>
      <c r="F152" s="253" t="s">
        <v>4137</v>
      </c>
      <c r="G152" s="253">
        <v>195</v>
      </c>
      <c r="J152" s="255">
        <v>41883</v>
      </c>
      <c r="K152" s="253">
        <f t="shared" si="7"/>
        <v>195</v>
      </c>
      <c r="L152" s="254">
        <v>780</v>
      </c>
      <c r="M152" s="253">
        <v>195</v>
      </c>
      <c r="N152" s="254"/>
      <c r="O152" s="254"/>
      <c r="P152" s="253">
        <v>195</v>
      </c>
      <c r="Q152" s="254"/>
      <c r="R152" s="254"/>
      <c r="S152" s="253">
        <v>195</v>
      </c>
      <c r="T152" s="254"/>
      <c r="U152" s="254"/>
      <c r="V152" s="253">
        <v>195</v>
      </c>
      <c r="Y152" s="279">
        <v>195</v>
      </c>
      <c r="AC152" s="253">
        <v>0</v>
      </c>
    </row>
    <row r="153" spans="3:36" ht="13.15" customHeight="1" x14ac:dyDescent="0.4">
      <c r="D153" s="253" t="s">
        <v>4179</v>
      </c>
      <c r="E153" s="253" t="s">
        <v>4204</v>
      </c>
      <c r="F153" s="253" t="s">
        <v>4137</v>
      </c>
      <c r="G153" s="253">
        <v>152</v>
      </c>
      <c r="J153" s="255">
        <v>41883</v>
      </c>
      <c r="K153" s="253">
        <f t="shared" ref="K153:K163" si="8">SUM(X153:EA153)</f>
        <v>0</v>
      </c>
      <c r="L153" s="254">
        <v>608</v>
      </c>
      <c r="M153" s="253">
        <v>152</v>
      </c>
      <c r="N153" s="254"/>
      <c r="O153" s="254"/>
      <c r="P153" s="253">
        <v>152</v>
      </c>
      <c r="Q153" s="254"/>
      <c r="R153" s="254"/>
      <c r="S153" s="253">
        <v>152</v>
      </c>
      <c r="T153" s="254"/>
      <c r="U153" s="254"/>
      <c r="V153" s="253">
        <v>152</v>
      </c>
      <c r="AC153" s="253">
        <v>0</v>
      </c>
    </row>
    <row r="154" spans="3:36" ht="13.15" customHeight="1" x14ac:dyDescent="0.4">
      <c r="D154" s="253" t="s">
        <v>4260</v>
      </c>
      <c r="E154" s="253" t="s">
        <v>4261</v>
      </c>
      <c r="F154" s="253" t="s">
        <v>4137</v>
      </c>
      <c r="G154" s="253">
        <v>254.66</v>
      </c>
      <c r="J154" s="255">
        <v>41883</v>
      </c>
      <c r="K154" s="253">
        <f t="shared" si="8"/>
        <v>0</v>
      </c>
      <c r="L154" s="254">
        <v>1038.25</v>
      </c>
      <c r="M154" s="253">
        <v>168</v>
      </c>
      <c r="N154" s="254"/>
      <c r="O154" s="254"/>
      <c r="P154" s="253">
        <v>254.67</v>
      </c>
      <c r="Q154" s="254"/>
      <c r="R154" s="254"/>
      <c r="S154" s="253">
        <v>254.67</v>
      </c>
      <c r="T154" s="280">
        <v>106.25</v>
      </c>
      <c r="U154" s="254"/>
      <c r="V154" s="253">
        <v>254.66</v>
      </c>
      <c r="AC154" s="253">
        <v>0</v>
      </c>
    </row>
    <row r="155" spans="3:36" ht="13.15" customHeight="1" x14ac:dyDescent="0.4">
      <c r="D155" s="253" t="s">
        <v>4262</v>
      </c>
      <c r="E155" s="253" t="s">
        <v>4263</v>
      </c>
      <c r="F155" s="253" t="s">
        <v>4137</v>
      </c>
      <c r="G155" s="253">
        <v>179</v>
      </c>
      <c r="J155" s="255">
        <v>41883</v>
      </c>
      <c r="K155" s="253">
        <f t="shared" si="8"/>
        <v>0</v>
      </c>
      <c r="L155" s="254">
        <v>696</v>
      </c>
      <c r="M155" s="253">
        <v>159</v>
      </c>
      <c r="N155" s="254"/>
      <c r="O155" s="254"/>
      <c r="P155" s="253">
        <v>179</v>
      </c>
      <c r="Q155" s="254"/>
      <c r="R155" s="254"/>
      <c r="S155" s="253">
        <v>179</v>
      </c>
      <c r="T155" s="254"/>
      <c r="U155" s="254"/>
      <c r="V155" s="253">
        <v>179</v>
      </c>
      <c r="AC155" s="253">
        <v>0</v>
      </c>
    </row>
    <row r="156" spans="3:36" ht="13.15" customHeight="1" x14ac:dyDescent="0.4">
      <c r="D156" s="253" t="s">
        <v>4027</v>
      </c>
      <c r="E156" s="253" t="s">
        <v>4264</v>
      </c>
      <c r="F156" s="253" t="s">
        <v>4137</v>
      </c>
      <c r="G156" s="253">
        <v>155</v>
      </c>
      <c r="J156" s="255">
        <v>41974</v>
      </c>
      <c r="K156" s="253">
        <f t="shared" si="8"/>
        <v>155</v>
      </c>
      <c r="L156" s="254">
        <v>620</v>
      </c>
      <c r="M156" s="254"/>
      <c r="N156" s="254"/>
      <c r="O156" s="254"/>
      <c r="P156" s="253">
        <v>155</v>
      </c>
      <c r="Q156" s="254"/>
      <c r="R156" s="254"/>
      <c r="S156" s="253">
        <v>155</v>
      </c>
      <c r="T156" s="254"/>
      <c r="U156" s="254"/>
      <c r="V156" s="266">
        <v>155</v>
      </c>
      <c r="Y156" s="258">
        <v>155</v>
      </c>
      <c r="AC156" s="253">
        <v>0</v>
      </c>
    </row>
    <row r="157" spans="3:36" ht="13.15" customHeight="1" x14ac:dyDescent="0.4">
      <c r="D157" s="253" t="s">
        <v>4168</v>
      </c>
      <c r="E157" s="253" t="s">
        <v>4057</v>
      </c>
      <c r="F157" s="253" t="s">
        <v>4137</v>
      </c>
      <c r="G157" s="253">
        <v>161</v>
      </c>
      <c r="J157" s="255">
        <v>41974</v>
      </c>
      <c r="K157" s="253">
        <f t="shared" si="8"/>
        <v>179</v>
      </c>
      <c r="L157" s="254">
        <v>700</v>
      </c>
      <c r="M157" s="254"/>
      <c r="N157" s="254"/>
      <c r="O157" s="254"/>
      <c r="P157" s="253">
        <v>161</v>
      </c>
      <c r="S157" s="253">
        <v>161</v>
      </c>
      <c r="T157" s="254"/>
      <c r="U157" s="254"/>
      <c r="V157" s="253">
        <v>199</v>
      </c>
      <c r="Y157" s="258">
        <v>179</v>
      </c>
      <c r="AC157" s="253">
        <v>0</v>
      </c>
    </row>
    <row r="158" spans="3:36" ht="13.15" customHeight="1" x14ac:dyDescent="0.4">
      <c r="D158" s="254" t="s">
        <v>4244</v>
      </c>
      <c r="E158" s="254" t="s">
        <v>4265</v>
      </c>
      <c r="F158" s="253" t="s">
        <v>551</v>
      </c>
      <c r="H158" s="255"/>
      <c r="I158" s="255"/>
      <c r="J158" s="255"/>
      <c r="K158" s="253">
        <f t="shared" si="8"/>
        <v>0</v>
      </c>
      <c r="L158" s="254">
        <v>1323.75</v>
      </c>
      <c r="M158" s="254"/>
      <c r="N158" s="254"/>
      <c r="O158" s="254"/>
      <c r="P158" s="254"/>
      <c r="Q158" s="254"/>
      <c r="R158" s="254"/>
      <c r="S158" s="254"/>
      <c r="T158" s="254"/>
      <c r="U158" s="254"/>
      <c r="V158" s="253">
        <v>1323.75</v>
      </c>
      <c r="AC158" s="253">
        <v>0</v>
      </c>
    </row>
    <row r="159" spans="3:36" ht="13.15" customHeight="1" x14ac:dyDescent="0.4">
      <c r="D159" s="254" t="s">
        <v>4266</v>
      </c>
      <c r="E159" s="254" t="s">
        <v>4267</v>
      </c>
      <c r="F159" s="253" t="s">
        <v>4268</v>
      </c>
      <c r="H159" s="255"/>
      <c r="I159" s="255"/>
      <c r="J159" s="255"/>
      <c r="K159" s="253">
        <f t="shared" si="8"/>
        <v>0</v>
      </c>
      <c r="L159" s="254">
        <v>884</v>
      </c>
      <c r="M159" s="254"/>
      <c r="N159" s="254"/>
      <c r="O159" s="254"/>
      <c r="P159" s="254"/>
      <c r="Q159" s="254"/>
      <c r="R159" s="254"/>
      <c r="S159" s="254"/>
      <c r="T159" s="254"/>
      <c r="U159" s="254"/>
      <c r="W159" s="253">
        <v>884</v>
      </c>
      <c r="AC159" s="253">
        <v>0</v>
      </c>
    </row>
    <row r="160" spans="3:36" ht="13.15" customHeight="1" x14ac:dyDescent="0.4">
      <c r="D160" s="253" t="s">
        <v>4269</v>
      </c>
      <c r="E160" s="253" t="s">
        <v>3989</v>
      </c>
      <c r="F160" s="253" t="s">
        <v>551</v>
      </c>
      <c r="H160" s="255"/>
      <c r="I160" s="255"/>
      <c r="J160" s="255"/>
      <c r="K160" s="253">
        <f t="shared" si="8"/>
        <v>0</v>
      </c>
      <c r="L160" s="254">
        <v>1344.4</v>
      </c>
      <c r="M160" s="253">
        <v>1344.4</v>
      </c>
      <c r="N160" s="254"/>
      <c r="O160" s="254"/>
      <c r="P160" s="254"/>
      <c r="Q160" s="254"/>
      <c r="R160" s="254"/>
      <c r="S160" s="254"/>
      <c r="T160" s="254"/>
      <c r="U160" s="254"/>
      <c r="AC160" s="253">
        <v>0</v>
      </c>
    </row>
    <row r="161" spans="4:141" ht="13.15" customHeight="1" x14ac:dyDescent="0.4">
      <c r="D161" s="45" t="s">
        <v>4039</v>
      </c>
      <c r="E161" s="45" t="s">
        <v>4270</v>
      </c>
      <c r="F161" s="45" t="s">
        <v>550</v>
      </c>
      <c r="G161" s="253">
        <v>75</v>
      </c>
      <c r="H161" s="255">
        <v>44317</v>
      </c>
      <c r="I161" s="70" t="s">
        <v>3723</v>
      </c>
      <c r="J161" s="255"/>
      <c r="K161" s="253">
        <f t="shared" si="8"/>
        <v>2325</v>
      </c>
      <c r="L161" s="254">
        <f>75*12</f>
        <v>900</v>
      </c>
      <c r="N161" s="254"/>
      <c r="O161" s="254"/>
      <c r="P161" s="254"/>
      <c r="Q161" s="254"/>
      <c r="R161" s="254"/>
      <c r="S161" s="254"/>
      <c r="T161" s="254"/>
      <c r="U161" s="254"/>
      <c r="CX161" s="253">
        <v>75</v>
      </c>
      <c r="CY161" s="253">
        <v>75</v>
      </c>
      <c r="CZ161" s="253">
        <v>75</v>
      </c>
      <c r="DA161" s="253">
        <v>75</v>
      </c>
      <c r="DB161" s="253">
        <v>75</v>
      </c>
      <c r="DC161" s="253">
        <v>75</v>
      </c>
      <c r="DD161" s="253">
        <v>75</v>
      </c>
      <c r="DE161" s="253">
        <v>150</v>
      </c>
      <c r="DF161" s="253">
        <v>150</v>
      </c>
      <c r="DG161" s="253">
        <v>150</v>
      </c>
      <c r="DH161" s="253">
        <v>150</v>
      </c>
      <c r="DI161" s="253">
        <v>150</v>
      </c>
      <c r="DJ161" s="253">
        <v>150</v>
      </c>
      <c r="DK161" s="253">
        <v>150</v>
      </c>
      <c r="DL161" s="253">
        <v>150</v>
      </c>
      <c r="DM161" s="253">
        <v>150</v>
      </c>
      <c r="DN161" s="253">
        <v>150</v>
      </c>
      <c r="DO161" s="253">
        <v>150</v>
      </c>
      <c r="DP161" s="253">
        <v>150</v>
      </c>
    </row>
    <row r="162" spans="4:141" ht="13.15" customHeight="1" x14ac:dyDescent="0.4">
      <c r="D162" s="45" t="s">
        <v>3990</v>
      </c>
      <c r="E162" s="45" t="s">
        <v>3991</v>
      </c>
      <c r="F162" s="45" t="s">
        <v>550</v>
      </c>
      <c r="G162" s="253">
        <v>100</v>
      </c>
      <c r="H162" s="255">
        <v>44409</v>
      </c>
      <c r="I162" s="70" t="s">
        <v>3699</v>
      </c>
      <c r="J162" s="255"/>
      <c r="K162" s="253">
        <f t="shared" si="8"/>
        <v>1200</v>
      </c>
      <c r="L162" s="254">
        <f>100*12</f>
        <v>1200</v>
      </c>
      <c r="N162" s="254"/>
      <c r="O162" s="254"/>
      <c r="P162" s="254"/>
      <c r="Q162" s="254"/>
      <c r="R162" s="254"/>
      <c r="S162" s="254"/>
      <c r="T162" s="254"/>
      <c r="U162" s="254"/>
      <c r="DA162" s="253">
        <v>100</v>
      </c>
      <c r="DB162" s="253">
        <v>100</v>
      </c>
      <c r="DC162" s="253">
        <v>100</v>
      </c>
      <c r="DD162" s="253">
        <v>100</v>
      </c>
      <c r="DE162" s="253">
        <v>100</v>
      </c>
      <c r="DF162" s="253">
        <v>100</v>
      </c>
      <c r="DG162" s="253">
        <v>100</v>
      </c>
      <c r="DH162" s="253">
        <v>100</v>
      </c>
      <c r="DI162" s="253">
        <v>100</v>
      </c>
      <c r="DJ162" s="253">
        <v>100</v>
      </c>
      <c r="DK162" s="253">
        <v>100</v>
      </c>
      <c r="DL162" s="253">
        <v>100</v>
      </c>
    </row>
    <row r="163" spans="4:141" ht="13.15" customHeight="1" x14ac:dyDescent="0.4">
      <c r="D163" s="45" t="s">
        <v>4262</v>
      </c>
      <c r="E163" s="45" t="s">
        <v>4271</v>
      </c>
      <c r="F163" s="45" t="s">
        <v>551</v>
      </c>
      <c r="H163" s="255">
        <v>44960</v>
      </c>
      <c r="I163" s="70"/>
      <c r="J163" s="255"/>
      <c r="K163" s="253">
        <f t="shared" si="8"/>
        <v>1200</v>
      </c>
      <c r="L163" s="254">
        <v>1200</v>
      </c>
      <c r="N163" s="254"/>
      <c r="O163" s="254"/>
      <c r="P163" s="254"/>
      <c r="Q163" s="254"/>
      <c r="R163" s="254"/>
      <c r="S163" s="254"/>
      <c r="T163" s="254"/>
      <c r="U163" s="254"/>
      <c r="DS163" s="253">
        <v>1200</v>
      </c>
    </row>
    <row r="164" spans="4:141" ht="13.15" customHeight="1" x14ac:dyDescent="0.4">
      <c r="D164" s="45" t="s">
        <v>4272</v>
      </c>
      <c r="E164" s="45" t="s">
        <v>4273</v>
      </c>
      <c r="F164" s="45" t="s">
        <v>550</v>
      </c>
      <c r="G164" s="253">
        <v>50</v>
      </c>
      <c r="H164" s="255">
        <v>44986</v>
      </c>
      <c r="I164" s="70"/>
      <c r="J164" s="255"/>
      <c r="K164" s="253">
        <f>SUM(X164:EL164)</f>
        <v>600</v>
      </c>
      <c r="L164" s="254">
        <v>600</v>
      </c>
      <c r="N164" s="254"/>
      <c r="O164" s="254"/>
      <c r="P164" s="254"/>
      <c r="Q164" s="254"/>
      <c r="R164" s="254"/>
      <c r="S164" s="254"/>
      <c r="T164" s="254"/>
      <c r="U164" s="254"/>
      <c r="DT164" s="253">
        <v>50</v>
      </c>
      <c r="DU164" s="253">
        <v>50</v>
      </c>
      <c r="DV164" s="253">
        <v>50</v>
      </c>
      <c r="DW164" s="253">
        <v>50</v>
      </c>
      <c r="DX164" s="253">
        <v>50</v>
      </c>
      <c r="DY164" s="253">
        <v>50</v>
      </c>
      <c r="DZ164" s="253">
        <v>50</v>
      </c>
      <c r="EA164" s="253">
        <v>50</v>
      </c>
      <c r="EB164" s="253">
        <v>50</v>
      </c>
      <c r="EC164" s="253">
        <v>50</v>
      </c>
      <c r="ED164" s="253">
        <v>50</v>
      </c>
      <c r="EE164" s="253">
        <v>50</v>
      </c>
    </row>
    <row r="165" spans="4:141" ht="13.15" customHeight="1" x14ac:dyDescent="0.4">
      <c r="D165" s="45" t="s">
        <v>1032</v>
      </c>
      <c r="E165" s="45" t="s">
        <v>3992</v>
      </c>
      <c r="F165" s="45" t="s">
        <v>4137</v>
      </c>
      <c r="G165" s="253">
        <v>250</v>
      </c>
      <c r="H165" s="255">
        <v>45108</v>
      </c>
      <c r="I165" s="70" t="s">
        <v>4098</v>
      </c>
      <c r="J165" s="255"/>
      <c r="K165" s="253">
        <f>SUM(X165:EL165)</f>
        <v>1000</v>
      </c>
      <c r="L165" s="254">
        <v>1000</v>
      </c>
      <c r="N165" s="254"/>
      <c r="O165" s="254"/>
      <c r="P165" s="254"/>
      <c r="Q165" s="254"/>
      <c r="R165" s="254"/>
      <c r="S165" s="254"/>
      <c r="T165" s="254"/>
      <c r="U165" s="254"/>
      <c r="DX165" s="253">
        <v>250</v>
      </c>
      <c r="EA165" s="253">
        <v>250</v>
      </c>
      <c r="ED165" s="253">
        <v>250</v>
      </c>
      <c r="EG165" s="253">
        <v>250</v>
      </c>
    </row>
    <row r="166" spans="4:141" ht="13.15" customHeight="1" x14ac:dyDescent="0.4">
      <c r="D166" s="45"/>
      <c r="E166" s="45"/>
      <c r="F166" s="45"/>
      <c r="H166" s="255"/>
      <c r="I166" s="70"/>
      <c r="J166" s="255"/>
      <c r="L166" s="254"/>
      <c r="N166" s="254"/>
      <c r="O166" s="254"/>
      <c r="P166" s="254"/>
      <c r="Q166" s="254"/>
      <c r="R166" s="254"/>
      <c r="S166" s="254"/>
      <c r="T166" s="254"/>
      <c r="U166" s="254"/>
    </row>
    <row r="167" spans="4:141" ht="13.15" customHeight="1" x14ac:dyDescent="0.4">
      <c r="K167" s="254"/>
      <c r="L167" s="254"/>
      <c r="M167" s="254"/>
      <c r="N167" s="254"/>
      <c r="O167" s="254"/>
      <c r="P167" s="254"/>
      <c r="Q167" s="254"/>
      <c r="R167" s="254"/>
      <c r="S167" s="254"/>
      <c r="T167" s="254"/>
      <c r="U167" s="254"/>
      <c r="Z167" s="281"/>
    </row>
    <row r="168" spans="4:141" ht="13.15" customHeight="1" x14ac:dyDescent="0.4">
      <c r="F168" s="254" t="s">
        <v>4274</v>
      </c>
      <c r="K168" s="254">
        <f>SUM(M168:CA168)</f>
        <v>61361.39999999998</v>
      </c>
      <c r="L168" s="254">
        <f t="shared" ref="L168:AQ168" si="9">SUM(L92:L167)</f>
        <v>70255.72</v>
      </c>
      <c r="M168" s="254">
        <f t="shared" si="9"/>
        <v>3770.26</v>
      </c>
      <c r="N168" s="254">
        <f t="shared" si="9"/>
        <v>130.14000000000001</v>
      </c>
      <c r="O168" s="254">
        <f t="shared" si="9"/>
        <v>130.14000000000001</v>
      </c>
      <c r="P168" s="254">
        <f t="shared" si="9"/>
        <v>1688.25</v>
      </c>
      <c r="Q168" s="254">
        <f t="shared" si="9"/>
        <v>232.02</v>
      </c>
      <c r="R168" s="254">
        <f t="shared" si="9"/>
        <v>232.02</v>
      </c>
      <c r="S168" s="254">
        <f t="shared" si="9"/>
        <v>1688.25</v>
      </c>
      <c r="T168" s="254">
        <f t="shared" si="9"/>
        <v>338.27</v>
      </c>
      <c r="U168" s="254">
        <f t="shared" si="9"/>
        <v>270.77</v>
      </c>
      <c r="V168" s="254">
        <f t="shared" si="9"/>
        <v>3917.4900000000002</v>
      </c>
      <c r="W168" s="254">
        <f t="shared" si="9"/>
        <v>1154.77</v>
      </c>
      <c r="X168" s="254">
        <f t="shared" si="9"/>
        <v>2740.5200000000004</v>
      </c>
      <c r="Y168" s="254">
        <f t="shared" si="9"/>
        <v>1253.6999999999998</v>
      </c>
      <c r="Z168" s="254">
        <f t="shared" si="9"/>
        <v>257.63</v>
      </c>
      <c r="AA168" s="254">
        <f t="shared" si="9"/>
        <v>379.63</v>
      </c>
      <c r="AB168" s="254">
        <f t="shared" si="9"/>
        <v>1182.75</v>
      </c>
      <c r="AC168" s="254">
        <f t="shared" si="9"/>
        <v>243.45</v>
      </c>
      <c r="AD168" s="254">
        <f t="shared" si="9"/>
        <v>363.51</v>
      </c>
      <c r="AE168" s="254">
        <f t="shared" si="9"/>
        <v>485.77</v>
      </c>
      <c r="AF168" s="254">
        <f t="shared" si="9"/>
        <v>306.2</v>
      </c>
      <c r="AG168" s="254">
        <f t="shared" si="9"/>
        <v>2926.2000000000003</v>
      </c>
      <c r="AH168" s="254">
        <f t="shared" si="9"/>
        <v>1447.01</v>
      </c>
      <c r="AI168" s="254">
        <f t="shared" si="9"/>
        <v>516.76</v>
      </c>
      <c r="AJ168" s="254">
        <f t="shared" si="9"/>
        <v>204.76</v>
      </c>
      <c r="AK168" s="254">
        <f t="shared" si="9"/>
        <v>7553.82</v>
      </c>
      <c r="AL168" s="254">
        <f t="shared" si="9"/>
        <v>100.38</v>
      </c>
      <c r="AM168" s="254">
        <f t="shared" si="9"/>
        <v>188.13</v>
      </c>
      <c r="AN168" s="254">
        <f t="shared" si="9"/>
        <v>580.19000000000005</v>
      </c>
      <c r="AO168" s="254">
        <f t="shared" si="9"/>
        <v>1141.75</v>
      </c>
      <c r="AP168" s="254">
        <f t="shared" si="9"/>
        <v>1369.7600000000002</v>
      </c>
      <c r="AQ168" s="254">
        <f t="shared" si="9"/>
        <v>1082.3800000000001</v>
      </c>
      <c r="AR168" s="254">
        <f t="shared" ref="AR168:BW168" si="10">SUM(AR92:AR167)</f>
        <v>233.88</v>
      </c>
      <c r="AS168" s="254">
        <f t="shared" si="10"/>
        <v>648.01</v>
      </c>
      <c r="AT168" s="254">
        <f t="shared" si="10"/>
        <v>536.38</v>
      </c>
      <c r="AU168" s="254">
        <f t="shared" si="10"/>
        <v>478.19</v>
      </c>
      <c r="AV168" s="254">
        <f t="shared" si="10"/>
        <v>2351.8200000000002</v>
      </c>
      <c r="AW168" s="254">
        <f t="shared" si="10"/>
        <v>541.59</v>
      </c>
      <c r="AX168" s="254">
        <f t="shared" si="10"/>
        <v>339.31</v>
      </c>
      <c r="AY168" s="254">
        <f t="shared" si="10"/>
        <v>1967.94</v>
      </c>
      <c r="AZ168" s="254">
        <f t="shared" si="10"/>
        <v>459.3</v>
      </c>
      <c r="BA168" s="254">
        <f t="shared" si="10"/>
        <v>511.78000000000003</v>
      </c>
      <c r="BB168" s="254">
        <f t="shared" si="10"/>
        <v>944.91</v>
      </c>
      <c r="BC168" s="254">
        <f t="shared" si="10"/>
        <v>612.18000000000006</v>
      </c>
      <c r="BD168" s="254">
        <f t="shared" si="10"/>
        <v>405.6</v>
      </c>
      <c r="BE168" s="254">
        <f t="shared" si="10"/>
        <v>701.11</v>
      </c>
      <c r="BF168" s="254">
        <f t="shared" si="10"/>
        <v>392.98</v>
      </c>
      <c r="BG168" s="254">
        <f t="shared" si="10"/>
        <v>132.47999999999999</v>
      </c>
      <c r="BH168" s="254">
        <f t="shared" si="10"/>
        <v>615.61</v>
      </c>
      <c r="BI168" s="254">
        <f t="shared" si="10"/>
        <v>307.48</v>
      </c>
      <c r="BJ168" s="254">
        <f t="shared" si="10"/>
        <v>132.47999999999999</v>
      </c>
      <c r="BK168" s="254">
        <f t="shared" si="10"/>
        <v>451.76</v>
      </c>
      <c r="BL168" s="254">
        <f t="shared" si="10"/>
        <v>268.63</v>
      </c>
      <c r="BM168" s="254">
        <f t="shared" si="10"/>
        <v>93.63</v>
      </c>
      <c r="BN168" s="254">
        <f t="shared" si="10"/>
        <v>93.63</v>
      </c>
      <c r="BO168" s="254">
        <f t="shared" si="10"/>
        <v>268.63</v>
      </c>
      <c r="BP168" s="254">
        <f t="shared" si="10"/>
        <v>243.63</v>
      </c>
      <c r="BQ168" s="254">
        <f t="shared" si="10"/>
        <v>493.63</v>
      </c>
      <c r="BR168" s="254">
        <f t="shared" si="10"/>
        <v>868.63</v>
      </c>
      <c r="BS168" s="254">
        <f t="shared" si="10"/>
        <v>493.63</v>
      </c>
      <c r="BT168" s="254">
        <f t="shared" si="10"/>
        <v>673.63</v>
      </c>
      <c r="BU168" s="254">
        <f t="shared" si="10"/>
        <v>1048.6300000000001</v>
      </c>
      <c r="BV168" s="254">
        <f t="shared" si="10"/>
        <v>1151.1300000000001</v>
      </c>
      <c r="BW168" s="254">
        <f t="shared" si="10"/>
        <v>1030</v>
      </c>
      <c r="BX168" s="254">
        <f t="shared" ref="BX168:DC168" si="11">SUM(BX92:BX167)</f>
        <v>955</v>
      </c>
      <c r="BY168" s="254">
        <f t="shared" si="11"/>
        <v>842.5</v>
      </c>
      <c r="BZ168" s="254">
        <f t="shared" si="11"/>
        <v>1105</v>
      </c>
      <c r="CA168" s="254">
        <f t="shared" si="11"/>
        <v>1090</v>
      </c>
      <c r="CB168" s="254">
        <f t="shared" si="11"/>
        <v>1257.5</v>
      </c>
      <c r="CC168" s="254">
        <f t="shared" si="11"/>
        <v>3387</v>
      </c>
      <c r="CD168" s="254">
        <f t="shared" si="11"/>
        <v>1007.5</v>
      </c>
      <c r="CE168" s="254">
        <f t="shared" si="11"/>
        <v>707.5</v>
      </c>
      <c r="CF168" s="254">
        <f t="shared" si="11"/>
        <v>1053.75</v>
      </c>
      <c r="CG168" s="254">
        <f t="shared" si="11"/>
        <v>571.25</v>
      </c>
      <c r="CH168" s="254">
        <f t="shared" si="11"/>
        <v>571.25</v>
      </c>
      <c r="CI168" s="254">
        <f t="shared" si="11"/>
        <v>821.25</v>
      </c>
      <c r="CJ168" s="254">
        <f t="shared" si="11"/>
        <v>571.25</v>
      </c>
      <c r="CK168" s="254">
        <f t="shared" si="11"/>
        <v>283.75</v>
      </c>
      <c r="CL168" s="254">
        <f t="shared" si="11"/>
        <v>533.75</v>
      </c>
      <c r="CM168" s="254">
        <f t="shared" si="11"/>
        <v>586.25</v>
      </c>
      <c r="CN168" s="254">
        <f t="shared" si="11"/>
        <v>0</v>
      </c>
      <c r="CO168" s="254">
        <f t="shared" si="11"/>
        <v>687.5</v>
      </c>
      <c r="CP168" s="254">
        <f t="shared" si="11"/>
        <v>0</v>
      </c>
      <c r="CQ168" s="254">
        <f t="shared" si="11"/>
        <v>0</v>
      </c>
      <c r="CR168" s="254">
        <f t="shared" si="11"/>
        <v>690</v>
      </c>
      <c r="CS168" s="254">
        <f t="shared" si="11"/>
        <v>287.5</v>
      </c>
      <c r="CT168" s="254">
        <f t="shared" si="11"/>
        <v>70</v>
      </c>
      <c r="CU168" s="254">
        <f t="shared" si="11"/>
        <v>0</v>
      </c>
      <c r="CV168" s="254">
        <f t="shared" si="11"/>
        <v>375</v>
      </c>
      <c r="CW168" s="254">
        <f t="shared" si="11"/>
        <v>0</v>
      </c>
      <c r="CX168" s="254">
        <f t="shared" si="11"/>
        <v>75</v>
      </c>
      <c r="CY168" s="254">
        <f t="shared" si="11"/>
        <v>450</v>
      </c>
      <c r="CZ168" s="254">
        <f t="shared" si="11"/>
        <v>75</v>
      </c>
      <c r="DA168" s="254">
        <f t="shared" si="11"/>
        <v>175</v>
      </c>
      <c r="DB168" s="254">
        <f t="shared" si="11"/>
        <v>550</v>
      </c>
      <c r="DC168" s="254">
        <f t="shared" si="11"/>
        <v>175</v>
      </c>
      <c r="DD168" s="254">
        <f t="shared" ref="DD168:EI168" si="12">SUM(DD92:DD167)</f>
        <v>175</v>
      </c>
      <c r="DE168" s="254">
        <f t="shared" si="12"/>
        <v>625</v>
      </c>
      <c r="DF168" s="254">
        <f t="shared" si="12"/>
        <v>250</v>
      </c>
      <c r="DG168" s="254">
        <f t="shared" si="12"/>
        <v>250</v>
      </c>
      <c r="DH168" s="254">
        <f t="shared" si="12"/>
        <v>437.5</v>
      </c>
      <c r="DI168" s="254">
        <f t="shared" si="12"/>
        <v>250</v>
      </c>
      <c r="DJ168" s="254">
        <f t="shared" si="12"/>
        <v>250</v>
      </c>
      <c r="DK168" s="254">
        <f t="shared" si="12"/>
        <v>250</v>
      </c>
      <c r="DL168" s="254">
        <f t="shared" si="12"/>
        <v>250</v>
      </c>
      <c r="DM168" s="254">
        <f t="shared" si="12"/>
        <v>150</v>
      </c>
      <c r="DN168" s="254">
        <f t="shared" si="12"/>
        <v>150</v>
      </c>
      <c r="DO168" s="254">
        <f t="shared" si="12"/>
        <v>150</v>
      </c>
      <c r="DP168" s="254">
        <f t="shared" si="12"/>
        <v>150</v>
      </c>
      <c r="DQ168" s="254">
        <f t="shared" si="12"/>
        <v>0</v>
      </c>
      <c r="DR168" s="254">
        <f t="shared" si="12"/>
        <v>0</v>
      </c>
      <c r="DS168" s="254">
        <f t="shared" si="12"/>
        <v>1200</v>
      </c>
      <c r="DT168" s="254">
        <f t="shared" si="12"/>
        <v>50</v>
      </c>
      <c r="DU168" s="254">
        <f t="shared" si="12"/>
        <v>50</v>
      </c>
      <c r="DV168" s="254">
        <f t="shared" si="12"/>
        <v>50</v>
      </c>
      <c r="DW168" s="254">
        <f t="shared" si="12"/>
        <v>50</v>
      </c>
      <c r="DX168" s="254">
        <f t="shared" si="12"/>
        <v>300</v>
      </c>
      <c r="DY168" s="254">
        <f t="shared" si="12"/>
        <v>50</v>
      </c>
      <c r="DZ168" s="254">
        <f t="shared" si="12"/>
        <v>50</v>
      </c>
      <c r="EA168" s="254">
        <f t="shared" si="12"/>
        <v>300</v>
      </c>
      <c r="EB168" s="254">
        <f t="shared" si="12"/>
        <v>50</v>
      </c>
      <c r="EC168" s="254">
        <f t="shared" si="12"/>
        <v>50</v>
      </c>
      <c r="ED168" s="254">
        <f t="shared" si="12"/>
        <v>300</v>
      </c>
      <c r="EE168" s="254">
        <f t="shared" si="12"/>
        <v>50</v>
      </c>
      <c r="EF168" s="254">
        <f t="shared" si="12"/>
        <v>0</v>
      </c>
      <c r="EG168" s="254">
        <f t="shared" si="12"/>
        <v>250</v>
      </c>
      <c r="EH168" s="254">
        <f t="shared" si="12"/>
        <v>0</v>
      </c>
      <c r="EI168" s="254">
        <f t="shared" si="12"/>
        <v>0</v>
      </c>
      <c r="EJ168" s="254">
        <f t="shared" ref="EJ168:EK168" si="13">SUM(EJ92:EJ167)</f>
        <v>0</v>
      </c>
      <c r="EK168" s="254">
        <f t="shared" si="13"/>
        <v>0</v>
      </c>
    </row>
    <row r="171" spans="4:141" ht="13.15" customHeight="1" x14ac:dyDescent="0.4">
      <c r="F171" s="282" t="s">
        <v>3846</v>
      </c>
      <c r="G171" s="283"/>
      <c r="H171" s="283"/>
      <c r="I171" s="283"/>
      <c r="J171" s="283">
        <f>SUM(V171:AQ171)</f>
        <v>40216.55999999999</v>
      </c>
      <c r="K171" s="283">
        <f t="shared" ref="K171:AP171" si="14">K168+K88</f>
        <v>72181.39999999998</v>
      </c>
      <c r="L171" s="282">
        <f t="shared" si="14"/>
        <v>70255.72</v>
      </c>
      <c r="M171" s="282">
        <f t="shared" si="14"/>
        <v>3770.26</v>
      </c>
      <c r="N171" s="282">
        <f t="shared" si="14"/>
        <v>130.14000000000001</v>
      </c>
      <c r="O171" s="282">
        <f t="shared" si="14"/>
        <v>130.14000000000001</v>
      </c>
      <c r="P171" s="282">
        <f t="shared" si="14"/>
        <v>1688.25</v>
      </c>
      <c r="Q171" s="282">
        <f t="shared" si="14"/>
        <v>232.02</v>
      </c>
      <c r="R171" s="282">
        <f t="shared" si="14"/>
        <v>232.02</v>
      </c>
      <c r="S171" s="282">
        <f t="shared" si="14"/>
        <v>1688.25</v>
      </c>
      <c r="T171" s="282">
        <f t="shared" si="14"/>
        <v>338.27</v>
      </c>
      <c r="U171" s="282">
        <f t="shared" si="14"/>
        <v>270.77</v>
      </c>
      <c r="V171" s="282">
        <f t="shared" si="14"/>
        <v>3979.9900000000002</v>
      </c>
      <c r="W171" s="282">
        <f t="shared" si="14"/>
        <v>1217.27</v>
      </c>
      <c r="X171" s="282">
        <f t="shared" si="14"/>
        <v>2823.0200000000004</v>
      </c>
      <c r="Y171" s="282">
        <f t="shared" si="14"/>
        <v>1556.1999999999998</v>
      </c>
      <c r="Z171" s="282">
        <f t="shared" si="14"/>
        <v>360.13</v>
      </c>
      <c r="AA171" s="282">
        <f t="shared" si="14"/>
        <v>482.13</v>
      </c>
      <c r="AB171" s="282">
        <f t="shared" si="14"/>
        <v>1525.25</v>
      </c>
      <c r="AC171" s="282">
        <f t="shared" si="14"/>
        <v>650.95000000000005</v>
      </c>
      <c r="AD171" s="282">
        <f t="shared" si="14"/>
        <v>571.01</v>
      </c>
      <c r="AE171" s="282">
        <f t="shared" si="14"/>
        <v>933.27</v>
      </c>
      <c r="AF171" s="282">
        <f t="shared" si="14"/>
        <v>593.70000000000005</v>
      </c>
      <c r="AG171" s="282">
        <f t="shared" si="14"/>
        <v>3258.7000000000003</v>
      </c>
      <c r="AH171" s="282">
        <f t="shared" si="14"/>
        <v>1807.01</v>
      </c>
      <c r="AI171" s="282">
        <f t="shared" si="14"/>
        <v>876.76</v>
      </c>
      <c r="AJ171" s="282">
        <f t="shared" si="14"/>
        <v>524.76</v>
      </c>
      <c r="AK171" s="282">
        <f t="shared" si="14"/>
        <v>8033.82</v>
      </c>
      <c r="AL171" s="282">
        <f t="shared" si="14"/>
        <v>4980.38</v>
      </c>
      <c r="AM171" s="282">
        <f t="shared" si="14"/>
        <v>368.13</v>
      </c>
      <c r="AN171" s="282">
        <f t="shared" si="14"/>
        <v>760.19</v>
      </c>
      <c r="AO171" s="282">
        <f t="shared" si="14"/>
        <v>1381.75</v>
      </c>
      <c r="AP171" s="282">
        <f t="shared" si="14"/>
        <v>2229.7600000000002</v>
      </c>
      <c r="AQ171" s="282">
        <f t="shared" ref="AQ171:BV171" si="15">AQ168+AQ88</f>
        <v>1302.3800000000001</v>
      </c>
      <c r="AR171" s="282">
        <f t="shared" si="15"/>
        <v>633.88</v>
      </c>
      <c r="AS171" s="282">
        <f t="shared" si="15"/>
        <v>848.01</v>
      </c>
      <c r="AT171" s="282">
        <f t="shared" si="15"/>
        <v>596.38</v>
      </c>
      <c r="AU171" s="282">
        <f t="shared" si="15"/>
        <v>618.19000000000005</v>
      </c>
      <c r="AV171" s="282">
        <f t="shared" si="15"/>
        <v>2471.8200000000002</v>
      </c>
      <c r="AW171" s="282">
        <f t="shared" si="15"/>
        <v>1061.5900000000001</v>
      </c>
      <c r="AX171" s="282">
        <f t="shared" si="15"/>
        <v>459.31</v>
      </c>
      <c r="AY171" s="282">
        <f t="shared" si="15"/>
        <v>2107.94</v>
      </c>
      <c r="AZ171" s="282">
        <f t="shared" si="15"/>
        <v>539.29999999999995</v>
      </c>
      <c r="BA171" s="282">
        <f t="shared" si="15"/>
        <v>611.78</v>
      </c>
      <c r="BB171" s="282">
        <f t="shared" si="15"/>
        <v>1064.9099999999999</v>
      </c>
      <c r="BC171" s="282">
        <f t="shared" si="15"/>
        <v>752.18000000000006</v>
      </c>
      <c r="BD171" s="282">
        <f t="shared" si="15"/>
        <v>545.6</v>
      </c>
      <c r="BE171" s="282">
        <f t="shared" si="15"/>
        <v>1061.1100000000001</v>
      </c>
      <c r="BF171" s="282">
        <f t="shared" si="15"/>
        <v>552.98</v>
      </c>
      <c r="BG171" s="282">
        <f t="shared" si="15"/>
        <v>212.48</v>
      </c>
      <c r="BH171" s="282">
        <f t="shared" si="15"/>
        <v>675.61</v>
      </c>
      <c r="BI171" s="282">
        <f t="shared" si="15"/>
        <v>347.48</v>
      </c>
      <c r="BJ171" s="282">
        <f t="shared" si="15"/>
        <v>172.48</v>
      </c>
      <c r="BK171" s="282">
        <f t="shared" si="15"/>
        <v>711.76</v>
      </c>
      <c r="BL171" s="282">
        <f t="shared" si="15"/>
        <v>368.63</v>
      </c>
      <c r="BM171" s="282">
        <f t="shared" si="15"/>
        <v>193.63</v>
      </c>
      <c r="BN171" s="282">
        <f t="shared" si="15"/>
        <v>173.63</v>
      </c>
      <c r="BO171" s="282">
        <f t="shared" si="15"/>
        <v>348.63</v>
      </c>
      <c r="BP171" s="282">
        <f t="shared" si="15"/>
        <v>323.63</v>
      </c>
      <c r="BQ171" s="282">
        <f t="shared" si="15"/>
        <v>553.63</v>
      </c>
      <c r="BR171" s="282">
        <f t="shared" si="15"/>
        <v>908.63</v>
      </c>
      <c r="BS171" s="282">
        <f t="shared" si="15"/>
        <v>533.63</v>
      </c>
      <c r="BT171" s="282">
        <f t="shared" si="15"/>
        <v>713.63</v>
      </c>
      <c r="BU171" s="282">
        <f t="shared" si="15"/>
        <v>1088.6300000000001</v>
      </c>
      <c r="BV171" s="282">
        <f t="shared" si="15"/>
        <v>1171.1300000000001</v>
      </c>
      <c r="BW171" s="282">
        <f t="shared" ref="BW171:DB171" si="16">BW168+BW88</f>
        <v>1270</v>
      </c>
      <c r="BX171" s="282">
        <f t="shared" si="16"/>
        <v>1015</v>
      </c>
      <c r="BY171" s="282">
        <f t="shared" si="16"/>
        <v>942.5</v>
      </c>
      <c r="BZ171" s="282">
        <f t="shared" si="16"/>
        <v>1185</v>
      </c>
      <c r="CA171" s="282">
        <f t="shared" si="16"/>
        <v>1150</v>
      </c>
      <c r="CB171" s="282">
        <f t="shared" si="16"/>
        <v>1337.5</v>
      </c>
      <c r="CC171" s="282">
        <f t="shared" si="16"/>
        <v>3447</v>
      </c>
      <c r="CD171" s="282">
        <f t="shared" si="16"/>
        <v>1067.5</v>
      </c>
      <c r="CE171" s="282">
        <f t="shared" si="16"/>
        <v>767.5</v>
      </c>
      <c r="CF171" s="282">
        <f t="shared" si="16"/>
        <v>1113.75</v>
      </c>
      <c r="CG171" s="282">
        <f t="shared" si="16"/>
        <v>611.25</v>
      </c>
      <c r="CH171" s="282">
        <f t="shared" si="16"/>
        <v>631.25</v>
      </c>
      <c r="CI171" s="282">
        <f t="shared" si="16"/>
        <v>861.25</v>
      </c>
      <c r="CJ171" s="282">
        <f t="shared" si="16"/>
        <v>611.25</v>
      </c>
      <c r="CK171" s="282">
        <f t="shared" si="16"/>
        <v>383.75</v>
      </c>
      <c r="CL171" s="282">
        <f t="shared" si="16"/>
        <v>593.75</v>
      </c>
      <c r="CM171" s="282">
        <f t="shared" si="16"/>
        <v>646.25</v>
      </c>
      <c r="CN171" s="282">
        <f t="shared" si="16"/>
        <v>60</v>
      </c>
      <c r="CO171" s="282">
        <f t="shared" si="16"/>
        <v>727.5</v>
      </c>
      <c r="CP171" s="282">
        <f t="shared" si="16"/>
        <v>40</v>
      </c>
      <c r="CQ171" s="282">
        <f t="shared" si="16"/>
        <v>60</v>
      </c>
      <c r="CR171" s="282">
        <f t="shared" si="16"/>
        <v>770</v>
      </c>
      <c r="CS171" s="282">
        <f t="shared" si="16"/>
        <v>367.5</v>
      </c>
      <c r="CT171" s="282">
        <f t="shared" si="16"/>
        <v>150</v>
      </c>
      <c r="CU171" s="282">
        <f t="shared" si="16"/>
        <v>80</v>
      </c>
      <c r="CV171" s="282">
        <f t="shared" si="16"/>
        <v>455</v>
      </c>
      <c r="CW171" s="282">
        <f t="shared" si="16"/>
        <v>80</v>
      </c>
      <c r="CX171" s="282">
        <f t="shared" si="16"/>
        <v>155</v>
      </c>
      <c r="CY171" s="282">
        <f t="shared" si="16"/>
        <v>570</v>
      </c>
      <c r="CZ171" s="282">
        <f t="shared" si="16"/>
        <v>195</v>
      </c>
      <c r="DA171" s="282">
        <f t="shared" si="16"/>
        <v>235</v>
      </c>
      <c r="DB171" s="282">
        <f t="shared" si="16"/>
        <v>590</v>
      </c>
      <c r="DC171" s="282">
        <f t="shared" ref="DC171:EK171" si="17">DC168+DC88</f>
        <v>215</v>
      </c>
      <c r="DD171" s="282">
        <f t="shared" si="17"/>
        <v>275</v>
      </c>
      <c r="DE171" s="282">
        <f t="shared" si="17"/>
        <v>725</v>
      </c>
      <c r="DF171" s="282">
        <f t="shared" si="17"/>
        <v>370</v>
      </c>
      <c r="DG171" s="282">
        <f t="shared" si="17"/>
        <v>350</v>
      </c>
      <c r="DH171" s="282">
        <f t="shared" si="17"/>
        <v>497.5</v>
      </c>
      <c r="DI171" s="282">
        <f t="shared" si="17"/>
        <v>330</v>
      </c>
      <c r="DJ171" s="282">
        <f t="shared" si="17"/>
        <v>310</v>
      </c>
      <c r="DK171" s="282">
        <f t="shared" si="17"/>
        <v>310</v>
      </c>
      <c r="DL171" s="282">
        <f t="shared" si="17"/>
        <v>250</v>
      </c>
      <c r="DM171" s="282">
        <f t="shared" si="17"/>
        <v>150</v>
      </c>
      <c r="DN171" s="282">
        <f t="shared" si="17"/>
        <v>150</v>
      </c>
      <c r="DO171" s="282">
        <f t="shared" si="17"/>
        <v>150</v>
      </c>
      <c r="DP171" s="282">
        <f t="shared" si="17"/>
        <v>150</v>
      </c>
      <c r="DQ171" s="282">
        <f t="shared" si="17"/>
        <v>0</v>
      </c>
      <c r="DR171" s="282">
        <f t="shared" si="17"/>
        <v>0</v>
      </c>
      <c r="DS171" s="282">
        <f t="shared" si="17"/>
        <v>1200</v>
      </c>
      <c r="DT171" s="282">
        <f t="shared" si="17"/>
        <v>50</v>
      </c>
      <c r="DU171" s="282">
        <f t="shared" si="17"/>
        <v>50</v>
      </c>
      <c r="DV171" s="282">
        <f t="shared" si="17"/>
        <v>50</v>
      </c>
      <c r="DW171" s="282">
        <f t="shared" si="17"/>
        <v>50</v>
      </c>
      <c r="DX171" s="282">
        <f t="shared" si="17"/>
        <v>300</v>
      </c>
      <c r="DY171" s="282">
        <f t="shared" si="17"/>
        <v>50</v>
      </c>
      <c r="DZ171" s="282">
        <f t="shared" si="17"/>
        <v>50</v>
      </c>
      <c r="EA171" s="282">
        <f t="shared" si="17"/>
        <v>300</v>
      </c>
      <c r="EB171" s="282">
        <f t="shared" si="17"/>
        <v>50</v>
      </c>
      <c r="EC171" s="282">
        <f t="shared" si="17"/>
        <v>50</v>
      </c>
      <c r="ED171" s="282">
        <f t="shared" si="17"/>
        <v>300</v>
      </c>
      <c r="EE171" s="282">
        <f t="shared" si="17"/>
        <v>50</v>
      </c>
      <c r="EF171" s="282">
        <f t="shared" si="17"/>
        <v>0</v>
      </c>
      <c r="EG171" s="282">
        <f t="shared" si="17"/>
        <v>250</v>
      </c>
      <c r="EH171" s="282">
        <f t="shared" si="17"/>
        <v>0</v>
      </c>
      <c r="EI171" s="282">
        <f t="shared" si="17"/>
        <v>0</v>
      </c>
      <c r="EJ171" s="282">
        <f t="shared" si="17"/>
        <v>0</v>
      </c>
      <c r="EK171" s="282">
        <f t="shared" si="17"/>
        <v>0</v>
      </c>
    </row>
    <row r="172" spans="4:141" ht="13.15" customHeight="1" x14ac:dyDescent="0.4">
      <c r="F172" s="254"/>
      <c r="V172" s="254"/>
      <c r="W172" s="254"/>
      <c r="X172" s="254"/>
      <c r="Y172" s="254"/>
      <c r="Z172" s="254"/>
      <c r="AA172" s="254"/>
      <c r="AB172" s="254"/>
      <c r="AC172" s="254"/>
      <c r="AD172" s="254"/>
      <c r="AE172" s="254"/>
      <c r="AF172" s="254"/>
      <c r="AG172" s="254"/>
      <c r="AH172" s="254"/>
      <c r="AI172" s="254"/>
      <c r="AJ172" s="254"/>
      <c r="AK172" s="254"/>
    </row>
    <row r="173" spans="4:141" ht="13.15" customHeight="1" x14ac:dyDescent="0.4">
      <c r="F173" s="254" t="s">
        <v>4275</v>
      </c>
      <c r="J173" s="253">
        <f>Workshops!J590+'Master Classes'!H115</f>
        <v>13243</v>
      </c>
      <c r="V173" s="254"/>
      <c r="W173" s="254"/>
      <c r="X173" s="254"/>
      <c r="Y173" s="254"/>
      <c r="Z173" s="254"/>
      <c r="AA173" s="254"/>
      <c r="AB173" s="254"/>
      <c r="AC173" s="254"/>
      <c r="AD173" s="254"/>
      <c r="AE173" s="254"/>
      <c r="AF173" s="254"/>
      <c r="AG173" s="254"/>
      <c r="AH173" s="254"/>
      <c r="AI173" s="254"/>
      <c r="AJ173" s="254"/>
      <c r="AK173" s="254"/>
      <c r="AL173" s="254"/>
      <c r="AM173" s="254"/>
      <c r="AN173" s="254"/>
      <c r="AO173" s="254"/>
      <c r="AP173" s="254"/>
      <c r="AQ173" s="254"/>
      <c r="AR173" s="254"/>
      <c r="AS173" s="254"/>
      <c r="AT173" s="254"/>
      <c r="AU173" s="254"/>
      <c r="AV173" s="254"/>
      <c r="AW173" s="254"/>
      <c r="AX173" s="254"/>
      <c r="AY173" s="254"/>
      <c r="AZ173" s="254"/>
    </row>
    <row r="174" spans="4:141" ht="13.15" customHeight="1" x14ac:dyDescent="0.4">
      <c r="F174" s="254" t="s">
        <v>4276</v>
      </c>
      <c r="V174" s="254"/>
      <c r="W174" s="254"/>
      <c r="X174" s="254"/>
      <c r="Y174" s="254"/>
      <c r="Z174" s="254"/>
      <c r="AA174" s="254"/>
      <c r="AB174" s="254"/>
      <c r="AC174" s="254"/>
      <c r="AD174" s="254"/>
      <c r="AE174" s="254"/>
      <c r="AF174" s="254"/>
      <c r="AG174" s="254"/>
      <c r="AH174" s="254"/>
      <c r="AI174" s="254"/>
      <c r="AJ174" s="254"/>
      <c r="AK174" s="254"/>
      <c r="AL174" s="254"/>
      <c r="AM174" s="254"/>
      <c r="AN174" s="254"/>
      <c r="AO174" s="254"/>
      <c r="AP174" s="254"/>
      <c r="AQ174" s="254"/>
      <c r="AR174" s="254"/>
      <c r="AS174" s="254"/>
      <c r="AT174" s="254"/>
      <c r="AU174" s="254"/>
      <c r="AV174" s="254"/>
      <c r="AW174" s="254"/>
      <c r="AX174" s="254"/>
      <c r="AY174" s="254"/>
      <c r="AZ174" s="254"/>
    </row>
    <row r="175" spans="4:141" ht="13.15" customHeight="1" x14ac:dyDescent="0.4">
      <c r="F175" s="254" t="s">
        <v>4277</v>
      </c>
      <c r="J175" s="253">
        <f>'1-2-1''s'!E165</f>
        <v>0</v>
      </c>
      <c r="V175" s="254"/>
      <c r="W175" s="254"/>
      <c r="X175" s="254"/>
      <c r="Y175" s="254"/>
      <c r="Z175" s="254"/>
      <c r="AA175" s="254"/>
      <c r="AB175" s="254"/>
      <c r="AC175" s="254"/>
      <c r="AD175" s="254"/>
      <c r="AE175" s="254"/>
      <c r="AF175" s="254"/>
      <c r="AG175" s="254"/>
      <c r="AH175" s="254"/>
      <c r="AI175" s="254"/>
      <c r="AJ175" s="254"/>
      <c r="AK175" s="254"/>
      <c r="AL175" s="254"/>
      <c r="AM175" s="254"/>
      <c r="AN175" s="254"/>
      <c r="AO175" s="254"/>
      <c r="AP175" s="254"/>
      <c r="AQ175" s="254"/>
      <c r="AR175" s="254"/>
      <c r="AS175" s="254"/>
      <c r="AT175" s="254"/>
      <c r="AU175" s="254"/>
      <c r="AV175" s="254"/>
      <c r="AW175" s="254"/>
      <c r="AX175" s="254"/>
      <c r="AY175" s="254"/>
      <c r="AZ175" s="254"/>
    </row>
    <row r="176" spans="4:141" ht="13.15" customHeight="1" x14ac:dyDescent="0.4">
      <c r="F176" s="254" t="s">
        <v>4278</v>
      </c>
      <c r="J176" s="253" t="e">
        <f ca="1">SUM(Z176:BA176)</f>
        <v>#NAME?</v>
      </c>
      <c r="V176" s="254"/>
      <c r="W176" s="254"/>
      <c r="X176" s="254"/>
      <c r="Y176" s="254"/>
      <c r="Z176" s="254"/>
      <c r="AA176" s="254"/>
      <c r="AB176" s="254"/>
      <c r="AC176" s="284" t="e">
        <f t="shared" ref="AC176:AJ176" ca="1" si="18">SumByColor(Z167, AC92:AC167)</f>
        <v>#NAME?</v>
      </c>
      <c r="AD176" s="284" t="e">
        <f t="shared" ca="1" si="18"/>
        <v>#NAME?</v>
      </c>
      <c r="AE176" s="284" t="e">
        <f t="shared" ca="1" si="18"/>
        <v>#NAME?</v>
      </c>
      <c r="AF176" s="284" t="e">
        <f t="shared" ca="1" si="18"/>
        <v>#NAME?</v>
      </c>
      <c r="AG176" s="284" t="e">
        <f t="shared" ca="1" si="18"/>
        <v>#NAME?</v>
      </c>
      <c r="AH176" s="284" t="e">
        <f t="shared" ca="1" si="18"/>
        <v>#NAME?</v>
      </c>
      <c r="AI176" s="284" t="e">
        <f t="shared" ca="1" si="18"/>
        <v>#NAME?</v>
      </c>
      <c r="AJ176" s="284" t="e">
        <f t="shared" ca="1" si="18"/>
        <v>#NAME?</v>
      </c>
      <c r="AK176" s="284" t="e">
        <f t="shared" ref="AK176:BP176" ca="1" si="19">SumByColor(AH167, AK91:AK167)</f>
        <v>#NAME?</v>
      </c>
      <c r="AL176" s="284" t="e">
        <f t="shared" ca="1" si="19"/>
        <v>#NAME?</v>
      </c>
      <c r="AM176" s="284" t="e">
        <f t="shared" ca="1" si="19"/>
        <v>#NAME?</v>
      </c>
      <c r="AN176" s="284" t="e">
        <f t="shared" ca="1" si="19"/>
        <v>#NAME?</v>
      </c>
      <c r="AO176" s="284" t="e">
        <f t="shared" ca="1" si="19"/>
        <v>#NAME?</v>
      </c>
      <c r="AP176" s="284" t="e">
        <f t="shared" ca="1" si="19"/>
        <v>#NAME?</v>
      </c>
      <c r="AQ176" s="284" t="e">
        <f t="shared" ca="1" si="19"/>
        <v>#NAME?</v>
      </c>
      <c r="AR176" s="284" t="e">
        <f t="shared" ca="1" si="19"/>
        <v>#NAME?</v>
      </c>
      <c r="AS176" s="284" t="e">
        <f t="shared" ca="1" si="19"/>
        <v>#NAME?</v>
      </c>
      <c r="AT176" s="284" t="e">
        <f t="shared" ca="1" si="19"/>
        <v>#NAME?</v>
      </c>
      <c r="AU176" s="284" t="e">
        <f t="shared" ca="1" si="19"/>
        <v>#NAME?</v>
      </c>
      <c r="AV176" s="284" t="e">
        <f t="shared" ca="1" si="19"/>
        <v>#NAME?</v>
      </c>
      <c r="AW176" s="284" t="e">
        <f t="shared" ca="1" si="19"/>
        <v>#NAME?</v>
      </c>
      <c r="AX176" s="284" t="e">
        <f t="shared" ca="1" si="19"/>
        <v>#NAME?</v>
      </c>
      <c r="AY176" s="284" t="e">
        <f t="shared" ca="1" si="19"/>
        <v>#NAME?</v>
      </c>
      <c r="AZ176" s="284" t="e">
        <f t="shared" ca="1" si="19"/>
        <v>#NAME?</v>
      </c>
      <c r="BA176" s="284" t="e">
        <f t="shared" ca="1" si="19"/>
        <v>#NAME?</v>
      </c>
      <c r="BB176" s="284" t="e">
        <f t="shared" ca="1" si="19"/>
        <v>#NAME?</v>
      </c>
      <c r="BC176" s="284" t="e">
        <f t="shared" ca="1" si="19"/>
        <v>#NAME?</v>
      </c>
      <c r="BD176" s="284" t="e">
        <f t="shared" ca="1" si="19"/>
        <v>#NAME?</v>
      </c>
      <c r="BE176" s="284" t="e">
        <f t="shared" ca="1" si="19"/>
        <v>#NAME?</v>
      </c>
      <c r="BF176" s="284" t="e">
        <f t="shared" ca="1" si="19"/>
        <v>#NAME?</v>
      </c>
      <c r="BG176" s="284" t="e">
        <f t="shared" ca="1" si="19"/>
        <v>#NAME?</v>
      </c>
      <c r="BH176" s="284" t="e">
        <f t="shared" ca="1" si="19"/>
        <v>#NAME?</v>
      </c>
      <c r="BI176" s="284" t="e">
        <f t="shared" ca="1" si="19"/>
        <v>#NAME?</v>
      </c>
      <c r="BJ176" s="284" t="e">
        <f t="shared" ca="1" si="19"/>
        <v>#NAME?</v>
      </c>
      <c r="BK176" s="284" t="e">
        <f t="shared" ca="1" si="19"/>
        <v>#NAME?</v>
      </c>
      <c r="BL176" s="284" t="e">
        <f t="shared" ca="1" si="19"/>
        <v>#NAME?</v>
      </c>
      <c r="BM176" s="284" t="e">
        <f t="shared" ca="1" si="19"/>
        <v>#NAME?</v>
      </c>
      <c r="BN176" s="284" t="e">
        <f t="shared" ca="1" si="19"/>
        <v>#NAME?</v>
      </c>
      <c r="BO176" s="284" t="e">
        <f t="shared" ca="1" si="19"/>
        <v>#NAME?</v>
      </c>
      <c r="BP176" s="284" t="e">
        <f t="shared" ca="1" si="19"/>
        <v>#NAME?</v>
      </c>
      <c r="BQ176" s="284" t="e">
        <f t="shared" ref="BQ176:CV176" ca="1" si="20">SumByColor(BN167, BQ91:BQ167)</f>
        <v>#NAME?</v>
      </c>
      <c r="BR176" s="284" t="e">
        <f t="shared" ca="1" si="20"/>
        <v>#NAME?</v>
      </c>
      <c r="BS176" s="284" t="e">
        <f t="shared" ca="1" si="20"/>
        <v>#NAME?</v>
      </c>
      <c r="BT176" s="284" t="e">
        <f t="shared" ca="1" si="20"/>
        <v>#NAME?</v>
      </c>
      <c r="BU176" s="284" t="e">
        <f t="shared" ca="1" si="20"/>
        <v>#NAME?</v>
      </c>
      <c r="BV176" s="284" t="e">
        <f t="shared" ca="1" si="20"/>
        <v>#NAME?</v>
      </c>
      <c r="BW176" s="284" t="e">
        <f t="shared" ca="1" si="20"/>
        <v>#NAME?</v>
      </c>
      <c r="BX176" s="284" t="e">
        <f t="shared" ca="1" si="20"/>
        <v>#NAME?</v>
      </c>
      <c r="BY176" s="284" t="e">
        <f t="shared" ca="1" si="20"/>
        <v>#NAME?</v>
      </c>
      <c r="BZ176" s="284" t="e">
        <f t="shared" ca="1" si="20"/>
        <v>#NAME?</v>
      </c>
      <c r="CA176" s="284" t="e">
        <f t="shared" ca="1" si="20"/>
        <v>#NAME?</v>
      </c>
      <c r="CB176" s="284" t="e">
        <f t="shared" ca="1" si="20"/>
        <v>#NAME?</v>
      </c>
      <c r="CC176" s="284" t="e">
        <f t="shared" ca="1" si="20"/>
        <v>#NAME?</v>
      </c>
      <c r="CD176" s="284" t="e">
        <f t="shared" ca="1" si="20"/>
        <v>#NAME?</v>
      </c>
      <c r="CE176" s="284" t="e">
        <f t="shared" ca="1" si="20"/>
        <v>#NAME?</v>
      </c>
      <c r="CF176" s="284" t="e">
        <f t="shared" ca="1" si="20"/>
        <v>#NAME?</v>
      </c>
      <c r="CG176" s="284" t="e">
        <f t="shared" ca="1" si="20"/>
        <v>#NAME?</v>
      </c>
      <c r="CH176" s="284" t="e">
        <f t="shared" ca="1" si="20"/>
        <v>#NAME?</v>
      </c>
      <c r="CI176" s="284" t="e">
        <f t="shared" ca="1" si="20"/>
        <v>#NAME?</v>
      </c>
      <c r="CJ176" s="284" t="e">
        <f t="shared" ca="1" si="20"/>
        <v>#NAME?</v>
      </c>
      <c r="CK176" s="284" t="e">
        <f t="shared" ca="1" si="20"/>
        <v>#NAME?</v>
      </c>
      <c r="CL176" s="284" t="e">
        <f t="shared" ca="1" si="20"/>
        <v>#NAME?</v>
      </c>
      <c r="CM176" s="284" t="e">
        <f t="shared" ca="1" si="20"/>
        <v>#NAME?</v>
      </c>
      <c r="CN176" s="284" t="e">
        <f t="shared" ca="1" si="20"/>
        <v>#NAME?</v>
      </c>
      <c r="CO176" s="284" t="e">
        <f t="shared" ca="1" si="20"/>
        <v>#NAME?</v>
      </c>
      <c r="CP176" s="284" t="e">
        <f t="shared" ca="1" si="20"/>
        <v>#NAME?</v>
      </c>
      <c r="CQ176" s="284" t="e">
        <f t="shared" ca="1" si="20"/>
        <v>#NAME?</v>
      </c>
      <c r="CR176" s="284" t="e">
        <f t="shared" ca="1" si="20"/>
        <v>#NAME?</v>
      </c>
      <c r="CS176" s="284" t="e">
        <f t="shared" ca="1" si="20"/>
        <v>#NAME?</v>
      </c>
      <c r="CT176" s="284" t="e">
        <f t="shared" ca="1" si="20"/>
        <v>#NAME?</v>
      </c>
      <c r="CU176" s="284" t="e">
        <f t="shared" ca="1" si="20"/>
        <v>#NAME?</v>
      </c>
      <c r="CV176" s="284" t="e">
        <f t="shared" ca="1" si="20"/>
        <v>#NAME?</v>
      </c>
      <c r="CW176" s="284" t="e">
        <f t="shared" ref="CW176:DV176" ca="1" si="21">SumByColor(CT167, CW91:CW167)</f>
        <v>#NAME?</v>
      </c>
      <c r="CX176" s="284" t="e">
        <f t="shared" ca="1" si="21"/>
        <v>#NAME?</v>
      </c>
      <c r="CY176" s="284" t="e">
        <f t="shared" ca="1" si="21"/>
        <v>#NAME?</v>
      </c>
      <c r="CZ176" s="284" t="e">
        <f t="shared" ca="1" si="21"/>
        <v>#NAME?</v>
      </c>
      <c r="DA176" s="284" t="e">
        <f t="shared" ca="1" si="21"/>
        <v>#NAME?</v>
      </c>
      <c r="DB176" s="284" t="e">
        <f t="shared" ca="1" si="21"/>
        <v>#NAME?</v>
      </c>
      <c r="DC176" s="284" t="e">
        <f t="shared" ca="1" si="21"/>
        <v>#NAME?</v>
      </c>
      <c r="DD176" s="284" t="e">
        <f t="shared" ca="1" si="21"/>
        <v>#NAME?</v>
      </c>
      <c r="DE176" s="284" t="e">
        <f t="shared" ca="1" si="21"/>
        <v>#NAME?</v>
      </c>
      <c r="DF176" s="284" t="e">
        <f t="shared" ca="1" si="21"/>
        <v>#NAME?</v>
      </c>
      <c r="DG176" s="284" t="e">
        <f t="shared" ca="1" si="21"/>
        <v>#NAME?</v>
      </c>
      <c r="DH176" s="284" t="e">
        <f t="shared" ca="1" si="21"/>
        <v>#NAME?</v>
      </c>
      <c r="DI176" s="284" t="e">
        <f t="shared" ca="1" si="21"/>
        <v>#NAME?</v>
      </c>
      <c r="DJ176" s="284" t="e">
        <f t="shared" ca="1" si="21"/>
        <v>#NAME?</v>
      </c>
      <c r="DK176" s="284" t="e">
        <f t="shared" ca="1" si="21"/>
        <v>#NAME?</v>
      </c>
      <c r="DL176" s="284" t="e">
        <f t="shared" ca="1" si="21"/>
        <v>#NAME?</v>
      </c>
      <c r="DM176" s="284" t="e">
        <f t="shared" ca="1" si="21"/>
        <v>#NAME?</v>
      </c>
      <c r="DN176" s="284" t="e">
        <f t="shared" ca="1" si="21"/>
        <v>#NAME?</v>
      </c>
      <c r="DO176" s="284" t="e">
        <f t="shared" ca="1" si="21"/>
        <v>#NAME?</v>
      </c>
      <c r="DP176" s="284" t="e">
        <f t="shared" ca="1" si="21"/>
        <v>#NAME?</v>
      </c>
      <c r="DQ176" s="284" t="e">
        <f t="shared" ca="1" si="21"/>
        <v>#NAME?</v>
      </c>
      <c r="DR176" s="284" t="e">
        <f t="shared" ca="1" si="21"/>
        <v>#NAME?</v>
      </c>
      <c r="DS176" s="284" t="e">
        <f t="shared" ca="1" si="21"/>
        <v>#NAME?</v>
      </c>
      <c r="DT176" s="284" t="e">
        <f t="shared" ca="1" si="21"/>
        <v>#NAME?</v>
      </c>
      <c r="DU176" s="284" t="e">
        <f t="shared" ca="1" si="21"/>
        <v>#NAME?</v>
      </c>
      <c r="DV176" s="284" t="e">
        <f t="shared" ca="1" si="21"/>
        <v>#NAME?</v>
      </c>
    </row>
    <row r="177" spans="1:126" ht="13.15" customHeight="1" x14ac:dyDescent="0.4">
      <c r="F177" s="254" t="s">
        <v>4279</v>
      </c>
      <c r="J177" s="253" t="e">
        <f ca="1">SUM(Z177:AZ177)</f>
        <v>#NAME?</v>
      </c>
      <c r="V177" s="254"/>
      <c r="W177" s="254"/>
      <c r="X177" s="254"/>
      <c r="Y177" s="254"/>
      <c r="Z177" s="254"/>
      <c r="AA177" s="254"/>
      <c r="AB177" s="254"/>
      <c r="AC177" s="284" t="e">
        <f ca="1">SumByColor(Z169, AC5:AC23)</f>
        <v>#NAME?</v>
      </c>
      <c r="AD177" s="284" t="e">
        <f ca="1">SumByColor(AA169, AD6:AD27)</f>
        <v>#NAME?</v>
      </c>
      <c r="AE177" s="284" t="e">
        <f t="shared" ref="AE177:AT177" ca="1" si="22">SumByColor(AB169, AE6:AE82)</f>
        <v>#NAME?</v>
      </c>
      <c r="AF177" s="284" t="e">
        <f t="shared" ca="1" si="22"/>
        <v>#NAME?</v>
      </c>
      <c r="AG177" s="284" t="e">
        <f t="shared" ca="1" si="22"/>
        <v>#NAME?</v>
      </c>
      <c r="AH177" s="284" t="e">
        <f t="shared" ca="1" si="22"/>
        <v>#NAME?</v>
      </c>
      <c r="AI177" s="284" t="e">
        <f t="shared" ca="1" si="22"/>
        <v>#NAME?</v>
      </c>
      <c r="AJ177" s="284" t="e">
        <f t="shared" ca="1" si="22"/>
        <v>#NAME?</v>
      </c>
      <c r="AK177" s="284" t="e">
        <f t="shared" ca="1" si="22"/>
        <v>#NAME?</v>
      </c>
      <c r="AL177" s="284" t="e">
        <f t="shared" ca="1" si="22"/>
        <v>#NAME?</v>
      </c>
      <c r="AM177" s="284" t="e">
        <f t="shared" ca="1" si="22"/>
        <v>#NAME?</v>
      </c>
      <c r="AN177" s="284" t="e">
        <f t="shared" ca="1" si="22"/>
        <v>#NAME?</v>
      </c>
      <c r="AO177" s="284" t="e">
        <f t="shared" ca="1" si="22"/>
        <v>#NAME?</v>
      </c>
      <c r="AP177" s="284" t="e">
        <f t="shared" ca="1" si="22"/>
        <v>#NAME?</v>
      </c>
      <c r="AQ177" s="284" t="e">
        <f t="shared" ca="1" si="22"/>
        <v>#NAME?</v>
      </c>
      <c r="AR177" s="284" t="e">
        <f t="shared" ca="1" si="22"/>
        <v>#NAME?</v>
      </c>
      <c r="AS177" s="284" t="e">
        <f t="shared" ca="1" si="22"/>
        <v>#NAME?</v>
      </c>
      <c r="AT177" s="284" t="e">
        <f t="shared" ca="1" si="22"/>
        <v>#NAME?</v>
      </c>
      <c r="AU177" s="284" t="e">
        <f t="shared" ref="AU177:BZ177" ca="1" si="23">SumByColor(AR169, AU6:AU87)</f>
        <v>#NAME?</v>
      </c>
      <c r="AV177" s="284" t="e">
        <f t="shared" ca="1" si="23"/>
        <v>#NAME?</v>
      </c>
      <c r="AW177" s="284" t="e">
        <f t="shared" ca="1" si="23"/>
        <v>#NAME?</v>
      </c>
      <c r="AX177" s="284" t="e">
        <f t="shared" ca="1" si="23"/>
        <v>#NAME?</v>
      </c>
      <c r="AY177" s="284" t="e">
        <f t="shared" ca="1" si="23"/>
        <v>#NAME?</v>
      </c>
      <c r="AZ177" s="284" t="e">
        <f t="shared" ca="1" si="23"/>
        <v>#NAME?</v>
      </c>
      <c r="BA177" s="284" t="e">
        <f t="shared" ca="1" si="23"/>
        <v>#NAME?</v>
      </c>
      <c r="BB177" s="284" t="e">
        <f t="shared" ca="1" si="23"/>
        <v>#NAME?</v>
      </c>
      <c r="BC177" s="284" t="e">
        <f t="shared" ca="1" si="23"/>
        <v>#NAME?</v>
      </c>
      <c r="BD177" s="284" t="e">
        <f t="shared" ca="1" si="23"/>
        <v>#NAME?</v>
      </c>
      <c r="BE177" s="284" t="e">
        <f t="shared" ca="1" si="23"/>
        <v>#NAME?</v>
      </c>
      <c r="BF177" s="284" t="e">
        <f t="shared" ca="1" si="23"/>
        <v>#NAME?</v>
      </c>
      <c r="BG177" s="284" t="e">
        <f t="shared" ca="1" si="23"/>
        <v>#NAME?</v>
      </c>
      <c r="BH177" s="284" t="e">
        <f t="shared" ca="1" si="23"/>
        <v>#NAME?</v>
      </c>
      <c r="BI177" s="284" t="e">
        <f t="shared" ca="1" si="23"/>
        <v>#NAME?</v>
      </c>
      <c r="BJ177" s="284" t="e">
        <f t="shared" ca="1" si="23"/>
        <v>#NAME?</v>
      </c>
      <c r="BK177" s="284" t="e">
        <f t="shared" ca="1" si="23"/>
        <v>#NAME?</v>
      </c>
      <c r="BL177" s="284" t="e">
        <f t="shared" ca="1" si="23"/>
        <v>#NAME?</v>
      </c>
      <c r="BM177" s="284" t="e">
        <f t="shared" ca="1" si="23"/>
        <v>#NAME?</v>
      </c>
      <c r="BN177" s="284" t="e">
        <f t="shared" ca="1" si="23"/>
        <v>#NAME?</v>
      </c>
      <c r="BO177" s="284" t="e">
        <f t="shared" ca="1" si="23"/>
        <v>#NAME?</v>
      </c>
      <c r="BP177" s="284" t="e">
        <f t="shared" ca="1" si="23"/>
        <v>#NAME?</v>
      </c>
      <c r="BQ177" s="284" t="e">
        <f t="shared" ca="1" si="23"/>
        <v>#NAME?</v>
      </c>
      <c r="BR177" s="284" t="e">
        <f t="shared" ca="1" si="23"/>
        <v>#NAME?</v>
      </c>
      <c r="BS177" s="284" t="e">
        <f t="shared" ca="1" si="23"/>
        <v>#NAME?</v>
      </c>
      <c r="BT177" s="284" t="e">
        <f t="shared" ca="1" si="23"/>
        <v>#NAME?</v>
      </c>
      <c r="BU177" s="284" t="e">
        <f t="shared" ca="1" si="23"/>
        <v>#NAME?</v>
      </c>
      <c r="BV177" s="284" t="e">
        <f t="shared" ca="1" si="23"/>
        <v>#NAME?</v>
      </c>
      <c r="BW177" s="284" t="e">
        <f t="shared" ca="1" si="23"/>
        <v>#NAME?</v>
      </c>
      <c r="BX177" s="284" t="e">
        <f t="shared" ca="1" si="23"/>
        <v>#NAME?</v>
      </c>
      <c r="BY177" s="284" t="e">
        <f t="shared" ca="1" si="23"/>
        <v>#NAME?</v>
      </c>
      <c r="BZ177" s="284" t="e">
        <f t="shared" ca="1" si="23"/>
        <v>#NAME?</v>
      </c>
      <c r="CA177" s="284" t="e">
        <f t="shared" ref="CA177:DF177" ca="1" si="24">SumByColor(BX169, CA6:CA87)</f>
        <v>#NAME?</v>
      </c>
      <c r="CB177" s="284" t="e">
        <f t="shared" ca="1" si="24"/>
        <v>#NAME?</v>
      </c>
      <c r="CC177" s="284" t="e">
        <f t="shared" ca="1" si="24"/>
        <v>#NAME?</v>
      </c>
      <c r="CD177" s="284" t="e">
        <f t="shared" ca="1" si="24"/>
        <v>#NAME?</v>
      </c>
      <c r="CE177" s="284" t="e">
        <f t="shared" ca="1" si="24"/>
        <v>#NAME?</v>
      </c>
      <c r="CF177" s="284" t="e">
        <f t="shared" ca="1" si="24"/>
        <v>#NAME?</v>
      </c>
      <c r="CG177" s="284" t="e">
        <f t="shared" ca="1" si="24"/>
        <v>#NAME?</v>
      </c>
      <c r="CH177" s="284" t="e">
        <f t="shared" ca="1" si="24"/>
        <v>#NAME?</v>
      </c>
      <c r="CI177" s="284" t="e">
        <f t="shared" ca="1" si="24"/>
        <v>#NAME?</v>
      </c>
      <c r="CJ177" s="284" t="e">
        <f t="shared" ca="1" si="24"/>
        <v>#NAME?</v>
      </c>
      <c r="CK177" s="284" t="e">
        <f t="shared" ca="1" si="24"/>
        <v>#NAME?</v>
      </c>
      <c r="CL177" s="284" t="e">
        <f t="shared" ca="1" si="24"/>
        <v>#NAME?</v>
      </c>
      <c r="CM177" s="284" t="e">
        <f t="shared" ca="1" si="24"/>
        <v>#NAME?</v>
      </c>
      <c r="CN177" s="284" t="e">
        <f t="shared" ca="1" si="24"/>
        <v>#NAME?</v>
      </c>
      <c r="CO177" s="284" t="e">
        <f t="shared" ca="1" si="24"/>
        <v>#NAME?</v>
      </c>
      <c r="CP177" s="284" t="e">
        <f t="shared" ca="1" si="24"/>
        <v>#NAME?</v>
      </c>
      <c r="CQ177" s="284" t="e">
        <f t="shared" ca="1" si="24"/>
        <v>#NAME?</v>
      </c>
      <c r="CR177" s="284" t="e">
        <f t="shared" ca="1" si="24"/>
        <v>#NAME?</v>
      </c>
      <c r="CS177" s="284" t="e">
        <f t="shared" ca="1" si="24"/>
        <v>#NAME?</v>
      </c>
      <c r="CT177" s="284" t="e">
        <f t="shared" ca="1" si="24"/>
        <v>#NAME?</v>
      </c>
      <c r="CU177" s="284" t="e">
        <f t="shared" ca="1" si="24"/>
        <v>#NAME?</v>
      </c>
      <c r="CV177" s="284" t="e">
        <f t="shared" ca="1" si="24"/>
        <v>#NAME?</v>
      </c>
      <c r="CW177" s="284" t="e">
        <f t="shared" ca="1" si="24"/>
        <v>#NAME?</v>
      </c>
      <c r="CX177" s="284" t="e">
        <f t="shared" ca="1" si="24"/>
        <v>#NAME?</v>
      </c>
      <c r="CY177" s="284" t="e">
        <f t="shared" ca="1" si="24"/>
        <v>#NAME?</v>
      </c>
      <c r="CZ177" s="284" t="e">
        <f t="shared" ca="1" si="24"/>
        <v>#NAME?</v>
      </c>
      <c r="DA177" s="284" t="e">
        <f t="shared" ca="1" si="24"/>
        <v>#NAME?</v>
      </c>
      <c r="DB177" s="284" t="e">
        <f t="shared" ca="1" si="24"/>
        <v>#NAME?</v>
      </c>
      <c r="DC177" s="284" t="e">
        <f t="shared" ca="1" si="24"/>
        <v>#NAME?</v>
      </c>
      <c r="DD177" s="284" t="e">
        <f t="shared" ca="1" si="24"/>
        <v>#NAME?</v>
      </c>
      <c r="DE177" s="284" t="e">
        <f t="shared" ca="1" si="24"/>
        <v>#NAME?</v>
      </c>
      <c r="DF177" s="284" t="e">
        <f t="shared" ca="1" si="24"/>
        <v>#NAME?</v>
      </c>
      <c r="DG177" s="284" t="e">
        <f t="shared" ref="DG177:DV177" ca="1" si="25">SumByColor(DD169, DG6:DG87)</f>
        <v>#NAME?</v>
      </c>
      <c r="DH177" s="284" t="e">
        <f t="shared" ca="1" si="25"/>
        <v>#NAME?</v>
      </c>
      <c r="DI177" s="284" t="e">
        <f t="shared" ca="1" si="25"/>
        <v>#NAME?</v>
      </c>
      <c r="DJ177" s="284" t="e">
        <f t="shared" ca="1" si="25"/>
        <v>#NAME?</v>
      </c>
      <c r="DK177" s="284" t="e">
        <f t="shared" ca="1" si="25"/>
        <v>#NAME?</v>
      </c>
      <c r="DL177" s="284" t="e">
        <f t="shared" ca="1" si="25"/>
        <v>#NAME?</v>
      </c>
      <c r="DM177" s="284" t="e">
        <f t="shared" ca="1" si="25"/>
        <v>#NAME?</v>
      </c>
      <c r="DN177" s="284" t="e">
        <f t="shared" ca="1" si="25"/>
        <v>#NAME?</v>
      </c>
      <c r="DO177" s="284" t="e">
        <f t="shared" ca="1" si="25"/>
        <v>#NAME?</v>
      </c>
      <c r="DP177" s="284" t="e">
        <f t="shared" ca="1" si="25"/>
        <v>#NAME?</v>
      </c>
      <c r="DQ177" s="284" t="e">
        <f t="shared" ca="1" si="25"/>
        <v>#NAME?</v>
      </c>
      <c r="DR177" s="284" t="e">
        <f t="shared" ca="1" si="25"/>
        <v>#NAME?</v>
      </c>
      <c r="DS177" s="284" t="e">
        <f t="shared" ca="1" si="25"/>
        <v>#NAME?</v>
      </c>
      <c r="DT177" s="284" t="e">
        <f t="shared" ca="1" si="25"/>
        <v>#NAME?</v>
      </c>
      <c r="DU177" s="284" t="e">
        <f t="shared" ca="1" si="25"/>
        <v>#NAME?</v>
      </c>
      <c r="DV177" s="284" t="e">
        <f t="shared" ca="1" si="25"/>
        <v>#NAME?</v>
      </c>
    </row>
    <row r="178" spans="1:126" ht="13.5" customHeight="1" thickBot="1" x14ac:dyDescent="0.45">
      <c r="F178" s="285" t="s">
        <v>4280</v>
      </c>
      <c r="G178" s="286"/>
      <c r="H178" s="286"/>
      <c r="I178" s="286"/>
      <c r="J178" s="285" t="e">
        <f ca="1">SUM(J172:J177)</f>
        <v>#NAME?</v>
      </c>
      <c r="K178" s="286"/>
      <c r="L178" s="286"/>
      <c r="M178" s="286"/>
      <c r="N178" s="286"/>
      <c r="O178" s="286"/>
      <c r="P178" s="286"/>
      <c r="Q178" s="286"/>
      <c r="R178" s="286"/>
      <c r="S178" s="286"/>
      <c r="T178" s="286"/>
      <c r="U178" s="286"/>
      <c r="V178" s="285"/>
      <c r="W178" s="285"/>
      <c r="X178" s="285"/>
      <c r="Y178" s="285"/>
      <c r="Z178" s="285"/>
      <c r="AA178" s="285"/>
      <c r="AB178" s="285"/>
      <c r="AC178" s="285" t="e">
        <f t="shared" ref="AC178:BH178" ca="1" si="26">SUM(AC173:AC177)</f>
        <v>#NAME?</v>
      </c>
      <c r="AD178" s="285" t="e">
        <f t="shared" ca="1" si="26"/>
        <v>#NAME?</v>
      </c>
      <c r="AE178" s="285" t="e">
        <f t="shared" ca="1" si="26"/>
        <v>#NAME?</v>
      </c>
      <c r="AF178" s="285" t="e">
        <f t="shared" ca="1" si="26"/>
        <v>#NAME?</v>
      </c>
      <c r="AG178" s="285" t="e">
        <f t="shared" ca="1" si="26"/>
        <v>#NAME?</v>
      </c>
      <c r="AH178" s="285" t="e">
        <f t="shared" ca="1" si="26"/>
        <v>#NAME?</v>
      </c>
      <c r="AI178" s="285" t="e">
        <f t="shared" ca="1" si="26"/>
        <v>#NAME?</v>
      </c>
      <c r="AJ178" s="285" t="e">
        <f t="shared" ca="1" si="26"/>
        <v>#NAME?</v>
      </c>
      <c r="AK178" s="285" t="e">
        <f t="shared" ca="1" si="26"/>
        <v>#NAME?</v>
      </c>
      <c r="AL178" s="285" t="e">
        <f t="shared" ca="1" si="26"/>
        <v>#NAME?</v>
      </c>
      <c r="AM178" s="285" t="e">
        <f t="shared" ca="1" si="26"/>
        <v>#NAME?</v>
      </c>
      <c r="AN178" s="285" t="e">
        <f t="shared" ca="1" si="26"/>
        <v>#NAME?</v>
      </c>
      <c r="AO178" s="285" t="e">
        <f t="shared" ca="1" si="26"/>
        <v>#NAME?</v>
      </c>
      <c r="AP178" s="285" t="e">
        <f t="shared" ca="1" si="26"/>
        <v>#NAME?</v>
      </c>
      <c r="AQ178" s="285" t="e">
        <f t="shared" ca="1" si="26"/>
        <v>#NAME?</v>
      </c>
      <c r="AR178" s="285" t="e">
        <f t="shared" ca="1" si="26"/>
        <v>#NAME?</v>
      </c>
      <c r="AS178" s="285" t="e">
        <f t="shared" ca="1" si="26"/>
        <v>#NAME?</v>
      </c>
      <c r="AT178" s="285" t="e">
        <f t="shared" ca="1" si="26"/>
        <v>#NAME?</v>
      </c>
      <c r="AU178" s="285" t="e">
        <f t="shared" ca="1" si="26"/>
        <v>#NAME?</v>
      </c>
      <c r="AV178" s="285" t="e">
        <f t="shared" ca="1" si="26"/>
        <v>#NAME?</v>
      </c>
      <c r="AW178" s="285" t="e">
        <f t="shared" ca="1" si="26"/>
        <v>#NAME?</v>
      </c>
      <c r="AX178" s="285" t="e">
        <f t="shared" ca="1" si="26"/>
        <v>#NAME?</v>
      </c>
      <c r="AY178" s="285" t="e">
        <f t="shared" ca="1" si="26"/>
        <v>#NAME?</v>
      </c>
      <c r="AZ178" s="285" t="e">
        <f t="shared" ca="1" si="26"/>
        <v>#NAME?</v>
      </c>
      <c r="BA178" s="285" t="e">
        <f t="shared" ca="1" si="26"/>
        <v>#NAME?</v>
      </c>
      <c r="BB178" s="285" t="e">
        <f t="shared" ca="1" si="26"/>
        <v>#NAME?</v>
      </c>
      <c r="BC178" s="285" t="e">
        <f t="shared" ca="1" si="26"/>
        <v>#NAME?</v>
      </c>
      <c r="BD178" s="285" t="e">
        <f t="shared" ca="1" si="26"/>
        <v>#NAME?</v>
      </c>
      <c r="BE178" s="285" t="e">
        <f t="shared" ca="1" si="26"/>
        <v>#NAME?</v>
      </c>
      <c r="BF178" s="285" t="e">
        <f t="shared" ca="1" si="26"/>
        <v>#NAME?</v>
      </c>
      <c r="BG178" s="285" t="e">
        <f t="shared" ca="1" si="26"/>
        <v>#NAME?</v>
      </c>
      <c r="BH178" s="285" t="e">
        <f t="shared" ca="1" si="26"/>
        <v>#NAME?</v>
      </c>
      <c r="BI178" s="285" t="e">
        <f t="shared" ref="BI178:CN178" ca="1" si="27">SUM(BI173:BI177)</f>
        <v>#NAME?</v>
      </c>
      <c r="BJ178" s="285" t="e">
        <f t="shared" ca="1" si="27"/>
        <v>#NAME?</v>
      </c>
      <c r="BK178" s="285" t="e">
        <f t="shared" ca="1" si="27"/>
        <v>#NAME?</v>
      </c>
      <c r="BL178" s="285" t="e">
        <f t="shared" ca="1" si="27"/>
        <v>#NAME?</v>
      </c>
      <c r="BM178" s="285" t="e">
        <f t="shared" ca="1" si="27"/>
        <v>#NAME?</v>
      </c>
      <c r="BN178" s="285" t="e">
        <f t="shared" ca="1" si="27"/>
        <v>#NAME?</v>
      </c>
      <c r="BO178" s="285" t="e">
        <f t="shared" ca="1" si="27"/>
        <v>#NAME?</v>
      </c>
      <c r="BP178" s="285" t="e">
        <f t="shared" ca="1" si="27"/>
        <v>#NAME?</v>
      </c>
      <c r="BQ178" s="285" t="e">
        <f t="shared" ca="1" si="27"/>
        <v>#NAME?</v>
      </c>
      <c r="BR178" s="285" t="e">
        <f t="shared" ca="1" si="27"/>
        <v>#NAME?</v>
      </c>
      <c r="BS178" s="285" t="e">
        <f t="shared" ca="1" si="27"/>
        <v>#NAME?</v>
      </c>
      <c r="BT178" s="285" t="e">
        <f t="shared" ca="1" si="27"/>
        <v>#NAME?</v>
      </c>
      <c r="BU178" s="285" t="e">
        <f t="shared" ca="1" si="27"/>
        <v>#NAME?</v>
      </c>
      <c r="BV178" s="285" t="e">
        <f t="shared" ca="1" si="27"/>
        <v>#NAME?</v>
      </c>
      <c r="BW178" s="285" t="e">
        <f t="shared" ca="1" si="27"/>
        <v>#NAME?</v>
      </c>
      <c r="BX178" s="285" t="e">
        <f t="shared" ca="1" si="27"/>
        <v>#NAME?</v>
      </c>
      <c r="BY178" s="285" t="e">
        <f t="shared" ca="1" si="27"/>
        <v>#NAME?</v>
      </c>
      <c r="BZ178" s="285" t="e">
        <f t="shared" ca="1" si="27"/>
        <v>#NAME?</v>
      </c>
      <c r="CA178" s="285" t="e">
        <f t="shared" ca="1" si="27"/>
        <v>#NAME?</v>
      </c>
      <c r="CB178" s="285" t="e">
        <f t="shared" ca="1" si="27"/>
        <v>#NAME?</v>
      </c>
      <c r="CC178" s="285" t="e">
        <f t="shared" ca="1" si="27"/>
        <v>#NAME?</v>
      </c>
      <c r="CD178" s="285" t="e">
        <f t="shared" ca="1" si="27"/>
        <v>#NAME?</v>
      </c>
      <c r="CE178" s="285" t="e">
        <f t="shared" ca="1" si="27"/>
        <v>#NAME?</v>
      </c>
      <c r="CF178" s="285" t="e">
        <f t="shared" ca="1" si="27"/>
        <v>#NAME?</v>
      </c>
      <c r="CG178" s="285" t="e">
        <f t="shared" ca="1" si="27"/>
        <v>#NAME?</v>
      </c>
      <c r="CH178" s="285" t="e">
        <f t="shared" ca="1" si="27"/>
        <v>#NAME?</v>
      </c>
      <c r="CI178" s="285" t="e">
        <f t="shared" ca="1" si="27"/>
        <v>#NAME?</v>
      </c>
      <c r="CJ178" s="285" t="e">
        <f t="shared" ca="1" si="27"/>
        <v>#NAME?</v>
      </c>
      <c r="CK178" s="285" t="e">
        <f t="shared" ca="1" si="27"/>
        <v>#NAME?</v>
      </c>
      <c r="CL178" s="285" t="e">
        <f t="shared" ca="1" si="27"/>
        <v>#NAME?</v>
      </c>
      <c r="CM178" s="285" t="e">
        <f t="shared" ca="1" si="27"/>
        <v>#NAME?</v>
      </c>
      <c r="CN178" s="285" t="e">
        <f t="shared" ca="1" si="27"/>
        <v>#NAME?</v>
      </c>
      <c r="CO178" s="285" t="e">
        <f t="shared" ref="CO178:DT178" ca="1" si="28">SUM(CO173:CO177)</f>
        <v>#NAME?</v>
      </c>
      <c r="CP178" s="285" t="e">
        <f t="shared" ca="1" si="28"/>
        <v>#NAME?</v>
      </c>
      <c r="CQ178" s="285" t="e">
        <f t="shared" ca="1" si="28"/>
        <v>#NAME?</v>
      </c>
      <c r="CR178" s="285" t="e">
        <f t="shared" ca="1" si="28"/>
        <v>#NAME?</v>
      </c>
      <c r="CS178" s="285" t="e">
        <f t="shared" ca="1" si="28"/>
        <v>#NAME?</v>
      </c>
      <c r="CT178" s="285" t="e">
        <f t="shared" ca="1" si="28"/>
        <v>#NAME?</v>
      </c>
      <c r="CU178" s="285" t="e">
        <f t="shared" ca="1" si="28"/>
        <v>#NAME?</v>
      </c>
      <c r="CV178" s="285" t="e">
        <f t="shared" ca="1" si="28"/>
        <v>#NAME?</v>
      </c>
      <c r="CW178" s="285" t="e">
        <f t="shared" ca="1" si="28"/>
        <v>#NAME?</v>
      </c>
      <c r="CX178" s="285" t="e">
        <f t="shared" ca="1" si="28"/>
        <v>#NAME?</v>
      </c>
      <c r="CY178" s="285" t="e">
        <f t="shared" ca="1" si="28"/>
        <v>#NAME?</v>
      </c>
      <c r="CZ178" s="285" t="e">
        <f t="shared" ca="1" si="28"/>
        <v>#NAME?</v>
      </c>
      <c r="DA178" s="285" t="e">
        <f t="shared" ca="1" si="28"/>
        <v>#NAME?</v>
      </c>
      <c r="DB178" s="285" t="e">
        <f t="shared" ca="1" si="28"/>
        <v>#NAME?</v>
      </c>
      <c r="DC178" s="285" t="e">
        <f t="shared" ca="1" si="28"/>
        <v>#NAME?</v>
      </c>
      <c r="DD178" s="285" t="e">
        <f t="shared" ca="1" si="28"/>
        <v>#NAME?</v>
      </c>
      <c r="DE178" s="285" t="e">
        <f t="shared" ca="1" si="28"/>
        <v>#NAME?</v>
      </c>
      <c r="DF178" s="285" t="e">
        <f t="shared" ca="1" si="28"/>
        <v>#NAME?</v>
      </c>
      <c r="DG178" s="285" t="e">
        <f t="shared" ca="1" si="28"/>
        <v>#NAME?</v>
      </c>
      <c r="DH178" s="285" t="e">
        <f t="shared" ca="1" si="28"/>
        <v>#NAME?</v>
      </c>
      <c r="DI178" s="285" t="e">
        <f t="shared" ca="1" si="28"/>
        <v>#NAME?</v>
      </c>
      <c r="DJ178" s="285" t="e">
        <f t="shared" ca="1" si="28"/>
        <v>#NAME?</v>
      </c>
      <c r="DK178" s="285" t="e">
        <f t="shared" ca="1" si="28"/>
        <v>#NAME?</v>
      </c>
      <c r="DL178" s="285" t="e">
        <f t="shared" ca="1" si="28"/>
        <v>#NAME?</v>
      </c>
      <c r="DM178" s="285" t="e">
        <f t="shared" ca="1" si="28"/>
        <v>#NAME?</v>
      </c>
      <c r="DN178" s="285" t="e">
        <f t="shared" ca="1" si="28"/>
        <v>#NAME?</v>
      </c>
      <c r="DO178" s="285" t="e">
        <f t="shared" ca="1" si="28"/>
        <v>#NAME?</v>
      </c>
      <c r="DP178" s="285" t="e">
        <f t="shared" ca="1" si="28"/>
        <v>#NAME?</v>
      </c>
      <c r="DQ178" s="285" t="e">
        <f t="shared" ca="1" si="28"/>
        <v>#NAME?</v>
      </c>
      <c r="DR178" s="285" t="e">
        <f t="shared" ca="1" si="28"/>
        <v>#NAME?</v>
      </c>
      <c r="DS178" s="285" t="e">
        <f t="shared" ca="1" si="28"/>
        <v>#NAME?</v>
      </c>
      <c r="DT178" s="285" t="e">
        <f t="shared" ca="1" si="28"/>
        <v>#NAME?</v>
      </c>
      <c r="DU178" s="285" t="e">
        <f t="shared" ref="DU178:DV178" ca="1" si="29">SUM(DU173:DU177)</f>
        <v>#NAME?</v>
      </c>
      <c r="DV178" s="285" t="e">
        <f t="shared" ca="1" si="29"/>
        <v>#NAME?</v>
      </c>
    </row>
    <row r="179" spans="1:126" ht="13.5" customHeight="1" thickTop="1" x14ac:dyDescent="0.4">
      <c r="F179" s="254"/>
      <c r="V179" s="254"/>
      <c r="W179" s="254"/>
      <c r="X179" s="254"/>
      <c r="Y179" s="254"/>
      <c r="Z179" s="254"/>
      <c r="AA179" s="254"/>
      <c r="AB179" s="254"/>
      <c r="AC179" s="254"/>
      <c r="AD179" s="254"/>
      <c r="AE179" s="254"/>
      <c r="AF179" s="254"/>
      <c r="AG179" s="254"/>
      <c r="AH179" s="254"/>
      <c r="AI179" s="254"/>
      <c r="AJ179" s="254"/>
      <c r="AK179" s="254"/>
      <c r="AL179" s="254"/>
      <c r="AM179" s="254"/>
      <c r="AN179" s="254"/>
      <c r="AO179" s="254"/>
      <c r="AP179" s="254"/>
      <c r="AQ179" s="254"/>
    </row>
    <row r="180" spans="1:126" ht="13.15" customHeight="1" x14ac:dyDescent="0.4">
      <c r="F180" s="254"/>
      <c r="V180" s="254"/>
      <c r="W180" s="254"/>
      <c r="X180" s="254"/>
      <c r="Y180" s="254"/>
      <c r="Z180" s="254"/>
      <c r="AA180" s="254"/>
      <c r="AB180" s="254"/>
      <c r="AC180" s="254"/>
      <c r="AD180" s="254"/>
      <c r="AE180" s="254"/>
      <c r="AF180" s="254"/>
      <c r="AG180" s="254"/>
      <c r="AH180" s="254"/>
      <c r="AI180" s="254"/>
      <c r="AJ180" s="254"/>
      <c r="AK180" s="254"/>
      <c r="AL180" s="254"/>
      <c r="AM180" s="254"/>
      <c r="AN180" s="254"/>
      <c r="AO180" s="254"/>
      <c r="AP180" s="254"/>
      <c r="AQ180" s="254"/>
    </row>
    <row r="182" spans="1:126" ht="13.15" customHeight="1" x14ac:dyDescent="0.4">
      <c r="J182" s="255"/>
      <c r="K182" s="255"/>
      <c r="L182" s="255"/>
      <c r="M182" s="255"/>
      <c r="N182" s="255"/>
      <c r="O182" s="255"/>
      <c r="P182" s="255"/>
      <c r="Q182" s="255"/>
      <c r="R182" s="255"/>
      <c r="S182" s="255"/>
      <c r="T182" s="255"/>
      <c r="U182" s="255"/>
    </row>
    <row r="186" spans="1:126" ht="13.15" customHeight="1" x14ac:dyDescent="0.4">
      <c r="A186" s="253" t="s">
        <v>1311</v>
      </c>
      <c r="B186" s="253" t="s">
        <v>4281</v>
      </c>
      <c r="C186" s="255">
        <v>42583</v>
      </c>
      <c r="D186" s="253">
        <v>100</v>
      </c>
      <c r="E186" s="253" t="s">
        <v>129</v>
      </c>
    </row>
    <row r="187" spans="1:126" ht="13.15" customHeight="1" x14ac:dyDescent="0.4">
      <c r="A187" s="253" t="s">
        <v>1311</v>
      </c>
      <c r="B187" s="253" t="s">
        <v>1681</v>
      </c>
      <c r="C187" s="255">
        <v>42650</v>
      </c>
      <c r="D187" s="253">
        <v>200</v>
      </c>
      <c r="E187" s="253" t="s">
        <v>4282</v>
      </c>
    </row>
    <row r="188" spans="1:126" ht="13.15" customHeight="1" x14ac:dyDescent="0.4">
      <c r="A188" s="253" t="s">
        <v>1311</v>
      </c>
      <c r="B188" s="253" t="s">
        <v>4283</v>
      </c>
      <c r="C188" s="255">
        <v>42650</v>
      </c>
      <c r="D188" s="253">
        <v>200</v>
      </c>
      <c r="E188" s="253" t="s">
        <v>4282</v>
      </c>
    </row>
    <row r="189" spans="1:126" ht="13.15" customHeight="1" x14ac:dyDescent="0.4">
      <c r="A189" s="253" t="s">
        <v>1311</v>
      </c>
      <c r="B189" s="253" t="s">
        <v>4284</v>
      </c>
      <c r="C189" s="255">
        <v>42650</v>
      </c>
      <c r="D189" s="253">
        <v>50</v>
      </c>
      <c r="E189" s="253" t="s">
        <v>4285</v>
      </c>
    </row>
    <row r="190" spans="1:126" ht="13.15" customHeight="1" x14ac:dyDescent="0.4">
      <c r="A190" s="253" t="s">
        <v>1311</v>
      </c>
      <c r="B190" s="253" t="s">
        <v>4286</v>
      </c>
      <c r="C190" s="255">
        <v>42650</v>
      </c>
      <c r="D190" s="253">
        <v>200</v>
      </c>
      <c r="E190" s="253" t="s">
        <v>4285</v>
      </c>
    </row>
    <row r="191" spans="1:126" ht="13.15" customHeight="1" x14ac:dyDescent="0.4">
      <c r="A191" s="253" t="s">
        <v>1311</v>
      </c>
      <c r="B191" s="253" t="s">
        <v>4287</v>
      </c>
      <c r="C191" s="255">
        <v>42650</v>
      </c>
      <c r="D191" s="253">
        <v>200</v>
      </c>
      <c r="E191" s="253" t="s">
        <v>4285</v>
      </c>
    </row>
    <row r="192" spans="1:126" ht="13.15" customHeight="1" x14ac:dyDescent="0.4">
      <c r="A192" s="253" t="s">
        <v>1311</v>
      </c>
      <c r="B192" s="253" t="s">
        <v>4288</v>
      </c>
      <c r="C192" s="255">
        <v>42705</v>
      </c>
      <c r="D192" s="253">
        <v>200</v>
      </c>
      <c r="E192" s="274" t="s">
        <v>4289</v>
      </c>
    </row>
    <row r="194" spans="4:4" ht="13.15" customHeight="1" x14ac:dyDescent="0.4">
      <c r="D194" s="254">
        <f>SUM(D186:D193)</f>
        <v>1150</v>
      </c>
    </row>
  </sheetData>
  <hyperlinks>
    <hyperlink ref="L27" r:id="rId1" display="mailto:mary.paterson@ymail.com" xr:uid="{00000000-0004-0000-1500-000000000000}"/>
    <hyperlink ref="A47" r:id="rId2" xr:uid="{00000000-0004-0000-1500-000001000000}"/>
    <hyperlink ref="A62" r:id="rId3" display="mailto:ickaohman@gmail.com" xr:uid="{00000000-0004-0000-1500-000002000000}"/>
    <hyperlink ref="A66" r:id="rId4" xr:uid="{00000000-0004-0000-1500-000003000000}"/>
    <hyperlink ref="A67" r:id="rId5" xr:uid="{00000000-0004-0000-1500-000004000000}"/>
    <hyperlink ref="A70" r:id="rId6" xr:uid="{00000000-0004-0000-1500-000005000000}"/>
    <hyperlink ref="A71" r:id="rId7" xr:uid="{00000000-0004-0000-1500-000006000000}"/>
    <hyperlink ref="A72" r:id="rId8" xr:uid="{00000000-0004-0000-1500-000007000000}"/>
    <hyperlink ref="A85" r:id="rId9" xr:uid="{00000000-0004-0000-1500-000008000000}"/>
    <hyperlink ref="A86" r:id="rId10" xr:uid="{00000000-0004-0000-1500-000009000000}"/>
    <hyperlink ref="A92" r:id="rId11" xr:uid="{00000000-0004-0000-1500-00000A000000}"/>
    <hyperlink ref="A93" r:id="rId12" xr:uid="{00000000-0004-0000-1500-00000B000000}"/>
    <hyperlink ref="A95" r:id="rId13" xr:uid="{00000000-0004-0000-1500-00000C000000}"/>
    <hyperlink ref="A98" r:id="rId14" xr:uid="{00000000-0004-0000-1500-00000D000000}"/>
    <hyperlink ref="A100" r:id="rId15" xr:uid="{00000000-0004-0000-1500-00000E000000}"/>
    <hyperlink ref="A101" r:id="rId16" xr:uid="{00000000-0004-0000-1500-00000F000000}"/>
    <hyperlink ref="A102" r:id="rId17" xr:uid="{00000000-0004-0000-1500-000010000000}"/>
    <hyperlink ref="A104" r:id="rId18" xr:uid="{00000000-0004-0000-1500-000011000000}"/>
    <hyperlink ref="A105" r:id="rId19" xr:uid="{00000000-0004-0000-1500-000012000000}"/>
    <hyperlink ref="A106" r:id="rId20" xr:uid="{00000000-0004-0000-1500-000013000000}"/>
    <hyperlink ref="A107" r:id="rId21" xr:uid="{00000000-0004-0000-1500-000014000000}"/>
    <hyperlink ref="A108" r:id="rId22" xr:uid="{00000000-0004-0000-1500-000015000000}"/>
    <hyperlink ref="A109" r:id="rId23" xr:uid="{00000000-0004-0000-1500-000016000000}"/>
    <hyperlink ref="A110" r:id="rId24" xr:uid="{00000000-0004-0000-1500-000017000000}"/>
    <hyperlink ref="A113" r:id="rId25" xr:uid="{00000000-0004-0000-1500-000018000000}"/>
    <hyperlink ref="A114" r:id="rId26" xr:uid="{00000000-0004-0000-1500-000019000000}"/>
    <hyperlink ref="A124" r:id="rId27" xr:uid="{00000000-0004-0000-1500-00001A000000}"/>
    <hyperlink ref="A125" r:id="rId28" xr:uid="{00000000-0004-0000-1500-00001B000000}"/>
    <hyperlink ref="A126" r:id="rId29" display="mailto:heathermarie412@hotmail.co.uk" xr:uid="{00000000-0004-0000-1500-00001C000000}"/>
    <hyperlink ref="A127" r:id="rId30" xr:uid="{00000000-0004-0000-1500-00001D000000}"/>
    <hyperlink ref="A129" r:id="rId31" xr:uid="{00000000-0004-0000-1500-00001E000000}"/>
    <hyperlink ref="A131" r:id="rId32" display="mailto:inwanderment@gmail.com" xr:uid="{00000000-0004-0000-1500-00001F000000}"/>
    <hyperlink ref="A132" r:id="rId33" display="mailto:inwanderment@gmail.com" xr:uid="{00000000-0004-0000-1500-000020000000}"/>
    <hyperlink ref="A134" r:id="rId34" display="mailto:kamkaur7373@yahoo.com" xr:uid="{00000000-0004-0000-1500-000021000000}"/>
  </hyperlinks>
  <pageMargins left="0.25" right="0.25" top="0.75" bottom="0.75" header="0.3" footer="0.3"/>
  <pageSetup paperSize="9" scale="36" orientation="landscape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2:I66"/>
  <sheetViews>
    <sheetView topLeftCell="A11" workbookViewId="0">
      <selection activeCell="E25" sqref="E25"/>
    </sheetView>
  </sheetViews>
  <sheetFormatPr defaultColWidth="9.1328125" defaultRowHeight="12.75" x14ac:dyDescent="0.35"/>
  <cols>
    <col min="1" max="1" width="9.1328125" style="45" customWidth="1"/>
    <col min="2" max="2" width="27.86328125" style="45" bestFit="1" customWidth="1"/>
    <col min="3" max="4" width="8.19921875" style="45" customWidth="1"/>
    <col min="5" max="5" width="14.796875" style="45" customWidth="1"/>
    <col min="6" max="6" width="14.6640625" style="45" customWidth="1"/>
    <col min="7" max="7" width="14" style="45" bestFit="1" customWidth="1"/>
    <col min="8" max="8" width="4.33203125" style="45" customWidth="1"/>
    <col min="9" max="9" width="14.19921875" style="45" customWidth="1"/>
    <col min="10" max="10" width="9.1328125" style="45" customWidth="1"/>
    <col min="11" max="16384" width="9.1328125" style="45"/>
  </cols>
  <sheetData>
    <row r="2" spans="1:9" ht="13.15" customHeight="1" thickBot="1" x14ac:dyDescent="0.4">
      <c r="E2" s="1228" t="s">
        <v>4290</v>
      </c>
      <c r="F2" s="1219"/>
      <c r="G2" s="1229"/>
      <c r="I2" s="60" t="s">
        <v>4291</v>
      </c>
    </row>
    <row r="3" spans="1:9" ht="26.25" customHeight="1" x14ac:dyDescent="0.4">
      <c r="B3" s="46" t="s">
        <v>4292</v>
      </c>
      <c r="E3" s="46" t="s">
        <v>4293</v>
      </c>
      <c r="F3" s="46" t="s">
        <v>4294</v>
      </c>
      <c r="G3" s="46" t="s">
        <v>4295</v>
      </c>
      <c r="I3" s="59" t="s">
        <v>4296</v>
      </c>
    </row>
    <row r="4" spans="1:9" ht="13.15" customHeight="1" x14ac:dyDescent="0.4">
      <c r="B4" s="46"/>
      <c r="E4" s="46"/>
      <c r="F4" s="46"/>
      <c r="G4" s="46"/>
      <c r="I4" s="59"/>
    </row>
    <row r="5" spans="1:9" ht="13.15" customHeight="1" x14ac:dyDescent="0.4">
      <c r="A5" s="46" t="s">
        <v>524</v>
      </c>
      <c r="B5" s="46" t="s">
        <v>4297</v>
      </c>
      <c r="E5" s="46" t="s">
        <v>4298</v>
      </c>
      <c r="F5" s="46" t="s">
        <v>4299</v>
      </c>
      <c r="G5" s="46" t="s">
        <v>4300</v>
      </c>
      <c r="I5" s="59" t="s">
        <v>4301</v>
      </c>
    </row>
    <row r="7" spans="1:9" x14ac:dyDescent="0.35">
      <c r="B7" s="45" t="s">
        <v>4302</v>
      </c>
      <c r="E7" s="45">
        <v>35</v>
      </c>
      <c r="F7" s="45">
        <v>35</v>
      </c>
      <c r="G7" s="45">
        <v>35</v>
      </c>
      <c r="I7" s="45">
        <v>40</v>
      </c>
    </row>
    <row r="8" spans="1:9" x14ac:dyDescent="0.35">
      <c r="B8" s="45" t="s">
        <v>4303</v>
      </c>
      <c r="E8" s="45">
        <v>0.5</v>
      </c>
      <c r="F8" s="45">
        <v>0.5</v>
      </c>
      <c r="G8" s="45">
        <v>0.5</v>
      </c>
      <c r="I8" s="45">
        <v>0.5</v>
      </c>
    </row>
    <row r="9" spans="1:9" x14ac:dyDescent="0.35">
      <c r="B9" s="45" t="s">
        <v>4304</v>
      </c>
      <c r="E9" s="57">
        <v>1.25</v>
      </c>
      <c r="F9" s="57">
        <v>0.75</v>
      </c>
      <c r="G9" s="57">
        <v>1</v>
      </c>
      <c r="I9" s="57">
        <v>1.25</v>
      </c>
    </row>
    <row r="10" spans="1:9" x14ac:dyDescent="0.35">
      <c r="B10" s="45" t="s">
        <v>4305</v>
      </c>
      <c r="E10" s="57">
        <v>55</v>
      </c>
      <c r="F10" s="57">
        <v>35</v>
      </c>
      <c r="G10" s="57">
        <v>40</v>
      </c>
      <c r="I10" s="57">
        <v>50</v>
      </c>
    </row>
    <row r="11" spans="1:9" x14ac:dyDescent="0.35">
      <c r="B11" s="45" t="s">
        <v>4306</v>
      </c>
      <c r="E11" s="57">
        <v>2</v>
      </c>
      <c r="F11" s="57">
        <v>1.5</v>
      </c>
      <c r="G11" s="57">
        <v>0.75</v>
      </c>
      <c r="I11" s="57">
        <v>3</v>
      </c>
    </row>
    <row r="12" spans="1:9" x14ac:dyDescent="0.35">
      <c r="B12" s="45" t="s">
        <v>4307</v>
      </c>
      <c r="E12" s="57">
        <v>2</v>
      </c>
      <c r="F12" s="57">
        <v>3</v>
      </c>
      <c r="G12" s="57">
        <v>1.3</v>
      </c>
      <c r="I12" s="57">
        <v>2.5</v>
      </c>
    </row>
    <row r="13" spans="1:9" x14ac:dyDescent="0.35">
      <c r="B13" s="45" t="s">
        <v>4308</v>
      </c>
      <c r="E13" s="57">
        <v>15</v>
      </c>
      <c r="F13" s="57">
        <v>25</v>
      </c>
      <c r="G13" s="57">
        <v>12</v>
      </c>
      <c r="I13" s="57">
        <v>20</v>
      </c>
    </row>
    <row r="14" spans="1:9" x14ac:dyDescent="0.35">
      <c r="B14" s="45" t="s">
        <v>4309</v>
      </c>
      <c r="E14" s="57">
        <v>0.5</v>
      </c>
      <c r="F14" s="57">
        <v>0.5</v>
      </c>
      <c r="G14" s="57">
        <v>0.5</v>
      </c>
      <c r="I14" s="57">
        <v>0.5</v>
      </c>
    </row>
    <row r="15" spans="1:9" x14ac:dyDescent="0.35">
      <c r="E15" s="57"/>
      <c r="F15" s="57"/>
      <c r="G15" s="57"/>
      <c r="I15" s="57"/>
    </row>
    <row r="16" spans="1:9" x14ac:dyDescent="0.35">
      <c r="B16" s="45" t="s">
        <v>4310</v>
      </c>
      <c r="E16" s="57">
        <f>(E11+E12)/E13*60</f>
        <v>16</v>
      </c>
      <c r="F16" s="57">
        <f>(F11+F12)/F13*60</f>
        <v>10.799999999999999</v>
      </c>
      <c r="G16" s="57">
        <f>(G11+G12)/G13*60</f>
        <v>10.249999999999998</v>
      </c>
      <c r="I16" s="57">
        <f>(I11+I12)/I13*60</f>
        <v>16.5</v>
      </c>
    </row>
    <row r="17" spans="1:9" x14ac:dyDescent="0.35">
      <c r="B17" s="45" t="s">
        <v>4311</v>
      </c>
      <c r="E17" s="52">
        <f>(E7/60)*E16</f>
        <v>9.3333333333333339</v>
      </c>
      <c r="F17" s="52">
        <f>(F7/60)*F16</f>
        <v>6.3</v>
      </c>
      <c r="G17" s="52">
        <f>(G7/60)*G16</f>
        <v>5.9791666666666661</v>
      </c>
      <c r="I17" s="52">
        <f>(I7/60)*I16</f>
        <v>11</v>
      </c>
    </row>
    <row r="19" spans="1:9" x14ac:dyDescent="0.35">
      <c r="B19" s="45" t="s">
        <v>4312</v>
      </c>
      <c r="E19" s="45">
        <f>E8*E10</f>
        <v>27.5</v>
      </c>
      <c r="F19" s="45">
        <f>F8*F10</f>
        <v>17.5</v>
      </c>
      <c r="G19" s="45">
        <f>G8*G10</f>
        <v>20</v>
      </c>
      <c r="I19" s="45">
        <f>I8*I10</f>
        <v>25</v>
      </c>
    </row>
    <row r="20" spans="1:9" x14ac:dyDescent="0.35">
      <c r="B20" s="45" t="s">
        <v>4313</v>
      </c>
      <c r="E20" s="45">
        <f>E9*E7</f>
        <v>43.75</v>
      </c>
      <c r="F20" s="45">
        <f>F9*F7</f>
        <v>26.25</v>
      </c>
      <c r="G20" s="45">
        <f>G9*G7</f>
        <v>35</v>
      </c>
      <c r="I20" s="45">
        <f>I9*I7</f>
        <v>50</v>
      </c>
    </row>
    <row r="21" spans="1:9" x14ac:dyDescent="0.35">
      <c r="B21" s="45" t="s">
        <v>4314</v>
      </c>
      <c r="E21" s="45">
        <f>E11*E7</f>
        <v>70</v>
      </c>
      <c r="F21" s="45">
        <f>F11*F7</f>
        <v>52.5</v>
      </c>
      <c r="G21" s="45">
        <f>G11*G7</f>
        <v>26.25</v>
      </c>
      <c r="I21" s="45">
        <f>I11*I7</f>
        <v>120</v>
      </c>
    </row>
    <row r="22" spans="1:9" x14ac:dyDescent="0.35">
      <c r="B22" s="45" t="s">
        <v>4315</v>
      </c>
      <c r="E22" s="45">
        <f>E12*E7</f>
        <v>70</v>
      </c>
      <c r="F22" s="45">
        <f>F12*F7</f>
        <v>105</v>
      </c>
      <c r="G22" s="45">
        <f>G12*G7</f>
        <v>45.5</v>
      </c>
      <c r="I22" s="45">
        <f>I12*I7</f>
        <v>100</v>
      </c>
    </row>
    <row r="23" spans="1:9" x14ac:dyDescent="0.35">
      <c r="B23" s="45" t="s">
        <v>4316</v>
      </c>
      <c r="E23" s="45">
        <f>E14*E7</f>
        <v>17.5</v>
      </c>
      <c r="F23" s="45">
        <f>F14*F7</f>
        <v>17.5</v>
      </c>
      <c r="G23" s="45">
        <f>G14*G7</f>
        <v>17.5</v>
      </c>
      <c r="I23" s="45">
        <f>I14*I7</f>
        <v>20</v>
      </c>
    </row>
    <row r="24" spans="1:9" ht="13.15" customHeight="1" x14ac:dyDescent="0.4">
      <c r="B24" s="46" t="s">
        <v>4317</v>
      </c>
      <c r="E24" s="58">
        <f>E9+E11+E12+E14</f>
        <v>5.75</v>
      </c>
      <c r="F24" s="58">
        <f>F9+F11+F12+F14</f>
        <v>5.75</v>
      </c>
      <c r="G24" s="58">
        <f>G9+G11+G12+G14</f>
        <v>3.55</v>
      </c>
    </row>
    <row r="25" spans="1:9" ht="13.15" customHeight="1" x14ac:dyDescent="0.4">
      <c r="B25" s="46" t="s">
        <v>509</v>
      </c>
      <c r="C25" s="46"/>
      <c r="E25" s="46">
        <f>SUM(E19:E24)</f>
        <v>234.5</v>
      </c>
      <c r="F25" s="46">
        <f>SUM(F19:F24)</f>
        <v>224.5</v>
      </c>
      <c r="G25" s="46">
        <f>SUM(G19:G24)</f>
        <v>147.80000000000001</v>
      </c>
      <c r="I25" s="46">
        <f>SUM(I19:I24)</f>
        <v>315</v>
      </c>
    </row>
    <row r="27" spans="1:9" ht="13.15" customHeight="1" x14ac:dyDescent="0.4">
      <c r="B27" s="46" t="s">
        <v>4318</v>
      </c>
      <c r="C27" s="46"/>
      <c r="E27" s="46">
        <f>E25/E13</f>
        <v>15.633333333333333</v>
      </c>
      <c r="F27" s="46">
        <f>F25/F13</f>
        <v>8.98</v>
      </c>
      <c r="G27" s="46">
        <f>G25/G13</f>
        <v>12.316666666666668</v>
      </c>
      <c r="I27" s="46">
        <f>I25/I13</f>
        <v>15.75</v>
      </c>
    </row>
    <row r="28" spans="1:9" ht="13.15" customHeight="1" x14ac:dyDescent="0.4">
      <c r="B28" s="46"/>
      <c r="C28" s="46"/>
      <c r="D28" s="46"/>
      <c r="E28" s="46"/>
      <c r="F28" s="46"/>
      <c r="G28" s="46"/>
    </row>
    <row r="29" spans="1:9" ht="13.15" customHeight="1" x14ac:dyDescent="0.4">
      <c r="E29" s="46"/>
      <c r="F29" s="46"/>
      <c r="G29" s="46"/>
    </row>
    <row r="30" spans="1:9" ht="13.15" customHeight="1" x14ac:dyDescent="0.4">
      <c r="A30" s="46" t="s">
        <v>4319</v>
      </c>
      <c r="B30" s="46" t="s">
        <v>4320</v>
      </c>
      <c r="C30" s="46" t="s">
        <v>4321</v>
      </c>
      <c r="D30" s="46"/>
      <c r="E30" s="56" t="s">
        <v>4322</v>
      </c>
      <c r="F30" s="56" t="s">
        <v>3923</v>
      </c>
      <c r="G30" s="56" t="s">
        <v>4323</v>
      </c>
      <c r="I30" s="46" t="s">
        <v>4324</v>
      </c>
    </row>
    <row r="33" spans="2:9" x14ac:dyDescent="0.35">
      <c r="B33" s="45" t="s">
        <v>4325</v>
      </c>
      <c r="C33" s="53"/>
      <c r="D33" s="53"/>
      <c r="E33" s="55">
        <v>40</v>
      </c>
      <c r="F33" s="55">
        <v>25</v>
      </c>
      <c r="G33" s="55">
        <v>10</v>
      </c>
      <c r="H33" s="55"/>
      <c r="I33" s="55">
        <f>I13</f>
        <v>20</v>
      </c>
    </row>
    <row r="34" spans="2:9" x14ac:dyDescent="0.35">
      <c r="B34" s="45" t="s">
        <v>543</v>
      </c>
      <c r="C34" s="53"/>
      <c r="D34" s="53"/>
      <c r="E34" s="52">
        <f>(E25/E13)*E33</f>
        <v>625.33333333333326</v>
      </c>
      <c r="F34" s="52">
        <f>(F25/F13)*F33</f>
        <v>224.5</v>
      </c>
      <c r="G34" s="52">
        <f>(G25/G13)*G33</f>
        <v>123.16666666666669</v>
      </c>
      <c r="I34" s="52">
        <f>I25</f>
        <v>315</v>
      </c>
    </row>
    <row r="35" spans="2:9" x14ac:dyDescent="0.35">
      <c r="B35" s="45" t="s">
        <v>4326</v>
      </c>
      <c r="C35" s="53"/>
      <c r="D35" s="53"/>
      <c r="E35" s="52">
        <f>E19+E20</f>
        <v>71.25</v>
      </c>
      <c r="F35" s="52">
        <f>F19+F20</f>
        <v>43.75</v>
      </c>
      <c r="G35" s="52">
        <f>G19+G20</f>
        <v>55</v>
      </c>
      <c r="I35" s="52"/>
    </row>
    <row r="36" spans="2:9" x14ac:dyDescent="0.35">
      <c r="C36" s="53"/>
      <c r="D36" s="53"/>
      <c r="E36" s="52"/>
      <c r="F36" s="52"/>
      <c r="G36" s="52"/>
      <c r="I36" s="52"/>
    </row>
    <row r="37" spans="2:9" ht="13.15" customHeight="1" x14ac:dyDescent="0.4">
      <c r="B37" s="46" t="s">
        <v>4327</v>
      </c>
      <c r="C37" s="46"/>
      <c r="D37" s="46"/>
      <c r="E37" s="46">
        <f>E34-E19-E20</f>
        <v>554.08333333333326</v>
      </c>
      <c r="F37" s="46">
        <f>F34-F19-F20</f>
        <v>180.75</v>
      </c>
      <c r="G37" s="46">
        <f>G34-G19-G20</f>
        <v>68.166666666666686</v>
      </c>
      <c r="H37" s="46"/>
      <c r="I37" s="46">
        <f>I25-I19-I20</f>
        <v>240</v>
      </c>
    </row>
    <row r="38" spans="2:9" x14ac:dyDescent="0.35">
      <c r="B38" s="45" t="s">
        <v>4318</v>
      </c>
      <c r="C38" s="53"/>
      <c r="D38" s="53"/>
      <c r="E38" s="52">
        <f>E34/E33</f>
        <v>15.633333333333331</v>
      </c>
      <c r="F38" s="52">
        <f>F34/F33</f>
        <v>8.98</v>
      </c>
      <c r="G38" s="52">
        <f>G34/G33</f>
        <v>12.316666666666668</v>
      </c>
      <c r="I38" s="52">
        <f>I34/I33</f>
        <v>15.75</v>
      </c>
    </row>
    <row r="39" spans="2:9" x14ac:dyDescent="0.35">
      <c r="B39" s="45" t="s">
        <v>4328</v>
      </c>
      <c r="E39" s="57">
        <f>(E9+E11+E12+E14)/E13*E33</f>
        <v>15.333333333333334</v>
      </c>
      <c r="F39" s="57">
        <f>(F9+F11+F12+F14)/F13*F33</f>
        <v>5.75</v>
      </c>
      <c r="G39" s="57">
        <f>(G9+G11+G12+G14)/G13*G33</f>
        <v>2.9583333333333335</v>
      </c>
      <c r="I39" s="45">
        <f>I9+I11+I12+I14</f>
        <v>7.25</v>
      </c>
    </row>
    <row r="41" spans="2:9" ht="13.15" customHeight="1" x14ac:dyDescent="0.4">
      <c r="B41" s="46" t="s">
        <v>4329</v>
      </c>
      <c r="E41" s="45">
        <v>299</v>
      </c>
      <c r="F41" s="45">
        <v>199</v>
      </c>
      <c r="G41" s="45">
        <v>99</v>
      </c>
      <c r="I41" s="45">
        <v>240</v>
      </c>
    </row>
    <row r="43" spans="2:9" x14ac:dyDescent="0.35">
      <c r="B43" s="45" t="s">
        <v>4330</v>
      </c>
      <c r="E43" s="45">
        <f>E41/E33</f>
        <v>7.4749999999999996</v>
      </c>
      <c r="F43" s="45">
        <f>F41/F33</f>
        <v>7.96</v>
      </c>
      <c r="G43" s="45">
        <f>G41/G33</f>
        <v>9.9</v>
      </c>
      <c r="I43" s="45">
        <f>I41/I33</f>
        <v>12</v>
      </c>
    </row>
    <row r="44" spans="2:9" x14ac:dyDescent="0.35">
      <c r="B44" s="45" t="s">
        <v>4331</v>
      </c>
      <c r="E44" s="45">
        <f>(E43-E38)/E33</f>
        <v>-0.2039583333333333</v>
      </c>
      <c r="F44" s="45">
        <f>(F43-F38)/F33</f>
        <v>-4.0800000000000017E-2</v>
      </c>
      <c r="G44" s="45">
        <f>(G43-G38)/G33</f>
        <v>-0.24166666666666678</v>
      </c>
      <c r="I44" s="45">
        <f>(I43-I38)/I33</f>
        <v>-0.1875</v>
      </c>
    </row>
    <row r="45" spans="2:9" x14ac:dyDescent="0.35">
      <c r="B45" s="45" t="s">
        <v>4332</v>
      </c>
      <c r="E45" s="45">
        <f>E41-E34</f>
        <v>-326.33333333333326</v>
      </c>
      <c r="F45" s="45">
        <f>F41-F34</f>
        <v>-25.5</v>
      </c>
      <c r="G45" s="45">
        <f>G41-G34</f>
        <v>-24.166666666666686</v>
      </c>
      <c r="I45" s="45">
        <f>I41-I34</f>
        <v>-75</v>
      </c>
    </row>
    <row r="47" spans="2:9" x14ac:dyDescent="0.35">
      <c r="B47" s="45" t="s">
        <v>4302</v>
      </c>
      <c r="E47" s="45">
        <f>E41/E39</f>
        <v>19.5</v>
      </c>
      <c r="F47" s="45">
        <f>F41/F39</f>
        <v>34.608695652173914</v>
      </c>
      <c r="G47" s="45">
        <f>G41/G39</f>
        <v>33.464788732394368</v>
      </c>
      <c r="I47" s="45">
        <f>I41/I39</f>
        <v>33.103448275862071</v>
      </c>
    </row>
    <row r="49" spans="2:7" x14ac:dyDescent="0.35">
      <c r="B49" s="45" t="s">
        <v>4333</v>
      </c>
    </row>
    <row r="50" spans="2:7" x14ac:dyDescent="0.35">
      <c r="B50" s="45" t="s">
        <v>4334</v>
      </c>
      <c r="C50" s="57">
        <v>1.5</v>
      </c>
      <c r="D50" s="45">
        <f>(E7/60)*C50</f>
        <v>0.875</v>
      </c>
    </row>
    <row r="51" spans="2:7" x14ac:dyDescent="0.35">
      <c r="B51" s="45" t="s">
        <v>4335</v>
      </c>
      <c r="D51" s="45">
        <v>0.5</v>
      </c>
    </row>
    <row r="53" spans="2:7" ht="13.15" customHeight="1" x14ac:dyDescent="0.4">
      <c r="B53" s="46" t="s">
        <v>4336</v>
      </c>
      <c r="C53" s="46"/>
      <c r="D53" s="46">
        <f>D50+D51</f>
        <v>1.375</v>
      </c>
    </row>
    <row r="56" spans="2:7" ht="13.15" customHeight="1" x14ac:dyDescent="0.4">
      <c r="B56" s="46" t="s">
        <v>4337</v>
      </c>
      <c r="E56" s="56" t="s">
        <v>4322</v>
      </c>
      <c r="F56" s="56" t="s">
        <v>3923</v>
      </c>
      <c r="G56" s="56" t="s">
        <v>4323</v>
      </c>
    </row>
    <row r="58" spans="2:7" x14ac:dyDescent="0.35">
      <c r="B58" s="45" t="s">
        <v>4325</v>
      </c>
      <c r="C58" s="53"/>
      <c r="D58" s="53"/>
      <c r="E58" s="55">
        <v>40</v>
      </c>
      <c r="F58" s="55">
        <v>25</v>
      </c>
      <c r="G58" s="55">
        <v>10</v>
      </c>
    </row>
    <row r="59" spans="2:7" ht="13.15" customHeight="1" x14ac:dyDescent="0.4">
      <c r="B59" s="45" t="s">
        <v>543</v>
      </c>
      <c r="C59" s="53"/>
      <c r="D59" s="53"/>
      <c r="E59" s="54">
        <f>E37</f>
        <v>554.08333333333326</v>
      </c>
      <c r="F59" s="54">
        <f>F37</f>
        <v>180.75</v>
      </c>
      <c r="G59" s="54">
        <f>G37</f>
        <v>68.166666666666686</v>
      </c>
    </row>
    <row r="60" spans="2:7" x14ac:dyDescent="0.35">
      <c r="B60" s="45" t="s">
        <v>4338</v>
      </c>
      <c r="C60" s="53"/>
      <c r="D60" s="53"/>
      <c r="E60" s="52"/>
      <c r="F60" s="52"/>
      <c r="G60" s="52"/>
    </row>
    <row r="62" spans="2:7" ht="13.15" customHeight="1" x14ac:dyDescent="0.4">
      <c r="B62" s="46" t="s">
        <v>4329</v>
      </c>
      <c r="E62" s="45">
        <v>299</v>
      </c>
      <c r="F62" s="45">
        <v>199</v>
      </c>
      <c r="G62" s="45">
        <v>99</v>
      </c>
    </row>
    <row r="64" spans="2:7" x14ac:dyDescent="0.35">
      <c r="B64" s="45" t="s">
        <v>4330</v>
      </c>
      <c r="E64" s="45">
        <f>E62/E58</f>
        <v>7.4749999999999996</v>
      </c>
      <c r="F64" s="45">
        <f>F62/F58</f>
        <v>7.96</v>
      </c>
      <c r="G64" s="45">
        <f>G62/G58</f>
        <v>9.9</v>
      </c>
    </row>
    <row r="65" spans="2:7" x14ac:dyDescent="0.35">
      <c r="B65" s="45" t="s">
        <v>4331</v>
      </c>
      <c r="E65" s="45">
        <f>E62-E62</f>
        <v>0</v>
      </c>
      <c r="F65" s="45">
        <f>F62-F62</f>
        <v>0</v>
      </c>
      <c r="G65" s="45">
        <f>G62-G62</f>
        <v>0</v>
      </c>
    </row>
    <row r="66" spans="2:7" x14ac:dyDescent="0.35">
      <c r="B66" s="45" t="s">
        <v>4332</v>
      </c>
      <c r="E66" s="45">
        <f>E62-E59</f>
        <v>-255.08333333333326</v>
      </c>
      <c r="F66" s="45">
        <f>F62-F59</f>
        <v>18.25</v>
      </c>
      <c r="G66" s="45">
        <f>G62-G59</f>
        <v>30.833333333333314</v>
      </c>
    </row>
  </sheetData>
  <mergeCells count="1">
    <mergeCell ref="E2:G2"/>
  </mergeCells>
  <conditionalFormatting sqref="E41:H45">
    <cfRule type="cellIs" dxfId="329" priority="6" operator="lessThan">
      <formula>0</formula>
    </cfRule>
  </conditionalFormatting>
  <conditionalFormatting sqref="E43:H46">
    <cfRule type="cellIs" dxfId="328" priority="5" operator="greaterThan">
      <formula>0</formula>
    </cfRule>
  </conditionalFormatting>
  <conditionalFormatting sqref="I41:I45">
    <cfRule type="cellIs" dxfId="327" priority="4" operator="lessThan">
      <formula>0</formula>
    </cfRule>
  </conditionalFormatting>
  <conditionalFormatting sqref="I43:I46">
    <cfRule type="cellIs" dxfId="326" priority="3" operator="greaterThan">
      <formula>0</formula>
    </cfRule>
  </conditionalFormatting>
  <conditionalFormatting sqref="E62:G66">
    <cfRule type="cellIs" dxfId="325" priority="2" operator="lessThan">
      <formula>0</formula>
    </cfRule>
  </conditionalFormatting>
  <conditionalFormatting sqref="E64:G66">
    <cfRule type="cellIs" dxfId="324" priority="1" operator="greaterThan">
      <formula>0</formula>
    </cfRule>
  </conditionalFormatting>
  <pageMargins left="0.7" right="0.7" top="0.75" bottom="0.75" header="0.3" footer="0.3"/>
  <pageSetup paperSize="9"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rgb="FFFF66FF"/>
  </sheetPr>
  <dimension ref="A3:S84"/>
  <sheetViews>
    <sheetView workbookViewId="0">
      <selection activeCell="G46" sqref="G46"/>
    </sheetView>
  </sheetViews>
  <sheetFormatPr defaultRowHeight="12.75" x14ac:dyDescent="0.35"/>
  <cols>
    <col min="1" max="1" width="14.86328125" style="1205" bestFit="1" customWidth="1"/>
    <col min="2" max="2" width="27.796875" style="1205" customWidth="1"/>
    <col min="3" max="3" width="9" style="1205" bestFit="1" customWidth="1"/>
    <col min="4" max="9" width="11.33203125" style="1205" customWidth="1"/>
    <col min="11" max="11" width="8.796875" style="1205" bestFit="1" customWidth="1"/>
    <col min="12" max="12" width="27.19921875" style="1205" bestFit="1" customWidth="1"/>
    <col min="13" max="14" width="8.46484375" style="1205" bestFit="1" customWidth="1"/>
    <col min="15" max="15" width="9" style="1205" bestFit="1" customWidth="1"/>
    <col min="16" max="19" width="10" style="1205" bestFit="1" customWidth="1"/>
  </cols>
  <sheetData>
    <row r="3" spans="1:19" x14ac:dyDescent="0.35">
      <c r="B3" s="45" t="s">
        <v>3906</v>
      </c>
      <c r="C3" s="897">
        <v>2.5000000000000001E-2</v>
      </c>
    </row>
    <row r="4" spans="1:19" x14ac:dyDescent="0.35">
      <c r="B4" s="45" t="s">
        <v>4339</v>
      </c>
      <c r="C4" s="45">
        <v>50</v>
      </c>
    </row>
    <row r="5" spans="1:19" x14ac:dyDescent="0.35">
      <c r="B5" s="45" t="s">
        <v>4340</v>
      </c>
      <c r="C5" s="45">
        <v>50</v>
      </c>
    </row>
    <row r="6" spans="1:19" x14ac:dyDescent="0.35">
      <c r="B6" s="45" t="s">
        <v>4341</v>
      </c>
      <c r="C6" s="45">
        <v>175</v>
      </c>
    </row>
    <row r="7" spans="1:19" x14ac:dyDescent="0.35">
      <c r="B7" s="295" t="s">
        <v>4342</v>
      </c>
      <c r="C7">
        <v>75</v>
      </c>
    </row>
    <row r="8" spans="1:19" x14ac:dyDescent="0.35">
      <c r="B8" s="45" t="s">
        <v>4343</v>
      </c>
      <c r="C8" s="45">
        <v>30</v>
      </c>
    </row>
    <row r="9" spans="1:19" x14ac:dyDescent="0.35">
      <c r="C9" s="295" t="s">
        <v>119</v>
      </c>
    </row>
    <row r="11" spans="1:19" ht="11.45" customHeight="1" x14ac:dyDescent="0.35"/>
    <row r="12" spans="1:19" ht="14.45" customHeight="1" x14ac:dyDescent="0.4">
      <c r="A12" s="295" t="s">
        <v>4344</v>
      </c>
      <c r="B12" s="66" t="s">
        <v>4345</v>
      </c>
      <c r="C12" s="51" t="s">
        <v>4346</v>
      </c>
      <c r="D12" s="806">
        <v>1</v>
      </c>
      <c r="E12" s="806">
        <v>2</v>
      </c>
      <c r="F12" s="883">
        <v>3</v>
      </c>
      <c r="G12" s="806">
        <v>4</v>
      </c>
      <c r="H12" s="972">
        <v>5</v>
      </c>
      <c r="I12" s="972">
        <v>6</v>
      </c>
      <c r="K12" s="295" t="s">
        <v>4344</v>
      </c>
      <c r="L12" s="66" t="s">
        <v>4347</v>
      </c>
      <c r="M12" s="51" t="s">
        <v>4346</v>
      </c>
      <c r="N12" s="806">
        <v>1</v>
      </c>
      <c r="O12" s="806">
        <v>2</v>
      </c>
      <c r="P12" s="883">
        <v>3</v>
      </c>
      <c r="Q12" s="806">
        <v>4</v>
      </c>
      <c r="R12" s="806">
        <v>5</v>
      </c>
      <c r="S12" s="806">
        <v>6</v>
      </c>
    </row>
    <row r="13" spans="1:19" ht="14.45" customHeight="1" x14ac:dyDescent="0.4">
      <c r="B13" s="808" t="s">
        <v>4348</v>
      </c>
      <c r="C13" s="809">
        <v>1</v>
      </c>
      <c r="D13" s="51"/>
      <c r="E13" s="51"/>
      <c r="F13" s="884"/>
      <c r="G13" s="51"/>
      <c r="H13" s="65"/>
      <c r="I13" s="65"/>
      <c r="L13" s="808" t="s">
        <v>4348</v>
      </c>
      <c r="M13" s="809">
        <v>0</v>
      </c>
      <c r="N13" s="51"/>
      <c r="O13" s="51"/>
      <c r="P13" s="884"/>
      <c r="Q13" s="51"/>
      <c r="R13" s="51"/>
      <c r="S13" s="51"/>
    </row>
    <row r="14" spans="1:19" ht="14.45" customHeight="1" x14ac:dyDescent="0.4">
      <c r="B14" s="808" t="s">
        <v>4349</v>
      </c>
      <c r="C14" s="809">
        <v>2</v>
      </c>
      <c r="D14" s="51"/>
      <c r="E14" s="51"/>
      <c r="F14" s="884"/>
      <c r="G14" s="51"/>
      <c r="H14" s="65"/>
      <c r="I14" s="65"/>
      <c r="L14" s="808" t="s">
        <v>4349</v>
      </c>
      <c r="M14" s="809">
        <v>1</v>
      </c>
      <c r="N14" s="51"/>
      <c r="O14" s="51"/>
      <c r="P14" s="884"/>
      <c r="Q14" s="51"/>
      <c r="R14" s="51"/>
      <c r="S14" s="51"/>
    </row>
    <row r="15" spans="1:19" ht="14.45" customHeight="1" x14ac:dyDescent="0.35">
      <c r="B15" s="45" t="s">
        <v>3903</v>
      </c>
      <c r="C15" s="811">
        <v>695</v>
      </c>
      <c r="D15" s="53">
        <f t="shared" ref="D15:I15" si="0">$C15*D12</f>
        <v>695</v>
      </c>
      <c r="E15" s="53">
        <f t="shared" si="0"/>
        <v>1390</v>
      </c>
      <c r="F15" s="765">
        <f t="shared" si="0"/>
        <v>2085</v>
      </c>
      <c r="G15" s="53">
        <f t="shared" si="0"/>
        <v>2780</v>
      </c>
      <c r="H15" s="68">
        <f t="shared" si="0"/>
        <v>3475</v>
      </c>
      <c r="I15" s="68">
        <f t="shared" si="0"/>
        <v>4170</v>
      </c>
      <c r="L15" s="45" t="s">
        <v>3903</v>
      </c>
      <c r="M15" s="811">
        <v>99</v>
      </c>
      <c r="N15" s="53">
        <f t="shared" ref="N15:S15" si="1">$M15*N12</f>
        <v>99</v>
      </c>
      <c r="O15" s="53">
        <f t="shared" si="1"/>
        <v>198</v>
      </c>
      <c r="P15" s="53">
        <f t="shared" si="1"/>
        <v>297</v>
      </c>
      <c r="Q15" s="53">
        <f t="shared" si="1"/>
        <v>396</v>
      </c>
      <c r="R15" s="53">
        <f t="shared" si="1"/>
        <v>495</v>
      </c>
      <c r="S15" s="53">
        <f t="shared" si="1"/>
        <v>594</v>
      </c>
    </row>
    <row r="16" spans="1:19" ht="14.45" customHeight="1" x14ac:dyDescent="0.35">
      <c r="B16" s="45" t="s">
        <v>3904</v>
      </c>
      <c r="C16" s="64">
        <v>0.05</v>
      </c>
      <c r="D16" s="63">
        <f t="shared" ref="D16:I16" si="2">D15*$C16</f>
        <v>34.75</v>
      </c>
      <c r="E16" s="63">
        <f t="shared" si="2"/>
        <v>69.5</v>
      </c>
      <c r="F16" s="885">
        <f t="shared" si="2"/>
        <v>104.25</v>
      </c>
      <c r="G16" s="63">
        <f t="shared" si="2"/>
        <v>139</v>
      </c>
      <c r="H16" s="973">
        <f t="shared" si="2"/>
        <v>173.75</v>
      </c>
      <c r="I16" s="973">
        <f t="shared" si="2"/>
        <v>208.5</v>
      </c>
      <c r="L16" s="45" t="s">
        <v>3904</v>
      </c>
      <c r="M16" s="64">
        <v>0.1</v>
      </c>
      <c r="N16" s="63">
        <f t="shared" ref="N16:S16" si="3">N15*$C16</f>
        <v>4.95</v>
      </c>
      <c r="O16" s="63">
        <f t="shared" si="3"/>
        <v>9.9</v>
      </c>
      <c r="P16" s="885">
        <f t="shared" si="3"/>
        <v>14.850000000000001</v>
      </c>
      <c r="Q16" s="63">
        <f t="shared" si="3"/>
        <v>19.8</v>
      </c>
      <c r="R16" s="63">
        <f t="shared" si="3"/>
        <v>24.75</v>
      </c>
      <c r="S16" s="63">
        <f t="shared" si="3"/>
        <v>29.700000000000003</v>
      </c>
    </row>
    <row r="17" spans="2:19" ht="14.45" customHeight="1" x14ac:dyDescent="0.4">
      <c r="B17" s="46" t="s">
        <v>3905</v>
      </c>
      <c r="C17" s="58"/>
      <c r="D17" s="62">
        <f t="shared" ref="D17:I17" si="4">D15-D16</f>
        <v>660.25</v>
      </c>
      <c r="E17" s="62">
        <f t="shared" si="4"/>
        <v>1320.5</v>
      </c>
      <c r="F17" s="886">
        <f t="shared" si="4"/>
        <v>1980.75</v>
      </c>
      <c r="G17" s="62">
        <f t="shared" si="4"/>
        <v>2641</v>
      </c>
      <c r="H17" s="974">
        <f t="shared" si="4"/>
        <v>3301.25</v>
      </c>
      <c r="I17" s="974">
        <f t="shared" si="4"/>
        <v>3961.5</v>
      </c>
      <c r="L17" s="46" t="s">
        <v>3905</v>
      </c>
      <c r="M17" s="58"/>
      <c r="N17" s="62">
        <f t="shared" ref="N17:S17" si="5">N15-N16</f>
        <v>94.05</v>
      </c>
      <c r="O17" s="62">
        <f t="shared" si="5"/>
        <v>188.1</v>
      </c>
      <c r="P17" s="886">
        <f t="shared" si="5"/>
        <v>282.14999999999998</v>
      </c>
      <c r="Q17" s="62">
        <f t="shared" si="5"/>
        <v>376.2</v>
      </c>
      <c r="R17" s="62">
        <f t="shared" si="5"/>
        <v>470.25</v>
      </c>
      <c r="S17" s="62">
        <f t="shared" si="5"/>
        <v>564.29999999999995</v>
      </c>
    </row>
    <row r="18" spans="2:19" ht="14.45" customHeight="1" x14ac:dyDescent="0.35">
      <c r="B18" s="45"/>
      <c r="C18" s="45"/>
      <c r="D18" s="45"/>
      <c r="E18" s="45"/>
      <c r="F18" s="765"/>
      <c r="G18" s="53"/>
      <c r="H18" s="68"/>
      <c r="I18" s="68"/>
      <c r="L18" s="45"/>
      <c r="M18" s="45"/>
      <c r="N18" s="45"/>
      <c r="O18" s="45"/>
      <c r="P18" s="765"/>
      <c r="Q18" s="53"/>
      <c r="R18" s="53"/>
      <c r="S18" s="53"/>
    </row>
    <row r="19" spans="2:19" ht="14.45" customHeight="1" x14ac:dyDescent="0.35">
      <c r="B19" s="45" t="s">
        <v>3906</v>
      </c>
      <c r="C19" s="64">
        <f>$C$3</f>
        <v>2.5000000000000001E-2</v>
      </c>
      <c r="D19" s="890">
        <f t="shared" ref="D19:I19" si="6">D17*$C19</f>
        <v>16.506250000000001</v>
      </c>
      <c r="E19" s="890">
        <f t="shared" si="6"/>
        <v>33.012500000000003</v>
      </c>
      <c r="F19" s="890">
        <f t="shared" si="6"/>
        <v>49.518750000000004</v>
      </c>
      <c r="G19" s="890">
        <f t="shared" si="6"/>
        <v>66.025000000000006</v>
      </c>
      <c r="H19" s="559">
        <f t="shared" si="6"/>
        <v>82.53125</v>
      </c>
      <c r="I19" s="559">
        <f t="shared" si="6"/>
        <v>99.037500000000009</v>
      </c>
      <c r="L19" s="45" t="s">
        <v>3906</v>
      </c>
      <c r="M19" s="64">
        <f>$C$3</f>
        <v>2.5000000000000001E-2</v>
      </c>
      <c r="N19" s="890">
        <f t="shared" ref="N19:S19" si="7">N17*$C19</f>
        <v>2.3512499999999998</v>
      </c>
      <c r="O19" s="890">
        <f t="shared" si="7"/>
        <v>4.7024999999999997</v>
      </c>
      <c r="P19" s="890">
        <f t="shared" si="7"/>
        <v>7.05375</v>
      </c>
      <c r="Q19" s="890">
        <f t="shared" si="7"/>
        <v>9.4049999999999994</v>
      </c>
      <c r="R19" s="890">
        <f t="shared" si="7"/>
        <v>11.756250000000001</v>
      </c>
      <c r="S19" s="890">
        <f t="shared" si="7"/>
        <v>14.1075</v>
      </c>
    </row>
    <row r="20" spans="2:19" ht="14.45" customHeight="1" x14ac:dyDescent="0.35">
      <c r="B20" s="45"/>
      <c r="C20" s="45"/>
      <c r="D20" s="890"/>
      <c r="E20" s="890"/>
      <c r="F20" s="889"/>
      <c r="G20" s="889"/>
      <c r="H20" s="68"/>
      <c r="I20" s="68"/>
      <c r="L20" s="45"/>
      <c r="M20" s="45"/>
      <c r="N20" s="890"/>
      <c r="O20" s="890"/>
      <c r="P20" s="889"/>
      <c r="Q20" s="889"/>
      <c r="R20" s="889"/>
      <c r="S20" s="889"/>
    </row>
    <row r="21" spans="2:19" ht="14.45" customHeight="1" x14ac:dyDescent="0.35">
      <c r="B21" s="45" t="s">
        <v>3907</v>
      </c>
      <c r="C21" s="810">
        <v>230</v>
      </c>
      <c r="D21" s="890">
        <f t="shared" ref="D21:I21" si="8">SUM($C21*D12+$C21)*$C13</f>
        <v>460</v>
      </c>
      <c r="E21" s="890">
        <f t="shared" si="8"/>
        <v>690</v>
      </c>
      <c r="F21" s="890">
        <f t="shared" si="8"/>
        <v>920</v>
      </c>
      <c r="G21" s="890">
        <f t="shared" si="8"/>
        <v>1150</v>
      </c>
      <c r="H21" s="559">
        <f t="shared" si="8"/>
        <v>1380</v>
      </c>
      <c r="I21" s="559">
        <f t="shared" si="8"/>
        <v>1610</v>
      </c>
      <c r="L21" s="45" t="s">
        <v>3907</v>
      </c>
      <c r="M21" s="810"/>
      <c r="N21" s="890"/>
      <c r="O21" s="890"/>
      <c r="P21" s="890"/>
      <c r="Q21" s="890"/>
      <c r="R21" s="890"/>
      <c r="S21" s="890"/>
    </row>
    <row r="22" spans="2:19" ht="14.45" customHeight="1" x14ac:dyDescent="0.35">
      <c r="B22" s="45"/>
      <c r="C22" s="45"/>
      <c r="D22" s="890"/>
      <c r="E22" s="890"/>
      <c r="F22" s="890"/>
      <c r="G22" s="890"/>
      <c r="H22" s="559"/>
      <c r="I22" s="559"/>
      <c r="L22" s="45"/>
      <c r="M22" s="45"/>
      <c r="N22" s="890"/>
      <c r="O22" s="890"/>
      <c r="P22" s="890"/>
      <c r="Q22" s="890"/>
      <c r="R22" s="890"/>
      <c r="S22" s="890"/>
    </row>
    <row r="23" spans="2:19" ht="14.45" customHeight="1" x14ac:dyDescent="0.35">
      <c r="B23" s="45" t="s">
        <v>4350</v>
      </c>
      <c r="C23" s="45">
        <v>0</v>
      </c>
      <c r="D23" s="890">
        <f t="shared" ref="D23:I23" si="9">$C23*D12*$C14</f>
        <v>0</v>
      </c>
      <c r="E23" s="890">
        <f t="shared" si="9"/>
        <v>0</v>
      </c>
      <c r="F23" s="890">
        <f t="shared" si="9"/>
        <v>0</v>
      </c>
      <c r="G23" s="890">
        <f t="shared" si="9"/>
        <v>0</v>
      </c>
      <c r="H23" s="559">
        <f t="shared" si="9"/>
        <v>0</v>
      </c>
      <c r="I23" s="559">
        <f t="shared" si="9"/>
        <v>0</v>
      </c>
      <c r="L23" s="45" t="s">
        <v>4350</v>
      </c>
      <c r="M23" s="45">
        <v>0</v>
      </c>
      <c r="N23" s="890"/>
      <c r="O23" s="890"/>
      <c r="P23" s="890"/>
      <c r="Q23" s="890"/>
      <c r="R23" s="890"/>
      <c r="S23" s="890"/>
    </row>
    <row r="24" spans="2:19" ht="14.45" customHeight="1" x14ac:dyDescent="0.35">
      <c r="B24" s="45"/>
      <c r="C24" s="45"/>
      <c r="D24" s="890"/>
      <c r="E24" s="890"/>
      <c r="F24" s="890"/>
      <c r="G24" s="890"/>
      <c r="H24" s="559"/>
      <c r="I24" s="559"/>
      <c r="L24" s="45"/>
      <c r="M24" s="45"/>
      <c r="N24" s="890"/>
      <c r="O24" s="890"/>
      <c r="P24" s="890"/>
      <c r="Q24" s="890"/>
      <c r="R24" s="890"/>
      <c r="S24" s="890"/>
    </row>
    <row r="25" spans="2:19" ht="14.45" customHeight="1" x14ac:dyDescent="0.35">
      <c r="B25" s="45" t="s">
        <v>3693</v>
      </c>
      <c r="C25" s="45">
        <f>SUM($C$6*$C$14)</f>
        <v>350</v>
      </c>
      <c r="D25" s="890">
        <f t="shared" ref="D25:I25" si="10">IF(D12&gt;4,$C25,0)</f>
        <v>0</v>
      </c>
      <c r="E25" s="890">
        <f t="shared" si="10"/>
        <v>0</v>
      </c>
      <c r="F25" s="890">
        <f t="shared" si="10"/>
        <v>0</v>
      </c>
      <c r="G25" s="890">
        <f t="shared" si="10"/>
        <v>0</v>
      </c>
      <c r="H25" s="559">
        <f t="shared" si="10"/>
        <v>350</v>
      </c>
      <c r="I25" s="559">
        <f t="shared" si="10"/>
        <v>350</v>
      </c>
      <c r="L25" s="45" t="s">
        <v>3693</v>
      </c>
      <c r="M25" s="45"/>
      <c r="N25" s="890"/>
      <c r="O25" s="890"/>
      <c r="P25" s="890"/>
      <c r="Q25" s="890"/>
      <c r="R25" s="890"/>
      <c r="S25" s="890"/>
    </row>
    <row r="26" spans="2:19" ht="14.45" customHeight="1" x14ac:dyDescent="0.4">
      <c r="B26" s="46"/>
      <c r="C26" s="45"/>
      <c r="D26" s="890"/>
      <c r="E26" s="890"/>
      <c r="F26" s="890"/>
      <c r="G26" s="890"/>
      <c r="H26" s="559"/>
      <c r="I26" s="559"/>
      <c r="L26" s="46"/>
      <c r="M26" s="45"/>
      <c r="N26" s="890"/>
      <c r="O26" s="890"/>
      <c r="P26" s="890"/>
      <c r="Q26" s="890"/>
      <c r="R26" s="890"/>
      <c r="S26" s="890"/>
    </row>
    <row r="27" spans="2:19" ht="14.45" customHeight="1" x14ac:dyDescent="0.35">
      <c r="B27" s="45" t="s">
        <v>3721</v>
      </c>
      <c r="C27" s="45">
        <f>SUM($C$4*$C$14)</f>
        <v>100</v>
      </c>
      <c r="D27" s="890">
        <f>C27</f>
        <v>100</v>
      </c>
      <c r="E27" s="890">
        <f>C27</f>
        <v>100</v>
      </c>
      <c r="F27" s="890">
        <f>C27</f>
        <v>100</v>
      </c>
      <c r="G27" s="890">
        <f>C27</f>
        <v>100</v>
      </c>
      <c r="H27" s="559">
        <f>D27</f>
        <v>100</v>
      </c>
      <c r="I27" s="559">
        <f>E27</f>
        <v>100</v>
      </c>
      <c r="L27" s="45" t="s">
        <v>3721</v>
      </c>
      <c r="M27" s="45">
        <f>0.75*75</f>
        <v>56.25</v>
      </c>
      <c r="N27" s="890">
        <f>M27</f>
        <v>56.25</v>
      </c>
      <c r="O27" s="890">
        <f>M27</f>
        <v>56.25</v>
      </c>
      <c r="P27" s="890">
        <f>M27</f>
        <v>56.25</v>
      </c>
      <c r="Q27" s="890">
        <f>M27</f>
        <v>56.25</v>
      </c>
      <c r="R27" s="890">
        <f>N27</f>
        <v>56.25</v>
      </c>
      <c r="S27" s="890">
        <f>O27</f>
        <v>56.25</v>
      </c>
    </row>
    <row r="28" spans="2:19" ht="14.45" customHeight="1" x14ac:dyDescent="0.35">
      <c r="B28" s="45"/>
      <c r="C28" s="45"/>
      <c r="D28" s="890"/>
      <c r="E28" s="890"/>
      <c r="F28" s="890"/>
      <c r="G28" s="890"/>
      <c r="H28" s="559"/>
      <c r="I28" s="559"/>
      <c r="L28" s="45"/>
      <c r="M28" s="45"/>
      <c r="N28" s="890"/>
      <c r="O28" s="890"/>
      <c r="P28" s="890"/>
      <c r="Q28" s="890"/>
      <c r="R28" s="890"/>
      <c r="S28" s="890"/>
    </row>
    <row r="29" spans="2:19" ht="14.45" customHeight="1" x14ac:dyDescent="0.35">
      <c r="B29" s="45" t="s">
        <v>4351</v>
      </c>
      <c r="C29" s="45">
        <f>SUM($C$5*$C$14)</f>
        <v>100</v>
      </c>
      <c r="D29" s="890">
        <f t="shared" ref="D29:I29" si="11">$C$29</f>
        <v>100</v>
      </c>
      <c r="E29" s="890">
        <f t="shared" si="11"/>
        <v>100</v>
      </c>
      <c r="F29" s="890">
        <f t="shared" si="11"/>
        <v>100</v>
      </c>
      <c r="G29" s="890">
        <f t="shared" si="11"/>
        <v>100</v>
      </c>
      <c r="H29" s="559">
        <f t="shared" si="11"/>
        <v>100</v>
      </c>
      <c r="I29" s="559">
        <f t="shared" si="11"/>
        <v>100</v>
      </c>
      <c r="L29" s="45" t="s">
        <v>4351</v>
      </c>
      <c r="M29" s="45">
        <v>10</v>
      </c>
      <c r="N29" s="890">
        <f t="shared" ref="N29:S29" si="12">$M$29</f>
        <v>10</v>
      </c>
      <c r="O29" s="890">
        <f t="shared" si="12"/>
        <v>10</v>
      </c>
      <c r="P29" s="890">
        <f t="shared" si="12"/>
        <v>10</v>
      </c>
      <c r="Q29" s="890">
        <f t="shared" si="12"/>
        <v>10</v>
      </c>
      <c r="R29" s="890">
        <f t="shared" si="12"/>
        <v>10</v>
      </c>
      <c r="S29" s="890">
        <f t="shared" si="12"/>
        <v>10</v>
      </c>
    </row>
    <row r="30" spans="2:19" ht="14.45" customHeight="1" x14ac:dyDescent="0.35">
      <c r="B30" s="45"/>
      <c r="C30" s="45"/>
      <c r="D30" s="890"/>
      <c r="E30" s="890"/>
      <c r="F30" s="890"/>
      <c r="G30" s="890"/>
      <c r="H30" s="559"/>
      <c r="I30" s="559"/>
      <c r="L30" s="45"/>
      <c r="M30" s="45"/>
      <c r="N30" s="890"/>
      <c r="O30" s="890"/>
      <c r="P30" s="890"/>
      <c r="Q30" s="890"/>
      <c r="R30" s="890"/>
      <c r="S30" s="890"/>
    </row>
    <row r="31" spans="2:19" ht="14.45" customHeight="1" x14ac:dyDescent="0.35">
      <c r="B31" s="45" t="s">
        <v>4352</v>
      </c>
      <c r="C31" s="45">
        <f>$C$7</f>
        <v>75</v>
      </c>
      <c r="D31" s="890">
        <f>C31</f>
        <v>75</v>
      </c>
      <c r="E31" s="890">
        <f>C31</f>
        <v>75</v>
      </c>
      <c r="F31" s="890">
        <f>C31</f>
        <v>75</v>
      </c>
      <c r="G31" s="890">
        <f>C31</f>
        <v>75</v>
      </c>
      <c r="H31" s="559">
        <f>D31</f>
        <v>75</v>
      </c>
      <c r="I31" s="559">
        <f>E31</f>
        <v>75</v>
      </c>
      <c r="L31" s="45" t="s">
        <v>4352</v>
      </c>
      <c r="M31" s="45">
        <f>($C$7)/2</f>
        <v>37.5</v>
      </c>
      <c r="N31" s="890">
        <f>M31</f>
        <v>37.5</v>
      </c>
      <c r="O31" s="890">
        <f>M31</f>
        <v>37.5</v>
      </c>
      <c r="P31" s="890">
        <f>M31</f>
        <v>37.5</v>
      </c>
      <c r="Q31" s="890">
        <f>M31</f>
        <v>37.5</v>
      </c>
      <c r="R31" s="890">
        <f>N31</f>
        <v>37.5</v>
      </c>
      <c r="S31" s="890">
        <f>O31</f>
        <v>37.5</v>
      </c>
    </row>
    <row r="33" spans="1:19" ht="14.45" customHeight="1" x14ac:dyDescent="0.4">
      <c r="B33" s="807" t="s">
        <v>524</v>
      </c>
      <c r="C33" s="807"/>
      <c r="D33" s="891">
        <f t="shared" ref="D33:I33" si="13">SUM(D19:D32)</f>
        <v>751.50625000000002</v>
      </c>
      <c r="E33" s="891">
        <f t="shared" si="13"/>
        <v>998.01250000000005</v>
      </c>
      <c r="F33" s="891">
        <f t="shared" si="13"/>
        <v>1244.51875</v>
      </c>
      <c r="G33" s="891">
        <f t="shared" si="13"/>
        <v>1491.0250000000001</v>
      </c>
      <c r="H33" s="975">
        <f t="shared" si="13"/>
        <v>2087.53125</v>
      </c>
      <c r="I33" s="975">
        <f t="shared" si="13"/>
        <v>2334.0374999999999</v>
      </c>
      <c r="L33" s="807" t="s">
        <v>524</v>
      </c>
      <c r="M33" s="807"/>
      <c r="N33" s="891">
        <f t="shared" ref="N33:S33" si="14">SUM(N19:N32)</f>
        <v>106.10124999999999</v>
      </c>
      <c r="O33" s="891">
        <f t="shared" si="14"/>
        <v>108.4525</v>
      </c>
      <c r="P33" s="891">
        <f t="shared" si="14"/>
        <v>110.80375000000001</v>
      </c>
      <c r="Q33" s="891">
        <f t="shared" si="14"/>
        <v>113.155</v>
      </c>
      <c r="R33" s="891">
        <f t="shared" si="14"/>
        <v>115.50624999999999</v>
      </c>
      <c r="S33" s="891">
        <f t="shared" si="14"/>
        <v>117.8575</v>
      </c>
    </row>
    <row r="34" spans="1:19" ht="14.45" customHeight="1" x14ac:dyDescent="0.35">
      <c r="B34" s="45"/>
      <c r="C34" s="45"/>
      <c r="D34" s="45"/>
      <c r="E34" s="45"/>
      <c r="F34" s="734"/>
      <c r="G34" s="45"/>
      <c r="H34" s="559"/>
      <c r="I34" s="559"/>
      <c r="L34" s="45"/>
      <c r="M34" s="45"/>
      <c r="N34" s="45"/>
      <c r="O34" s="45"/>
      <c r="P34" s="734"/>
      <c r="Q34" s="45"/>
      <c r="R34" s="45"/>
      <c r="S34" s="45"/>
    </row>
    <row r="35" spans="1:19" ht="14.45" customHeight="1" x14ac:dyDescent="0.4">
      <c r="B35" s="46" t="s">
        <v>3755</v>
      </c>
      <c r="C35" s="46"/>
      <c r="D35" s="62">
        <f t="shared" ref="D35:I35" si="15">D17-D33</f>
        <v>-91.256250000000023</v>
      </c>
      <c r="E35" s="62">
        <f t="shared" si="15"/>
        <v>322.48749999999995</v>
      </c>
      <c r="F35" s="886">
        <f t="shared" si="15"/>
        <v>736.23125000000005</v>
      </c>
      <c r="G35" s="62">
        <f t="shared" si="15"/>
        <v>1149.9749999999999</v>
      </c>
      <c r="H35" s="974">
        <f t="shared" si="15"/>
        <v>1213.71875</v>
      </c>
      <c r="I35" s="974">
        <f t="shared" si="15"/>
        <v>1627.4625000000001</v>
      </c>
      <c r="L35" s="46" t="s">
        <v>3755</v>
      </c>
      <c r="M35" s="46"/>
      <c r="N35" s="62">
        <f t="shared" ref="N35:S35" si="16">N17-N33</f>
        <v>-12.051249999999996</v>
      </c>
      <c r="O35" s="62">
        <f t="shared" si="16"/>
        <v>79.647499999999994</v>
      </c>
      <c r="P35" s="886">
        <f t="shared" si="16"/>
        <v>171.34624999999997</v>
      </c>
      <c r="Q35" s="62">
        <f t="shared" si="16"/>
        <v>263.04499999999996</v>
      </c>
      <c r="R35" s="62">
        <f t="shared" si="16"/>
        <v>354.74374999999998</v>
      </c>
      <c r="S35" s="62">
        <f t="shared" si="16"/>
        <v>446.44249999999994</v>
      </c>
    </row>
    <row r="36" spans="1:19" ht="14.45" customHeight="1" x14ac:dyDescent="0.35">
      <c r="B36" s="45"/>
      <c r="C36" s="45"/>
      <c r="D36" s="45"/>
      <c r="E36" s="45"/>
      <c r="F36" s="734"/>
      <c r="G36" s="45"/>
      <c r="H36" s="559"/>
      <c r="I36" s="559"/>
      <c r="L36" s="45"/>
      <c r="M36" s="45"/>
      <c r="N36" s="45"/>
      <c r="O36" s="45"/>
      <c r="P36" s="734"/>
      <c r="Q36" s="45"/>
      <c r="R36" s="45"/>
      <c r="S36" s="45"/>
    </row>
    <row r="37" spans="1:19" ht="14.45" customHeight="1" thickBot="1" x14ac:dyDescent="0.4">
      <c r="B37" s="45" t="s">
        <v>3687</v>
      </c>
      <c r="C37" s="53"/>
      <c r="D37" s="805">
        <f t="shared" ref="D37:I37" si="17">D35/D17</f>
        <v>-0.13821469140477097</v>
      </c>
      <c r="E37" s="805">
        <f t="shared" si="17"/>
        <v>0.24421620598258231</v>
      </c>
      <c r="F37" s="887">
        <f t="shared" si="17"/>
        <v>0.3716931717783668</v>
      </c>
      <c r="G37" s="805">
        <f t="shared" si="17"/>
        <v>0.43543165467625894</v>
      </c>
      <c r="H37" s="976">
        <f t="shared" si="17"/>
        <v>0.36765429761453994</v>
      </c>
      <c r="I37" s="976">
        <f t="shared" si="17"/>
        <v>0.41081976524043923</v>
      </c>
      <c r="L37" s="45"/>
      <c r="M37" s="53"/>
      <c r="N37" s="805">
        <f t="shared" ref="N37:S37" si="18">N35/N17</f>
        <v>-0.12813662945241888</v>
      </c>
      <c r="O37" s="805">
        <f t="shared" si="18"/>
        <v>0.42343168527379049</v>
      </c>
      <c r="P37" s="887">
        <f t="shared" si="18"/>
        <v>0.60728779018252699</v>
      </c>
      <c r="Q37" s="805">
        <f t="shared" si="18"/>
        <v>0.69921584263689518</v>
      </c>
      <c r="R37" s="805">
        <f t="shared" si="18"/>
        <v>0.75437267410951614</v>
      </c>
      <c r="S37" s="805">
        <f t="shared" si="18"/>
        <v>0.79114389509126348</v>
      </c>
    </row>
    <row r="38" spans="1:19" ht="14.45" customHeight="1" x14ac:dyDescent="0.35">
      <c r="B38" s="45"/>
      <c r="C38" s="45"/>
      <c r="D38" s="45"/>
      <c r="E38" s="45"/>
      <c r="F38" s="734"/>
      <c r="G38" s="45"/>
      <c r="H38" s="559"/>
      <c r="I38" s="559"/>
      <c r="L38" s="45"/>
      <c r="M38" s="45"/>
      <c r="N38" s="45"/>
      <c r="O38" s="45"/>
      <c r="P38" s="734"/>
      <c r="Q38" s="45"/>
      <c r="R38" s="45"/>
      <c r="S38" s="45"/>
    </row>
    <row r="39" spans="1:19" ht="14.45" customHeight="1" x14ac:dyDescent="0.35">
      <c r="B39" s="45" t="s">
        <v>3911</v>
      </c>
      <c r="C39" s="732">
        <f>SUM(C14*8)</f>
        <v>16</v>
      </c>
      <c r="D39" s="732">
        <f t="shared" ref="D39:I39" si="19">SUM($C$39*$C$8)</f>
        <v>480</v>
      </c>
      <c r="E39" s="732">
        <f t="shared" si="19"/>
        <v>480</v>
      </c>
      <c r="F39" s="732">
        <f t="shared" si="19"/>
        <v>480</v>
      </c>
      <c r="G39" s="732">
        <f t="shared" si="19"/>
        <v>480</v>
      </c>
      <c r="H39" s="957">
        <f t="shared" si="19"/>
        <v>480</v>
      </c>
      <c r="I39" s="957">
        <f t="shared" si="19"/>
        <v>480</v>
      </c>
      <c r="L39" s="45" t="s">
        <v>3911</v>
      </c>
      <c r="M39" s="978">
        <v>2.5</v>
      </c>
      <c r="N39" s="732">
        <f t="shared" ref="N39:S39" si="20">SUM($M$39*$C$8)</f>
        <v>75</v>
      </c>
      <c r="O39" s="732">
        <f t="shared" si="20"/>
        <v>75</v>
      </c>
      <c r="P39" s="732">
        <f t="shared" si="20"/>
        <v>75</v>
      </c>
      <c r="Q39" s="732">
        <f t="shared" si="20"/>
        <v>75</v>
      </c>
      <c r="R39" s="732">
        <f t="shared" si="20"/>
        <v>75</v>
      </c>
      <c r="S39" s="732">
        <f t="shared" si="20"/>
        <v>75</v>
      </c>
    </row>
    <row r="40" spans="1:19" ht="14.45" customHeight="1" x14ac:dyDescent="0.35">
      <c r="B40" s="45"/>
      <c r="C40" s="45"/>
      <c r="D40" s="45"/>
      <c r="E40" s="45"/>
      <c r="F40" s="734"/>
      <c r="G40" s="45"/>
      <c r="H40" s="559"/>
      <c r="I40" s="559"/>
      <c r="L40" s="45"/>
      <c r="M40" s="45"/>
      <c r="N40" s="45"/>
      <c r="O40" s="45"/>
      <c r="P40" s="734"/>
      <c r="Q40" s="45"/>
      <c r="R40" s="45"/>
      <c r="S40" s="45"/>
    </row>
    <row r="41" spans="1:19" ht="14.45" customHeight="1" x14ac:dyDescent="0.4">
      <c r="B41" s="907" t="s">
        <v>4353</v>
      </c>
      <c r="C41" s="802"/>
      <c r="D41" s="802">
        <f t="shared" ref="D41:I41" si="21">D35-D39</f>
        <v>-571.25625000000002</v>
      </c>
      <c r="E41" s="802">
        <f t="shared" si="21"/>
        <v>-157.51250000000005</v>
      </c>
      <c r="F41" s="888">
        <f t="shared" si="21"/>
        <v>256.23125000000005</v>
      </c>
      <c r="G41" s="802">
        <f t="shared" si="21"/>
        <v>669.97499999999991</v>
      </c>
      <c r="H41" s="977">
        <f t="shared" si="21"/>
        <v>733.71875</v>
      </c>
      <c r="I41" s="977">
        <f t="shared" si="21"/>
        <v>1147.4625000000001</v>
      </c>
      <c r="L41" s="802" t="s">
        <v>3914</v>
      </c>
      <c r="M41" s="802"/>
      <c r="N41" s="802">
        <f t="shared" ref="N41:S41" si="22">N35-N39</f>
        <v>-87.051249999999996</v>
      </c>
      <c r="O41" s="802">
        <f t="shared" si="22"/>
        <v>4.6474999999999937</v>
      </c>
      <c r="P41" s="888">
        <f t="shared" si="22"/>
        <v>96.346249999999969</v>
      </c>
      <c r="Q41" s="802">
        <f t="shared" si="22"/>
        <v>188.04499999999996</v>
      </c>
      <c r="R41" s="802">
        <f t="shared" si="22"/>
        <v>279.74374999999998</v>
      </c>
      <c r="S41" s="802">
        <f t="shared" si="22"/>
        <v>371.44249999999994</v>
      </c>
    </row>
    <row r="42" spans="1:19" ht="14.45" customHeight="1" thickBot="1" x14ac:dyDescent="0.45">
      <c r="B42" s="803"/>
      <c r="C42" s="804"/>
      <c r="D42" s="805">
        <f t="shared" ref="D42:I42" si="23">D41/D17</f>
        <v>-0.86521204089360093</v>
      </c>
      <c r="E42" s="805">
        <f t="shared" si="23"/>
        <v>-0.11928246876183267</v>
      </c>
      <c r="F42" s="887">
        <f t="shared" si="23"/>
        <v>0.12936072194875681</v>
      </c>
      <c r="G42" s="805">
        <f t="shared" si="23"/>
        <v>0.25368231730405144</v>
      </c>
      <c r="H42" s="976">
        <f t="shared" si="23"/>
        <v>0.22225482771677396</v>
      </c>
      <c r="I42" s="976">
        <f t="shared" si="23"/>
        <v>0.28965354032563423</v>
      </c>
      <c r="L42" s="803"/>
      <c r="M42" s="804"/>
      <c r="N42" s="805">
        <f t="shared" ref="N42:S42" si="24">N41/N17</f>
        <v>-0.9255847953216374</v>
      </c>
      <c r="O42" s="805">
        <f t="shared" si="24"/>
        <v>2.4707602339181255E-2</v>
      </c>
      <c r="P42" s="887">
        <f t="shared" si="24"/>
        <v>0.34147173489278743</v>
      </c>
      <c r="Q42" s="805">
        <f t="shared" si="24"/>
        <v>0.49985380116959055</v>
      </c>
      <c r="R42" s="805">
        <f t="shared" si="24"/>
        <v>0.59488304093567246</v>
      </c>
      <c r="S42" s="805">
        <f t="shared" si="24"/>
        <v>0.65823586744639373</v>
      </c>
    </row>
    <row r="43" spans="1:19" ht="14.45" customHeight="1" x14ac:dyDescent="0.35"/>
    <row r="44" spans="1:19" ht="14.45" customHeight="1" x14ac:dyDescent="0.35"/>
    <row r="45" spans="1:19" ht="14.45" customHeight="1" x14ac:dyDescent="0.35"/>
    <row r="46" spans="1:19" ht="14.45" customHeight="1" x14ac:dyDescent="0.35"/>
    <row r="47" spans="1:19" ht="14.45" customHeight="1" x14ac:dyDescent="0.35">
      <c r="A47" s="895">
        <v>2022</v>
      </c>
      <c r="B47" s="295" t="s">
        <v>4354</v>
      </c>
      <c r="D47" s="295" t="s">
        <v>4355</v>
      </c>
      <c r="E47" s="295" t="s">
        <v>4356</v>
      </c>
    </row>
    <row r="49" spans="1:5" ht="14.45" customHeight="1" x14ac:dyDescent="0.35">
      <c r="A49" s="295" t="s">
        <v>468</v>
      </c>
      <c r="B49">
        <v>895</v>
      </c>
      <c r="C49" s="295" t="s">
        <v>4357</v>
      </c>
      <c r="D49" s="568"/>
      <c r="E49">
        <v>95</v>
      </c>
    </row>
    <row r="50" spans="1:5" ht="14.45" customHeight="1" x14ac:dyDescent="0.35">
      <c r="A50" s="295" t="s">
        <v>468</v>
      </c>
      <c r="B50">
        <v>700</v>
      </c>
      <c r="C50" s="295" t="s">
        <v>4358</v>
      </c>
      <c r="D50" s="568"/>
    </row>
    <row r="51" spans="1:5" ht="14.45" customHeight="1" x14ac:dyDescent="0.35">
      <c r="D51" s="568"/>
    </row>
    <row r="52" spans="1:5" ht="14.45" customHeight="1" x14ac:dyDescent="0.35">
      <c r="A52" s="295" t="s">
        <v>467</v>
      </c>
      <c r="B52">
        <v>775</v>
      </c>
      <c r="C52" s="295" t="s">
        <v>528</v>
      </c>
      <c r="D52" s="568"/>
      <c r="E52">
        <v>145</v>
      </c>
    </row>
    <row r="53" spans="1:5" ht="14.45" customHeight="1" x14ac:dyDescent="0.35">
      <c r="A53" s="295" t="s">
        <v>467</v>
      </c>
      <c r="B53">
        <v>525</v>
      </c>
      <c r="C53" s="295" t="s">
        <v>4359</v>
      </c>
      <c r="D53" s="568"/>
    </row>
    <row r="54" spans="1:5" ht="14.45" customHeight="1" x14ac:dyDescent="0.35">
      <c r="D54" s="568"/>
    </row>
    <row r="55" spans="1:5" ht="14.45" customHeight="1" x14ac:dyDescent="0.35">
      <c r="A55" s="295" t="s">
        <v>1010</v>
      </c>
      <c r="B55">
        <v>895</v>
      </c>
      <c r="C55" s="295" t="s">
        <v>4360</v>
      </c>
      <c r="D55" s="568">
        <v>3</v>
      </c>
      <c r="E55" s="295">
        <v>115</v>
      </c>
    </row>
    <row r="56" spans="1:5" ht="14.45" customHeight="1" x14ac:dyDescent="0.35">
      <c r="A56" s="295" t="s">
        <v>1010</v>
      </c>
      <c r="B56">
        <v>750</v>
      </c>
      <c r="C56" s="295" t="s">
        <v>528</v>
      </c>
      <c r="D56" s="568">
        <v>3</v>
      </c>
    </row>
    <row r="57" spans="1:5" ht="14.45" customHeight="1" x14ac:dyDescent="0.35">
      <c r="A57" s="295"/>
      <c r="C57" s="295"/>
      <c r="D57" s="568"/>
    </row>
    <row r="58" spans="1:5" ht="14.45" customHeight="1" x14ac:dyDescent="0.35">
      <c r="A58" s="295" t="s">
        <v>288</v>
      </c>
      <c r="B58">
        <v>995</v>
      </c>
      <c r="C58" s="295" t="s">
        <v>528</v>
      </c>
      <c r="D58" s="568"/>
      <c r="E58">
        <v>110</v>
      </c>
    </row>
    <row r="59" spans="1:5" ht="14.45" customHeight="1" x14ac:dyDescent="0.35">
      <c r="A59" s="295" t="s">
        <v>288</v>
      </c>
      <c r="B59">
        <v>600</v>
      </c>
      <c r="C59" s="295" t="s">
        <v>4359</v>
      </c>
      <c r="D59" s="568"/>
      <c r="E59">
        <v>130</v>
      </c>
    </row>
    <row r="60" spans="1:5" ht="14.45" customHeight="1" x14ac:dyDescent="0.35">
      <c r="D60" s="568"/>
    </row>
    <row r="61" spans="1:5" ht="14.45" customHeight="1" x14ac:dyDescent="0.35">
      <c r="A61" s="295" t="s">
        <v>504</v>
      </c>
      <c r="B61">
        <v>825</v>
      </c>
      <c r="C61" s="295" t="s">
        <v>528</v>
      </c>
      <c r="D61" s="568"/>
      <c r="E61">
        <v>175</v>
      </c>
    </row>
    <row r="62" spans="1:5" ht="14.45" customHeight="1" x14ac:dyDescent="0.35">
      <c r="A62" s="295" t="s">
        <v>504</v>
      </c>
      <c r="B62">
        <v>600</v>
      </c>
      <c r="C62" s="295" t="s">
        <v>4359</v>
      </c>
      <c r="D62" s="568"/>
    </row>
    <row r="63" spans="1:5" ht="14.45" customHeight="1" x14ac:dyDescent="0.35"/>
    <row r="64" spans="1:5" ht="14.45" customHeight="1" x14ac:dyDescent="0.35">
      <c r="A64" s="295" t="s">
        <v>2384</v>
      </c>
      <c r="B64">
        <v>945</v>
      </c>
      <c r="C64" s="295" t="s">
        <v>4360</v>
      </c>
      <c r="D64" s="568">
        <v>3</v>
      </c>
      <c r="E64">
        <f>1817/4/3</f>
        <v>151.41666666666666</v>
      </c>
    </row>
    <row r="67" spans="1:5" ht="14.45" customHeight="1" x14ac:dyDescent="0.35">
      <c r="A67" s="295" t="s">
        <v>463</v>
      </c>
      <c r="C67" s="295" t="s">
        <v>4360</v>
      </c>
      <c r="E67">
        <v>150</v>
      </c>
    </row>
    <row r="68" spans="1:5" ht="14.45" customHeight="1" x14ac:dyDescent="0.35">
      <c r="C68" s="295" t="s">
        <v>528</v>
      </c>
    </row>
    <row r="69" spans="1:5" ht="14.45" customHeight="1" x14ac:dyDescent="0.35"/>
    <row r="70" spans="1:5" ht="14.45" customHeight="1" x14ac:dyDescent="0.35">
      <c r="A70" s="295" t="s">
        <v>496</v>
      </c>
      <c r="E70">
        <v>140</v>
      </c>
    </row>
    <row r="71" spans="1:5" ht="14.45" customHeight="1" x14ac:dyDescent="0.35"/>
    <row r="72" spans="1:5" ht="14.45" customHeight="1" x14ac:dyDescent="0.35">
      <c r="A72" s="295" t="s">
        <v>357</v>
      </c>
      <c r="E72">
        <f>1430/5/2</f>
        <v>143</v>
      </c>
    </row>
    <row r="73" spans="1:5" ht="14.45" customHeight="1" x14ac:dyDescent="0.35"/>
    <row r="74" spans="1:5" ht="14.45" customHeight="1" x14ac:dyDescent="0.35">
      <c r="A74" s="295" t="s">
        <v>1171</v>
      </c>
      <c r="E74">
        <v>90</v>
      </c>
    </row>
    <row r="75" spans="1:5" ht="14.45" customHeight="1" x14ac:dyDescent="0.35"/>
    <row r="76" spans="1:5" ht="14.45" customHeight="1" x14ac:dyDescent="0.35">
      <c r="A76" s="295" t="s">
        <v>249</v>
      </c>
      <c r="E76">
        <v>230</v>
      </c>
    </row>
    <row r="77" spans="1:5" ht="14.45" customHeight="1" x14ac:dyDescent="0.35"/>
    <row r="78" spans="1:5" ht="14.45" customHeight="1" x14ac:dyDescent="0.35">
      <c r="A78" s="295" t="s">
        <v>495</v>
      </c>
      <c r="B78" s="295" t="s">
        <v>4361</v>
      </c>
      <c r="C78" s="295" t="s">
        <v>528</v>
      </c>
      <c r="E78">
        <v>118</v>
      </c>
    </row>
    <row r="79" spans="1:5" ht="14.45" customHeight="1" x14ac:dyDescent="0.35"/>
    <row r="80" spans="1:5" ht="14.45" customHeight="1" x14ac:dyDescent="0.35">
      <c r="A80" s="295" t="s">
        <v>500</v>
      </c>
      <c r="C80" s="295" t="s">
        <v>4359</v>
      </c>
    </row>
    <row r="82" spans="1:5" ht="14.45" customHeight="1" x14ac:dyDescent="0.35">
      <c r="A82" s="295" t="s">
        <v>1368</v>
      </c>
      <c r="E82">
        <f>890/5/2</f>
        <v>89</v>
      </c>
    </row>
    <row r="83" spans="1:5" ht="14.45" customHeight="1" x14ac:dyDescent="0.35"/>
    <row r="84" spans="1:5" ht="14.45" customHeight="1" x14ac:dyDescent="0.35">
      <c r="A84" s="295" t="s">
        <v>1803</v>
      </c>
      <c r="C84" s="295" t="s">
        <v>528</v>
      </c>
      <c r="E84">
        <f>1080/5/2</f>
        <v>108</v>
      </c>
    </row>
  </sheetData>
  <conditionalFormatting sqref="E41:F41">
    <cfRule type="cellIs" dxfId="323" priority="785" operator="lessThan">
      <formula>0</formula>
    </cfRule>
    <cfRule type="cellIs" dxfId="322" priority="786" operator="greaterThan">
      <formula>0</formula>
    </cfRule>
  </conditionalFormatting>
  <conditionalFormatting sqref="E42:F42">
    <cfRule type="cellIs" dxfId="321" priority="781" operator="greaterThan">
      <formula>0.25</formula>
    </cfRule>
    <cfRule type="cellIs" dxfId="320" priority="782" operator="lessThan">
      <formula>0</formula>
    </cfRule>
    <cfRule type="cellIs" dxfId="319" priority="783" operator="between">
      <formula>0.01</formula>
      <formula>0.24</formula>
    </cfRule>
    <cfRule type="cellIs" dxfId="318" priority="784" operator="greaterThan">
      <formula>25</formula>
    </cfRule>
  </conditionalFormatting>
  <conditionalFormatting sqref="G41">
    <cfRule type="cellIs" dxfId="317" priority="779" operator="lessThan">
      <formula>0</formula>
    </cfRule>
    <cfRule type="cellIs" dxfId="316" priority="780" operator="greaterThan">
      <formula>0</formula>
    </cfRule>
  </conditionalFormatting>
  <conditionalFormatting sqref="G42">
    <cfRule type="cellIs" dxfId="315" priority="775" operator="greaterThan">
      <formula>0.25</formula>
    </cfRule>
    <cfRule type="cellIs" dxfId="314" priority="776" operator="lessThan">
      <formula>0</formula>
    </cfRule>
    <cfRule type="cellIs" dxfId="313" priority="777" operator="between">
      <formula>0.01</formula>
      <formula>0.24</formula>
    </cfRule>
    <cfRule type="cellIs" dxfId="312" priority="778" operator="greaterThan">
      <formula>25</formula>
    </cfRule>
  </conditionalFormatting>
  <conditionalFormatting sqref="D35:I35">
    <cfRule type="cellIs" dxfId="311" priority="787" operator="lessThan">
      <formula>0</formula>
    </cfRule>
    <cfRule type="cellIs" dxfId="310" priority="788" operator="greaterThan">
      <formula>0</formula>
    </cfRule>
  </conditionalFormatting>
  <conditionalFormatting sqref="D41">
    <cfRule type="cellIs" dxfId="309" priority="773" operator="lessThan">
      <formula>0</formula>
    </cfRule>
    <cfRule type="cellIs" dxfId="308" priority="774" operator="greaterThan">
      <formula>0</formula>
    </cfRule>
  </conditionalFormatting>
  <conditionalFormatting sqref="D42">
    <cfRule type="cellIs" dxfId="307" priority="769" operator="greaterThan">
      <formula>0.25</formula>
    </cfRule>
    <cfRule type="cellIs" dxfId="306" priority="770" operator="lessThan">
      <formula>0</formula>
    </cfRule>
    <cfRule type="cellIs" dxfId="305" priority="771" operator="between">
      <formula>0.01</formula>
      <formula>0.24</formula>
    </cfRule>
    <cfRule type="cellIs" dxfId="304" priority="772" operator="greaterThan">
      <formula>25</formula>
    </cfRule>
  </conditionalFormatting>
  <conditionalFormatting sqref="H41">
    <cfRule type="cellIs" dxfId="303" priority="767" operator="lessThan">
      <formula>0</formula>
    </cfRule>
    <cfRule type="cellIs" dxfId="302" priority="768" operator="greaterThan">
      <formula>0</formula>
    </cfRule>
  </conditionalFormatting>
  <conditionalFormatting sqref="H42">
    <cfRule type="cellIs" dxfId="301" priority="763" operator="greaterThan">
      <formula>0.25</formula>
    </cfRule>
    <cfRule type="cellIs" dxfId="300" priority="764" operator="lessThan">
      <formula>0</formula>
    </cfRule>
    <cfRule type="cellIs" dxfId="299" priority="765" operator="between">
      <formula>0.01</formula>
      <formula>0.24</formula>
    </cfRule>
    <cfRule type="cellIs" dxfId="298" priority="766" operator="greaterThan">
      <formula>25</formula>
    </cfRule>
  </conditionalFormatting>
  <conditionalFormatting sqref="I41">
    <cfRule type="cellIs" dxfId="297" priority="761" operator="lessThan">
      <formula>0</formula>
    </cfRule>
    <cfRule type="cellIs" dxfId="296" priority="762" operator="greaterThan">
      <formula>0</formula>
    </cfRule>
  </conditionalFormatting>
  <conditionalFormatting sqref="I42">
    <cfRule type="cellIs" dxfId="295" priority="757" operator="greaterThan">
      <formula>0.25</formula>
    </cfRule>
    <cfRule type="cellIs" dxfId="294" priority="758" operator="lessThan">
      <formula>0</formula>
    </cfRule>
    <cfRule type="cellIs" dxfId="293" priority="759" operator="between">
      <formula>0.01</formula>
      <formula>0.24</formula>
    </cfRule>
    <cfRule type="cellIs" dxfId="292" priority="760" operator="greaterThan">
      <formula>25</formula>
    </cfRule>
  </conditionalFormatting>
  <conditionalFormatting sqref="E37:F37">
    <cfRule type="cellIs" dxfId="291" priority="633" operator="greaterThan">
      <formula>0.25</formula>
    </cfRule>
    <cfRule type="cellIs" dxfId="290" priority="634" operator="lessThan">
      <formula>0</formula>
    </cfRule>
    <cfRule type="cellIs" dxfId="289" priority="635" operator="between">
      <formula>0.01</formula>
      <formula>0.24</formula>
    </cfRule>
    <cfRule type="cellIs" dxfId="288" priority="636" operator="greaterThan">
      <formula>25</formula>
    </cfRule>
  </conditionalFormatting>
  <conditionalFormatting sqref="G37">
    <cfRule type="cellIs" dxfId="287" priority="629" operator="greaterThan">
      <formula>0.25</formula>
    </cfRule>
    <cfRule type="cellIs" dxfId="286" priority="630" operator="lessThan">
      <formula>0</formula>
    </cfRule>
    <cfRule type="cellIs" dxfId="285" priority="631" operator="between">
      <formula>0.01</formula>
      <formula>0.24</formula>
    </cfRule>
    <cfRule type="cellIs" dxfId="284" priority="632" operator="greaterThan">
      <formula>25</formula>
    </cfRule>
  </conditionalFormatting>
  <conditionalFormatting sqref="D37">
    <cfRule type="cellIs" dxfId="283" priority="625" operator="greaterThan">
      <formula>0.25</formula>
    </cfRule>
    <cfRule type="cellIs" dxfId="282" priority="626" operator="lessThan">
      <formula>0</formula>
    </cfRule>
    <cfRule type="cellIs" dxfId="281" priority="627" operator="between">
      <formula>0.01</formula>
      <formula>0.24</formula>
    </cfRule>
    <cfRule type="cellIs" dxfId="280" priority="628" operator="greaterThan">
      <formula>25</formula>
    </cfRule>
  </conditionalFormatting>
  <conditionalFormatting sqref="H37">
    <cfRule type="cellIs" dxfId="279" priority="621" operator="greaterThan">
      <formula>0.25</formula>
    </cfRule>
    <cfRule type="cellIs" dxfId="278" priority="622" operator="lessThan">
      <formula>0</formula>
    </cfRule>
    <cfRule type="cellIs" dxfId="277" priority="623" operator="between">
      <formula>0.01</formula>
      <formula>0.24</formula>
    </cfRule>
    <cfRule type="cellIs" dxfId="276" priority="624" operator="greaterThan">
      <formula>25</formula>
    </cfRule>
  </conditionalFormatting>
  <conditionalFormatting sqref="I37">
    <cfRule type="cellIs" dxfId="275" priority="617" operator="greaterThan">
      <formula>0.25</formula>
    </cfRule>
    <cfRule type="cellIs" dxfId="274" priority="618" operator="lessThan">
      <formula>0</formula>
    </cfRule>
    <cfRule type="cellIs" dxfId="273" priority="619" operator="between">
      <formula>0.01</formula>
      <formula>0.24</formula>
    </cfRule>
    <cfRule type="cellIs" dxfId="272" priority="620" operator="greaterThan">
      <formula>25</formula>
    </cfRule>
  </conditionalFormatting>
  <conditionalFormatting sqref="F26:F28 F30">
    <cfRule type="cellIs" dxfId="271" priority="68" operator="lessThan">
      <formula>0</formula>
    </cfRule>
  </conditionalFormatting>
  <conditionalFormatting sqref="F28 F30">
    <cfRule type="cellIs" dxfId="270" priority="67" operator="greaterThan">
      <formula>0</formula>
    </cfRule>
  </conditionalFormatting>
  <conditionalFormatting sqref="G26:G28 G30">
    <cfRule type="cellIs" dxfId="269" priority="66" operator="lessThan">
      <formula>0</formula>
    </cfRule>
  </conditionalFormatting>
  <conditionalFormatting sqref="G28 G30">
    <cfRule type="cellIs" dxfId="268" priority="65" operator="greaterThan">
      <formula>0</formula>
    </cfRule>
  </conditionalFormatting>
  <conditionalFormatting sqref="H26:H28 H30">
    <cfRule type="cellIs" dxfId="267" priority="64" operator="lessThan">
      <formula>0</formula>
    </cfRule>
  </conditionalFormatting>
  <conditionalFormatting sqref="H28 H30">
    <cfRule type="cellIs" dxfId="266" priority="63" operator="greaterThan">
      <formula>0</formula>
    </cfRule>
  </conditionalFormatting>
  <conditionalFormatting sqref="I26:I28 I30">
    <cfRule type="cellIs" dxfId="265" priority="62" operator="lessThan">
      <formula>0</formula>
    </cfRule>
  </conditionalFormatting>
  <conditionalFormatting sqref="I28 I30">
    <cfRule type="cellIs" dxfId="264" priority="61" operator="greaterThan">
      <formula>0</formula>
    </cfRule>
  </conditionalFormatting>
  <conditionalFormatting sqref="O41:P41">
    <cfRule type="cellIs" dxfId="263" priority="57" operator="lessThan">
      <formula>0</formula>
    </cfRule>
    <cfRule type="cellIs" dxfId="262" priority="58" operator="greaterThan">
      <formula>0</formula>
    </cfRule>
  </conditionalFormatting>
  <conditionalFormatting sqref="O42:P42">
    <cfRule type="cellIs" dxfId="261" priority="53" operator="greaterThan">
      <formula>0.25</formula>
    </cfRule>
    <cfRule type="cellIs" dxfId="260" priority="54" operator="lessThan">
      <formula>0</formula>
    </cfRule>
    <cfRule type="cellIs" dxfId="259" priority="55" operator="between">
      <formula>0.01</formula>
      <formula>0.24</formula>
    </cfRule>
    <cfRule type="cellIs" dxfId="258" priority="56" operator="greaterThan">
      <formula>25</formula>
    </cfRule>
  </conditionalFormatting>
  <conditionalFormatting sqref="Q41">
    <cfRule type="cellIs" dxfId="257" priority="51" operator="lessThan">
      <formula>0</formula>
    </cfRule>
    <cfRule type="cellIs" dxfId="256" priority="52" operator="greaterThan">
      <formula>0</formula>
    </cfRule>
  </conditionalFormatting>
  <conditionalFormatting sqref="Q42">
    <cfRule type="cellIs" dxfId="255" priority="47" operator="greaterThan">
      <formula>0.25</formula>
    </cfRule>
    <cfRule type="cellIs" dxfId="254" priority="48" operator="lessThan">
      <formula>0</formula>
    </cfRule>
    <cfRule type="cellIs" dxfId="253" priority="49" operator="between">
      <formula>0.01</formula>
      <formula>0.24</formula>
    </cfRule>
    <cfRule type="cellIs" dxfId="252" priority="50" operator="greaterThan">
      <formula>25</formula>
    </cfRule>
  </conditionalFormatting>
  <conditionalFormatting sqref="N35:S35">
    <cfRule type="cellIs" dxfId="251" priority="59" operator="lessThan">
      <formula>0</formula>
    </cfRule>
    <cfRule type="cellIs" dxfId="250" priority="60" operator="greaterThan">
      <formula>0</formula>
    </cfRule>
  </conditionalFormatting>
  <conditionalFormatting sqref="N41">
    <cfRule type="cellIs" dxfId="249" priority="45" operator="lessThan">
      <formula>0</formula>
    </cfRule>
    <cfRule type="cellIs" dxfId="248" priority="46" operator="greaterThan">
      <formula>0</formula>
    </cfRule>
  </conditionalFormatting>
  <conditionalFormatting sqref="N42">
    <cfRule type="cellIs" dxfId="247" priority="41" operator="greaterThan">
      <formula>0.25</formula>
    </cfRule>
    <cfRule type="cellIs" dxfId="246" priority="42" operator="lessThan">
      <formula>0</formula>
    </cfRule>
    <cfRule type="cellIs" dxfId="245" priority="43" operator="between">
      <formula>0.01</formula>
      <formula>0.24</formula>
    </cfRule>
    <cfRule type="cellIs" dxfId="244" priority="44" operator="greaterThan">
      <formula>25</formula>
    </cfRule>
  </conditionalFormatting>
  <conditionalFormatting sqref="R41">
    <cfRule type="cellIs" dxfId="243" priority="39" operator="lessThan">
      <formula>0</formula>
    </cfRule>
    <cfRule type="cellIs" dxfId="242" priority="40" operator="greaterThan">
      <formula>0</formula>
    </cfRule>
  </conditionalFormatting>
  <conditionalFormatting sqref="R42">
    <cfRule type="cellIs" dxfId="241" priority="35" operator="greaterThan">
      <formula>0.25</formula>
    </cfRule>
    <cfRule type="cellIs" dxfId="240" priority="36" operator="lessThan">
      <formula>0</formula>
    </cfRule>
    <cfRule type="cellIs" dxfId="239" priority="37" operator="between">
      <formula>0.01</formula>
      <formula>0.24</formula>
    </cfRule>
    <cfRule type="cellIs" dxfId="238" priority="38" operator="greaterThan">
      <formula>25</formula>
    </cfRule>
  </conditionalFormatting>
  <conditionalFormatting sqref="S41">
    <cfRule type="cellIs" dxfId="237" priority="33" operator="lessThan">
      <formula>0</formula>
    </cfRule>
    <cfRule type="cellIs" dxfId="236" priority="34" operator="greaterThan">
      <formula>0</formula>
    </cfRule>
  </conditionalFormatting>
  <conditionalFormatting sqref="S42">
    <cfRule type="cellIs" dxfId="235" priority="29" operator="greaterThan">
      <formula>0.25</formula>
    </cfRule>
    <cfRule type="cellIs" dxfId="234" priority="30" operator="lessThan">
      <formula>0</formula>
    </cfRule>
    <cfRule type="cellIs" dxfId="233" priority="31" operator="between">
      <formula>0.01</formula>
      <formula>0.24</formula>
    </cfRule>
    <cfRule type="cellIs" dxfId="232" priority="32" operator="greaterThan">
      <formula>25</formula>
    </cfRule>
  </conditionalFormatting>
  <conditionalFormatting sqref="O37:P37">
    <cfRule type="cellIs" dxfId="231" priority="25" operator="greaterThan">
      <formula>0.25</formula>
    </cfRule>
    <cfRule type="cellIs" dxfId="230" priority="26" operator="lessThan">
      <formula>0</formula>
    </cfRule>
    <cfRule type="cellIs" dxfId="229" priority="27" operator="between">
      <formula>0.01</formula>
      <formula>0.24</formula>
    </cfRule>
    <cfRule type="cellIs" dxfId="228" priority="28" operator="greaterThan">
      <formula>25</formula>
    </cfRule>
  </conditionalFormatting>
  <conditionalFormatting sqref="Q37">
    <cfRule type="cellIs" dxfId="227" priority="21" operator="greaterThan">
      <formula>0.25</formula>
    </cfRule>
    <cfRule type="cellIs" dxfId="226" priority="22" operator="lessThan">
      <formula>0</formula>
    </cfRule>
    <cfRule type="cellIs" dxfId="225" priority="23" operator="between">
      <formula>0.01</formula>
      <formula>0.24</formula>
    </cfRule>
    <cfRule type="cellIs" dxfId="224" priority="24" operator="greaterThan">
      <formula>25</formula>
    </cfRule>
  </conditionalFormatting>
  <conditionalFormatting sqref="N37">
    <cfRule type="cellIs" dxfId="223" priority="17" operator="greaterThan">
      <formula>0.25</formula>
    </cfRule>
    <cfRule type="cellIs" dxfId="222" priority="18" operator="lessThan">
      <formula>0</formula>
    </cfRule>
    <cfRule type="cellIs" dxfId="221" priority="19" operator="between">
      <formula>0.01</formula>
      <formula>0.24</formula>
    </cfRule>
    <cfRule type="cellIs" dxfId="220" priority="20" operator="greaterThan">
      <formula>25</formula>
    </cfRule>
  </conditionalFormatting>
  <conditionalFormatting sqref="R37">
    <cfRule type="cellIs" dxfId="219" priority="13" operator="greaterThan">
      <formula>0.25</formula>
    </cfRule>
    <cfRule type="cellIs" dxfId="218" priority="14" operator="lessThan">
      <formula>0</formula>
    </cfRule>
    <cfRule type="cellIs" dxfId="217" priority="15" operator="between">
      <formula>0.01</formula>
      <formula>0.24</formula>
    </cfRule>
    <cfRule type="cellIs" dxfId="216" priority="16" operator="greaterThan">
      <formula>25</formula>
    </cfRule>
  </conditionalFormatting>
  <conditionalFormatting sqref="S37">
    <cfRule type="cellIs" dxfId="215" priority="9" operator="greaterThan">
      <formula>0.25</formula>
    </cfRule>
    <cfRule type="cellIs" dxfId="214" priority="10" operator="lessThan">
      <formula>0</formula>
    </cfRule>
    <cfRule type="cellIs" dxfId="213" priority="11" operator="between">
      <formula>0.01</formula>
      <formula>0.24</formula>
    </cfRule>
    <cfRule type="cellIs" dxfId="212" priority="12" operator="greaterThan">
      <formula>25</formula>
    </cfRule>
  </conditionalFormatting>
  <conditionalFormatting sqref="P26:P28 P30">
    <cfRule type="cellIs" dxfId="211" priority="8" operator="lessThan">
      <formula>0</formula>
    </cfRule>
  </conditionalFormatting>
  <conditionalFormatting sqref="P28 P30">
    <cfRule type="cellIs" dxfId="210" priority="7" operator="greaterThan">
      <formula>0</formula>
    </cfRule>
  </conditionalFormatting>
  <conditionalFormatting sqref="Q26:Q28 Q30">
    <cfRule type="cellIs" dxfId="209" priority="6" operator="lessThan">
      <formula>0</formula>
    </cfRule>
  </conditionalFormatting>
  <conditionalFormatting sqref="Q28 Q30">
    <cfRule type="cellIs" dxfId="208" priority="5" operator="greaterThan">
      <formula>0</formula>
    </cfRule>
  </conditionalFormatting>
  <conditionalFormatting sqref="R26:R28 R30">
    <cfRule type="cellIs" dxfId="207" priority="4" operator="lessThan">
      <formula>0</formula>
    </cfRule>
  </conditionalFormatting>
  <conditionalFormatting sqref="R28 R30">
    <cfRule type="cellIs" dxfId="206" priority="3" operator="greaterThan">
      <formula>0</formula>
    </cfRule>
  </conditionalFormatting>
  <conditionalFormatting sqref="S26:S28 S30">
    <cfRule type="cellIs" dxfId="205" priority="2" operator="lessThan">
      <formula>0</formula>
    </cfRule>
  </conditionalFormatting>
  <conditionalFormatting sqref="S28 S30">
    <cfRule type="cellIs" dxfId="204" priority="1" operator="greaterThan">
      <formula>0</formula>
    </cfRule>
  </conditionalFormatting>
  <pageMargins left="0.23622047244094491" right="0.23622047244094491" top="0.15748031496062989" bottom="0.15748031496062989" header="0.31496062992125978" footer="0.31496062992125978"/>
  <pageSetup paperSize="9"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pageSetUpPr fitToPage="1"/>
  </sheetPr>
  <dimension ref="A4:AC64"/>
  <sheetViews>
    <sheetView topLeftCell="C1" workbookViewId="0">
      <selection activeCell="X17" sqref="X17"/>
    </sheetView>
  </sheetViews>
  <sheetFormatPr defaultColWidth="9.1328125" defaultRowHeight="12.75" x14ac:dyDescent="0.35"/>
  <cols>
    <col min="1" max="1" width="9.1328125" style="45" customWidth="1"/>
    <col min="2" max="2" width="10.6640625" style="45" bestFit="1" customWidth="1"/>
    <col min="3" max="3" width="10.19921875" style="45" bestFit="1" customWidth="1"/>
    <col min="4" max="4" width="19.1328125" style="45" bestFit="1" customWidth="1"/>
    <col min="5" max="19" width="9.1328125" style="45" customWidth="1"/>
    <col min="20" max="20" width="4.53125" style="45" customWidth="1"/>
    <col min="21" max="21" width="27.53125" style="45" bestFit="1" customWidth="1"/>
    <col min="22" max="22" width="8.46484375" style="45" bestFit="1" customWidth="1"/>
    <col min="23" max="23" width="4.33203125" style="45" customWidth="1"/>
    <col min="24" max="24" width="19.1328125" style="45" bestFit="1" customWidth="1"/>
    <col min="25" max="25" width="33.19921875" style="45" bestFit="1" customWidth="1"/>
    <col min="26" max="26" width="19" style="45" bestFit="1" customWidth="1"/>
    <col min="27" max="27" width="15.33203125" style="45" bestFit="1" customWidth="1"/>
    <col min="28" max="28" width="10.53125" style="45" bestFit="1" customWidth="1"/>
    <col min="29" max="29" width="14.1328125" style="45" bestFit="1" customWidth="1"/>
    <col min="30" max="30" width="9.1328125" style="45" customWidth="1"/>
    <col min="31" max="16384" width="9.1328125" style="45"/>
  </cols>
  <sheetData>
    <row r="4" spans="1:29" x14ac:dyDescent="0.35">
      <c r="N4" s="732">
        <v>1</v>
      </c>
      <c r="O4" s="49" t="s">
        <v>512</v>
      </c>
      <c r="P4" s="49" t="s">
        <v>513</v>
      </c>
      <c r="T4" s="568">
        <v>1</v>
      </c>
      <c r="U4" s="853" t="s">
        <v>4362</v>
      </c>
      <c r="V4">
        <v>0</v>
      </c>
      <c r="W4" s="568">
        <v>1</v>
      </c>
      <c r="X4" t="s">
        <v>2235</v>
      </c>
      <c r="Y4" t="s">
        <v>4363</v>
      </c>
      <c r="Z4" t="s">
        <v>4364</v>
      </c>
      <c r="AA4" t="s">
        <v>4365</v>
      </c>
      <c r="AB4" t="s">
        <v>4366</v>
      </c>
      <c r="AC4" t="s">
        <v>979</v>
      </c>
    </row>
    <row r="5" spans="1:29" ht="13.15" customHeight="1" x14ac:dyDescent="0.4">
      <c r="A5" s="79">
        <v>1</v>
      </c>
      <c r="B5" s="83" t="s">
        <v>512</v>
      </c>
      <c r="C5" s="83" t="s">
        <v>513</v>
      </c>
      <c r="E5" s="79">
        <v>1</v>
      </c>
      <c r="G5" s="45" t="s">
        <v>3433</v>
      </c>
      <c r="N5" s="732">
        <v>2</v>
      </c>
      <c r="O5" s="49" t="s">
        <v>520</v>
      </c>
      <c r="P5" s="49" t="s">
        <v>521</v>
      </c>
      <c r="T5" s="568">
        <v>1</v>
      </c>
      <c r="U5" s="853" t="s">
        <v>4367</v>
      </c>
      <c r="V5">
        <v>22</v>
      </c>
      <c r="W5" s="568">
        <v>1</v>
      </c>
      <c r="X5" t="s">
        <v>2011</v>
      </c>
      <c r="Y5" t="s">
        <v>4368</v>
      </c>
      <c r="Z5" t="s">
        <v>4369</v>
      </c>
      <c r="AA5" t="s">
        <v>4370</v>
      </c>
      <c r="AB5" t="s">
        <v>4371</v>
      </c>
      <c r="AC5"/>
    </row>
    <row r="6" spans="1:29" ht="13.15" customHeight="1" x14ac:dyDescent="0.4">
      <c r="A6" s="79">
        <v>2</v>
      </c>
      <c r="B6" s="83" t="s">
        <v>513</v>
      </c>
      <c r="C6" s="83" t="s">
        <v>4372</v>
      </c>
      <c r="E6" s="79">
        <v>1</v>
      </c>
      <c r="G6" s="45" t="s">
        <v>2413</v>
      </c>
      <c r="N6" s="732">
        <v>3</v>
      </c>
      <c r="O6" s="49" t="s">
        <v>518</v>
      </c>
      <c r="P6" s="49" t="s">
        <v>4373</v>
      </c>
      <c r="T6" s="568">
        <v>1</v>
      </c>
      <c r="U6" s="853" t="s">
        <v>4374</v>
      </c>
      <c r="V6">
        <v>50</v>
      </c>
      <c r="W6" s="568">
        <v>1</v>
      </c>
      <c r="X6" t="s">
        <v>2048</v>
      </c>
      <c r="Y6" t="s">
        <v>4375</v>
      </c>
      <c r="Z6"/>
      <c r="AA6" t="s">
        <v>4376</v>
      </c>
      <c r="AB6" t="s">
        <v>4377</v>
      </c>
      <c r="AC6" t="s">
        <v>4378</v>
      </c>
    </row>
    <row r="7" spans="1:29" ht="13.15" customHeight="1" x14ac:dyDescent="0.4">
      <c r="A7" s="79">
        <v>3</v>
      </c>
      <c r="B7" s="83" t="s">
        <v>4379</v>
      </c>
      <c r="C7" s="83" t="s">
        <v>4380</v>
      </c>
      <c r="E7" s="79">
        <v>1</v>
      </c>
      <c r="G7" s="45" t="s">
        <v>3128</v>
      </c>
      <c r="N7" s="732">
        <v>4</v>
      </c>
      <c r="O7" s="49" t="s">
        <v>1032</v>
      </c>
      <c r="P7" s="49" t="s">
        <v>3992</v>
      </c>
      <c r="T7" s="568">
        <v>1</v>
      </c>
      <c r="U7" s="853" t="s">
        <v>4381</v>
      </c>
      <c r="V7">
        <v>75</v>
      </c>
      <c r="W7" s="568">
        <v>1</v>
      </c>
      <c r="X7" t="s">
        <v>1466</v>
      </c>
      <c r="Y7" t="s">
        <v>4382</v>
      </c>
      <c r="Z7" t="s">
        <v>4383</v>
      </c>
      <c r="AA7" t="s">
        <v>4376</v>
      </c>
      <c r="AB7" t="s">
        <v>4384</v>
      </c>
      <c r="AC7" t="s">
        <v>4385</v>
      </c>
    </row>
    <row r="8" spans="1:29" ht="13.15" customHeight="1" x14ac:dyDescent="0.4">
      <c r="A8" s="79">
        <v>4</v>
      </c>
      <c r="B8" s="46" t="s">
        <v>4386</v>
      </c>
      <c r="C8" s="46" t="s">
        <v>4163</v>
      </c>
      <c r="E8" s="79">
        <v>1</v>
      </c>
      <c r="G8" s="45" t="s">
        <v>3584</v>
      </c>
      <c r="N8" s="732">
        <v>5</v>
      </c>
      <c r="O8" s="49" t="s">
        <v>4145</v>
      </c>
      <c r="P8" s="49" t="s">
        <v>4146</v>
      </c>
      <c r="T8" s="568">
        <v>1</v>
      </c>
      <c r="U8" s="853" t="s">
        <v>4387</v>
      </c>
      <c r="V8">
        <v>99</v>
      </c>
      <c r="W8" s="568">
        <v>1</v>
      </c>
      <c r="X8" t="s">
        <v>2082</v>
      </c>
      <c r="Y8" t="s">
        <v>4388</v>
      </c>
      <c r="Z8"/>
      <c r="AA8" t="s">
        <v>4376</v>
      </c>
      <c r="AB8" t="s">
        <v>4389</v>
      </c>
      <c r="AC8" t="s">
        <v>4385</v>
      </c>
    </row>
    <row r="9" spans="1:29" ht="13.15" customHeight="1" x14ac:dyDescent="0.4">
      <c r="A9" s="79">
        <v>5</v>
      </c>
      <c r="B9" s="83" t="s">
        <v>520</v>
      </c>
      <c r="C9" s="83" t="s">
        <v>521</v>
      </c>
      <c r="E9" s="79">
        <v>1</v>
      </c>
      <c r="G9" s="45" t="s">
        <v>1681</v>
      </c>
      <c r="N9" s="732">
        <v>6</v>
      </c>
      <c r="O9" s="49" t="s">
        <v>4145</v>
      </c>
      <c r="P9" s="49" t="s">
        <v>4002</v>
      </c>
      <c r="T9" s="568">
        <v>1</v>
      </c>
      <c r="U9" s="853" t="s">
        <v>4390</v>
      </c>
      <c r="V9">
        <v>99</v>
      </c>
      <c r="W9" s="568">
        <v>1</v>
      </c>
      <c r="X9" t="s">
        <v>2063</v>
      </c>
      <c r="Y9" t="s">
        <v>4391</v>
      </c>
      <c r="Z9"/>
      <c r="AA9" t="s">
        <v>979</v>
      </c>
      <c r="AB9" t="s">
        <v>4392</v>
      </c>
      <c r="AC9" t="s">
        <v>979</v>
      </c>
    </row>
    <row r="10" spans="1:29" ht="13.15" customHeight="1" x14ac:dyDescent="0.4">
      <c r="A10" s="79">
        <v>6</v>
      </c>
      <c r="B10" s="46" t="s">
        <v>518</v>
      </c>
      <c r="C10" s="46" t="s">
        <v>4373</v>
      </c>
      <c r="E10" s="79">
        <v>1</v>
      </c>
      <c r="G10" s="45" t="s">
        <v>2920</v>
      </c>
      <c r="N10" s="732">
        <v>7</v>
      </c>
      <c r="O10" s="49" t="s">
        <v>4393</v>
      </c>
      <c r="P10" s="49" t="s">
        <v>3978</v>
      </c>
      <c r="T10" s="568">
        <v>1</v>
      </c>
      <c r="U10" s="853" t="s">
        <v>4218</v>
      </c>
      <c r="V10">
        <v>360</v>
      </c>
      <c r="W10" s="568">
        <v>1</v>
      </c>
      <c r="X10" t="s">
        <v>732</v>
      </c>
      <c r="Y10" t="s">
        <v>4394</v>
      </c>
      <c r="Z10"/>
      <c r="AA10" t="s">
        <v>4376</v>
      </c>
      <c r="AB10" t="s">
        <v>4395</v>
      </c>
      <c r="AC10" t="s">
        <v>4385</v>
      </c>
    </row>
    <row r="11" spans="1:29" ht="13.15" customHeight="1" x14ac:dyDescent="0.4">
      <c r="A11" s="79">
        <v>7</v>
      </c>
      <c r="B11" s="46" t="s">
        <v>1032</v>
      </c>
      <c r="C11" s="46" t="s">
        <v>3992</v>
      </c>
      <c r="E11" s="79">
        <v>1</v>
      </c>
      <c r="G11" s="45" t="s">
        <v>2424</v>
      </c>
      <c r="N11" s="732">
        <v>8</v>
      </c>
      <c r="O11" s="49" t="s">
        <v>4396</v>
      </c>
      <c r="P11" s="49" t="s">
        <v>3998</v>
      </c>
      <c r="T11" s="568">
        <v>1</v>
      </c>
      <c r="U11" s="853" t="s">
        <v>4136</v>
      </c>
      <c r="V11">
        <v>360</v>
      </c>
      <c r="W11" s="568">
        <v>1</v>
      </c>
      <c r="X11" t="s">
        <v>1009</v>
      </c>
      <c r="Y11" t="s">
        <v>4397</v>
      </c>
      <c r="Z11"/>
      <c r="AA11" t="s">
        <v>4376</v>
      </c>
      <c r="AB11" t="s">
        <v>4398</v>
      </c>
      <c r="AC11"/>
    </row>
    <row r="12" spans="1:29" ht="13.15" customHeight="1" x14ac:dyDescent="0.4">
      <c r="A12" s="79">
        <v>8</v>
      </c>
      <c r="B12" s="83" t="s">
        <v>4152</v>
      </c>
      <c r="C12" s="83" t="s">
        <v>4153</v>
      </c>
      <c r="E12" s="79">
        <v>1</v>
      </c>
      <c r="G12" s="45" t="s">
        <v>2137</v>
      </c>
      <c r="N12" s="732">
        <v>9</v>
      </c>
      <c r="O12" s="49" t="s">
        <v>4159</v>
      </c>
      <c r="P12" s="49" t="s">
        <v>4160</v>
      </c>
      <c r="T12" s="568">
        <v>1</v>
      </c>
      <c r="U12" s="853" t="s">
        <v>2205</v>
      </c>
      <c r="V12"/>
      <c r="W12" s="568">
        <v>1</v>
      </c>
      <c r="X12"/>
      <c r="Y12"/>
      <c r="Z12"/>
      <c r="AA12"/>
      <c r="AB12"/>
      <c r="AC12"/>
    </row>
    <row r="13" spans="1:29" ht="13.15" customHeight="1" x14ac:dyDescent="0.4">
      <c r="A13" s="79">
        <v>9</v>
      </c>
      <c r="B13" s="46" t="s">
        <v>3993</v>
      </c>
      <c r="C13" s="46" t="s">
        <v>3994</v>
      </c>
      <c r="E13" s="79">
        <v>1</v>
      </c>
      <c r="G13" s="45" t="s">
        <v>346</v>
      </c>
      <c r="N13" s="732">
        <v>10</v>
      </c>
      <c r="O13" s="49" t="s">
        <v>516</v>
      </c>
      <c r="P13" s="49" t="s">
        <v>517</v>
      </c>
      <c r="T13" s="568">
        <v>1</v>
      </c>
      <c r="U13" s="853" t="s">
        <v>4399</v>
      </c>
      <c r="V13"/>
      <c r="W13" s="568">
        <v>1</v>
      </c>
      <c r="X13"/>
      <c r="Y13"/>
      <c r="Z13"/>
      <c r="AA13"/>
      <c r="AB13"/>
      <c r="AC13"/>
    </row>
    <row r="14" spans="1:29" ht="13.15" customHeight="1" x14ac:dyDescent="0.4">
      <c r="A14" s="79">
        <v>10</v>
      </c>
      <c r="B14" s="46" t="s">
        <v>4182</v>
      </c>
      <c r="C14" s="46" t="s">
        <v>4400</v>
      </c>
      <c r="E14" s="79">
        <v>1</v>
      </c>
      <c r="G14" s="45" t="s">
        <v>2235</v>
      </c>
      <c r="N14" s="732">
        <v>11</v>
      </c>
      <c r="O14" s="49" t="s">
        <v>4401</v>
      </c>
      <c r="P14" s="49" t="s">
        <v>4156</v>
      </c>
      <c r="T14" s="568">
        <v>1</v>
      </c>
      <c r="U14" s="853" t="s">
        <v>4402</v>
      </c>
      <c r="V14"/>
      <c r="W14" s="568">
        <v>1</v>
      </c>
      <c r="X14"/>
      <c r="Y14"/>
      <c r="Z14"/>
      <c r="AA14"/>
      <c r="AB14"/>
      <c r="AC14"/>
    </row>
    <row r="15" spans="1:29" ht="13.15" customHeight="1" x14ac:dyDescent="0.4">
      <c r="A15" s="79">
        <v>11</v>
      </c>
      <c r="B15" s="46" t="s">
        <v>4145</v>
      </c>
      <c r="C15" s="46" t="s">
        <v>4146</v>
      </c>
      <c r="E15" s="79">
        <v>1</v>
      </c>
      <c r="G15" s="45" t="s">
        <v>3130</v>
      </c>
      <c r="N15" s="732">
        <v>12</v>
      </c>
      <c r="O15" s="49" t="s">
        <v>4168</v>
      </c>
      <c r="P15" s="49" t="s">
        <v>4403</v>
      </c>
      <c r="T15" s="568">
        <v>1</v>
      </c>
      <c r="U15" s="853" t="s">
        <v>4404</v>
      </c>
      <c r="V15">
        <v>825</v>
      </c>
      <c r="W15" s="568">
        <v>1</v>
      </c>
      <c r="X15" t="s">
        <v>1766</v>
      </c>
      <c r="Y15" t="s">
        <v>4405</v>
      </c>
      <c r="Z15" t="s">
        <v>4406</v>
      </c>
      <c r="AA15" t="s">
        <v>4407</v>
      </c>
      <c r="AB15" t="s">
        <v>4408</v>
      </c>
      <c r="AC15" t="s">
        <v>979</v>
      </c>
    </row>
    <row r="16" spans="1:29" ht="13.15" customHeight="1" x14ac:dyDescent="0.4">
      <c r="A16" s="79">
        <v>12</v>
      </c>
      <c r="B16" s="46" t="s">
        <v>4409</v>
      </c>
      <c r="C16" s="46" t="s">
        <v>4166</v>
      </c>
      <c r="E16" s="79">
        <v>1</v>
      </c>
      <c r="G16" s="45" t="s">
        <v>1009</v>
      </c>
      <c r="N16" s="732">
        <v>13</v>
      </c>
      <c r="O16" s="49" t="s">
        <v>4410</v>
      </c>
      <c r="P16" s="49" t="s">
        <v>4411</v>
      </c>
      <c r="T16" s="568">
        <v>1</v>
      </c>
      <c r="U16" s="853" t="s">
        <v>1690</v>
      </c>
      <c r="V16"/>
      <c r="W16" s="854">
        <v>1</v>
      </c>
      <c r="X16"/>
      <c r="Y16"/>
      <c r="Z16"/>
      <c r="AA16"/>
      <c r="AB16"/>
      <c r="AC16"/>
    </row>
    <row r="17" spans="1:29" ht="13.15" customHeight="1" x14ac:dyDescent="0.4">
      <c r="A17" s="79"/>
      <c r="B17" s="46"/>
      <c r="C17" s="46"/>
      <c r="E17" s="79"/>
      <c r="N17" s="732"/>
      <c r="O17" s="49"/>
      <c r="P17" s="49"/>
      <c r="T17" s="568">
        <v>1</v>
      </c>
      <c r="U17" s="853" t="s">
        <v>4412</v>
      </c>
      <c r="V17"/>
      <c r="W17" s="854">
        <v>1</v>
      </c>
      <c r="X17" t="s">
        <v>4412</v>
      </c>
      <c r="Y17"/>
      <c r="Z17"/>
      <c r="AA17"/>
      <c r="AB17"/>
      <c r="AC17"/>
    </row>
    <row r="18" spans="1:29" ht="13.15" customHeight="1" x14ac:dyDescent="0.4">
      <c r="A18" s="79"/>
      <c r="B18" s="46"/>
      <c r="C18" s="46"/>
      <c r="E18" s="79"/>
      <c r="N18" s="732"/>
      <c r="O18" s="49"/>
      <c r="P18" s="49"/>
      <c r="T18" s="568">
        <v>1</v>
      </c>
      <c r="U18" s="853" t="s">
        <v>64</v>
      </c>
      <c r="V18"/>
      <c r="W18" s="854">
        <v>1</v>
      </c>
      <c r="X18" t="s">
        <v>64</v>
      </c>
      <c r="Y18" t="s">
        <v>4413</v>
      </c>
      <c r="Z18"/>
      <c r="AA18" t="s">
        <v>4414</v>
      </c>
      <c r="AB18" t="s">
        <v>4415</v>
      </c>
      <c r="AC18" t="s">
        <v>4416</v>
      </c>
    </row>
    <row r="19" spans="1:29" ht="13.15" customHeight="1" x14ac:dyDescent="0.4">
      <c r="A19" s="79"/>
      <c r="B19" s="46"/>
      <c r="C19" s="46"/>
      <c r="E19" s="79"/>
      <c r="N19" s="732"/>
      <c r="O19" s="49"/>
      <c r="P19" s="49"/>
      <c r="T19" s="568"/>
      <c r="U19" s="853"/>
      <c r="V19"/>
      <c r="W19"/>
      <c r="X19"/>
      <c r="Y19"/>
      <c r="Z19"/>
      <c r="AA19"/>
      <c r="AB19"/>
      <c r="AC19"/>
    </row>
    <row r="20" spans="1:29" ht="13.15" customHeight="1" x14ac:dyDescent="0.4">
      <c r="A20" s="79"/>
      <c r="B20" s="46"/>
      <c r="C20" s="46"/>
      <c r="E20" s="79"/>
      <c r="N20" s="732"/>
      <c r="O20" s="49"/>
      <c r="P20" s="49"/>
      <c r="T20" s="568"/>
      <c r="U20" s="853"/>
      <c r="V20"/>
      <c r="W20"/>
      <c r="X20"/>
      <c r="Y20"/>
      <c r="Z20"/>
      <c r="AA20"/>
      <c r="AB20"/>
      <c r="AC20"/>
    </row>
    <row r="21" spans="1:29" ht="13.15" customHeight="1" x14ac:dyDescent="0.4">
      <c r="A21" s="79">
        <v>13</v>
      </c>
      <c r="B21" s="83" t="s">
        <v>4145</v>
      </c>
      <c r="C21" s="83" t="s">
        <v>4002</v>
      </c>
      <c r="E21" s="79">
        <v>1</v>
      </c>
      <c r="G21" s="45" t="s">
        <v>3553</v>
      </c>
      <c r="N21" s="732">
        <v>14</v>
      </c>
      <c r="O21" s="45" t="s">
        <v>4417</v>
      </c>
      <c r="P21" s="45" t="s">
        <v>4418</v>
      </c>
      <c r="T21" s="568"/>
      <c r="U21"/>
      <c r="V21"/>
      <c r="W21"/>
      <c r="X21"/>
      <c r="Y21"/>
      <c r="Z21"/>
      <c r="AA21"/>
      <c r="AB21"/>
      <c r="AC21"/>
    </row>
    <row r="22" spans="1:29" ht="13.15" customHeight="1" x14ac:dyDescent="0.4">
      <c r="A22" s="79">
        <v>14</v>
      </c>
      <c r="B22" s="83" t="s">
        <v>4393</v>
      </c>
      <c r="C22" s="83" t="s">
        <v>3978</v>
      </c>
      <c r="E22" s="79">
        <v>1</v>
      </c>
      <c r="G22" s="45" t="s">
        <v>4419</v>
      </c>
      <c r="N22" s="732">
        <v>15</v>
      </c>
      <c r="O22" s="45" t="s">
        <v>2865</v>
      </c>
      <c r="P22" s="45" t="s">
        <v>4420</v>
      </c>
      <c r="T22" s="568"/>
      <c r="U22"/>
      <c r="V22"/>
      <c r="W22" s="568"/>
      <c r="X22"/>
      <c r="Y22"/>
      <c r="Z22"/>
      <c r="AA22"/>
      <c r="AB22"/>
      <c r="AC22"/>
    </row>
    <row r="23" spans="1:29" ht="13.15" customHeight="1" x14ac:dyDescent="0.4">
      <c r="A23" s="79">
        <v>15</v>
      </c>
      <c r="B23" s="46" t="s">
        <v>3975</v>
      </c>
      <c r="C23" s="46" t="s">
        <v>4421</v>
      </c>
      <c r="E23" s="79">
        <v>1</v>
      </c>
      <c r="G23" s="45" t="s">
        <v>2941</v>
      </c>
      <c r="N23" s="732">
        <v>16</v>
      </c>
      <c r="O23" s="45" t="s">
        <v>4214</v>
      </c>
      <c r="P23" s="45" t="s">
        <v>4422</v>
      </c>
      <c r="T23" s="568"/>
      <c r="U23" t="s">
        <v>4085</v>
      </c>
      <c r="V23">
        <v>99</v>
      </c>
      <c r="W23" s="568">
        <v>1</v>
      </c>
      <c r="X23" t="s">
        <v>968</v>
      </c>
      <c r="Y23" t="s">
        <v>4423</v>
      </c>
      <c r="Z23" t="s">
        <v>4424</v>
      </c>
      <c r="AA23" t="s">
        <v>4425</v>
      </c>
      <c r="AB23" t="s">
        <v>4426</v>
      </c>
      <c r="AC23" t="s">
        <v>4427</v>
      </c>
    </row>
    <row r="24" spans="1:29" ht="13.15" customHeight="1" x14ac:dyDescent="0.4">
      <c r="A24" s="79">
        <v>16</v>
      </c>
      <c r="B24" s="46" t="s">
        <v>4396</v>
      </c>
      <c r="C24" s="46" t="s">
        <v>3998</v>
      </c>
      <c r="E24" s="79">
        <v>1</v>
      </c>
      <c r="G24" s="45" t="s">
        <v>2011</v>
      </c>
      <c r="N24" s="732">
        <v>17</v>
      </c>
      <c r="O24" s="45" t="s">
        <v>3990</v>
      </c>
      <c r="P24" s="45" t="s">
        <v>3991</v>
      </c>
      <c r="T24" s="568"/>
      <c r="U24" t="s">
        <v>4428</v>
      </c>
      <c r="V24">
        <v>100</v>
      </c>
      <c r="W24" s="568">
        <v>1</v>
      </c>
      <c r="X24" t="s">
        <v>346</v>
      </c>
      <c r="Y24" t="s">
        <v>4429</v>
      </c>
      <c r="Z24"/>
      <c r="AA24" t="s">
        <v>4370</v>
      </c>
      <c r="AB24" t="s">
        <v>4430</v>
      </c>
      <c r="AC24" t="s">
        <v>4385</v>
      </c>
    </row>
    <row r="25" spans="1:29" ht="13.15" customHeight="1" x14ac:dyDescent="0.4">
      <c r="A25" s="79">
        <v>17</v>
      </c>
      <c r="B25" s="46" t="s">
        <v>4431</v>
      </c>
      <c r="C25" s="46" t="s">
        <v>4432</v>
      </c>
      <c r="E25" s="79">
        <v>1</v>
      </c>
      <c r="G25" s="45" t="s">
        <v>4433</v>
      </c>
      <c r="N25" s="732">
        <v>18</v>
      </c>
      <c r="O25" s="45" t="s">
        <v>4058</v>
      </c>
      <c r="P25" s="45" t="s">
        <v>4089</v>
      </c>
      <c r="T25" s="568"/>
      <c r="U25"/>
      <c r="V25"/>
      <c r="W25" s="568"/>
    </row>
    <row r="26" spans="1:29" ht="13.15" customHeight="1" x14ac:dyDescent="0.4">
      <c r="A26" s="79">
        <v>18</v>
      </c>
      <c r="B26" s="46" t="s">
        <v>4434</v>
      </c>
      <c r="C26" s="46" t="s">
        <v>4435</v>
      </c>
      <c r="E26" s="79">
        <v>1</v>
      </c>
      <c r="G26" s="45" t="s">
        <v>3002</v>
      </c>
      <c r="N26" s="732">
        <v>19</v>
      </c>
      <c r="O26" s="45" t="s">
        <v>4165</v>
      </c>
      <c r="P26" s="45" t="s">
        <v>4166</v>
      </c>
      <c r="T26" s="568"/>
      <c r="U26" t="s">
        <v>4436</v>
      </c>
      <c r="V26">
        <v>395</v>
      </c>
      <c r="W26" s="568">
        <v>1</v>
      </c>
      <c r="X26" t="s">
        <v>1675</v>
      </c>
      <c r="Y26" t="s">
        <v>4437</v>
      </c>
      <c r="Z26" t="s">
        <v>4438</v>
      </c>
      <c r="AA26" t="s">
        <v>4439</v>
      </c>
      <c r="AB26" t="s">
        <v>4440</v>
      </c>
      <c r="AC26" t="s">
        <v>4441</v>
      </c>
    </row>
    <row r="27" spans="1:29" ht="13.15" customHeight="1" x14ac:dyDescent="0.4">
      <c r="A27" s="79">
        <v>19</v>
      </c>
      <c r="B27" s="46" t="s">
        <v>4176</v>
      </c>
      <c r="C27" s="46" t="s">
        <v>4177</v>
      </c>
      <c r="E27" s="79">
        <v>1</v>
      </c>
      <c r="G27" s="45" t="s">
        <v>4442</v>
      </c>
      <c r="N27" s="732">
        <v>20</v>
      </c>
      <c r="O27" s="45" t="s">
        <v>4145</v>
      </c>
      <c r="P27" s="45" t="s">
        <v>4146</v>
      </c>
      <c r="T27" s="568"/>
      <c r="U27"/>
      <c r="V27"/>
      <c r="W27" s="568"/>
      <c r="X27"/>
      <c r="Y27"/>
      <c r="Z27"/>
      <c r="AA27"/>
      <c r="AB27"/>
      <c r="AC27"/>
    </row>
    <row r="28" spans="1:29" ht="13.15" customHeight="1" x14ac:dyDescent="0.4">
      <c r="A28" s="79">
        <v>20</v>
      </c>
      <c r="B28" s="83" t="s">
        <v>4159</v>
      </c>
      <c r="C28" s="83" t="s">
        <v>4160</v>
      </c>
      <c r="E28" s="79">
        <v>2</v>
      </c>
      <c r="G28" s="45" t="s">
        <v>2443</v>
      </c>
      <c r="N28" s="732">
        <v>21</v>
      </c>
      <c r="O28" s="45" t="s">
        <v>4443</v>
      </c>
      <c r="P28" s="45" t="s">
        <v>4444</v>
      </c>
      <c r="T28" s="568"/>
      <c r="U28"/>
      <c r="V28"/>
      <c r="W28" s="568"/>
      <c r="X28"/>
      <c r="Y28"/>
      <c r="Z28"/>
      <c r="AA28"/>
      <c r="AB28"/>
      <c r="AC28"/>
    </row>
    <row r="29" spans="1:29" x14ac:dyDescent="0.35">
      <c r="A29" s="79">
        <v>21</v>
      </c>
      <c r="B29" s="45" t="s">
        <v>4445</v>
      </c>
      <c r="C29" s="45" t="s">
        <v>4116</v>
      </c>
      <c r="E29" s="79">
        <v>2</v>
      </c>
      <c r="G29" s="45" t="s">
        <v>1429</v>
      </c>
      <c r="N29" s="732">
        <v>22</v>
      </c>
      <c r="O29" s="45" t="s">
        <v>4446</v>
      </c>
      <c r="P29" s="45" t="s">
        <v>4403</v>
      </c>
      <c r="T29" s="568"/>
      <c r="U29"/>
      <c r="V29"/>
      <c r="W29" s="568"/>
      <c r="X29"/>
      <c r="Y29"/>
      <c r="Z29"/>
      <c r="AA29"/>
      <c r="AB29"/>
      <c r="AC29"/>
    </row>
    <row r="30" spans="1:29" x14ac:dyDescent="0.35">
      <c r="A30" s="79">
        <v>22</v>
      </c>
      <c r="B30" s="45" t="s">
        <v>4179</v>
      </c>
      <c r="C30" s="45" t="s">
        <v>4180</v>
      </c>
      <c r="E30" s="79">
        <v>2</v>
      </c>
      <c r="G30" s="45" t="s">
        <v>1186</v>
      </c>
      <c r="N30" s="732">
        <v>23</v>
      </c>
      <c r="O30" s="45" t="s">
        <v>4447</v>
      </c>
      <c r="P30" s="45" t="s">
        <v>4448</v>
      </c>
      <c r="T30" s="568"/>
      <c r="U30"/>
      <c r="V30"/>
      <c r="W30" s="568"/>
      <c r="X30"/>
      <c r="Y30"/>
      <c r="Z30"/>
      <c r="AA30"/>
      <c r="AB30"/>
      <c r="AC30"/>
    </row>
    <row r="31" spans="1:29" x14ac:dyDescent="0.35">
      <c r="A31" s="79">
        <v>23</v>
      </c>
      <c r="B31" s="45" t="s">
        <v>4145</v>
      </c>
      <c r="C31" s="45" t="s">
        <v>4449</v>
      </c>
      <c r="E31" s="79">
        <v>2</v>
      </c>
      <c r="G31" s="45" t="s">
        <v>4450</v>
      </c>
      <c r="N31" s="732">
        <v>24</v>
      </c>
      <c r="O31" s="45" t="s">
        <v>2622</v>
      </c>
      <c r="P31" s="45" t="s">
        <v>4451</v>
      </c>
      <c r="T31" s="568"/>
      <c r="U31" t="s">
        <v>4452</v>
      </c>
      <c r="V31">
        <v>750</v>
      </c>
      <c r="W31" s="568">
        <v>1</v>
      </c>
      <c r="X31" t="s">
        <v>2095</v>
      </c>
      <c r="Y31" t="s">
        <v>4453</v>
      </c>
      <c r="Z31"/>
      <c r="AA31" t="s">
        <v>4454</v>
      </c>
      <c r="AB31" t="s">
        <v>4455</v>
      </c>
      <c r="AC31" t="s">
        <v>4385</v>
      </c>
    </row>
    <row r="32" spans="1:29" x14ac:dyDescent="0.35">
      <c r="A32" s="79">
        <v>24</v>
      </c>
      <c r="E32" s="79"/>
      <c r="G32" s="45" t="s">
        <v>4456</v>
      </c>
      <c r="N32" s="732">
        <v>25</v>
      </c>
      <c r="O32" s="45" t="s">
        <v>4159</v>
      </c>
      <c r="P32" s="45" t="s">
        <v>4457</v>
      </c>
      <c r="T32" s="568"/>
      <c r="U32" t="s">
        <v>4458</v>
      </c>
      <c r="V32">
        <v>750</v>
      </c>
      <c r="W32" s="568">
        <v>1</v>
      </c>
      <c r="X32" t="s">
        <v>2097</v>
      </c>
      <c r="Y32" t="s">
        <v>4459</v>
      </c>
      <c r="Z32" t="s">
        <v>4460</v>
      </c>
      <c r="AA32" t="s">
        <v>4454</v>
      </c>
      <c r="AB32" t="s">
        <v>4461</v>
      </c>
      <c r="AC32" t="s">
        <v>4462</v>
      </c>
    </row>
    <row r="33" spans="1:29" x14ac:dyDescent="0.35">
      <c r="A33" s="79">
        <v>25</v>
      </c>
      <c r="E33" s="79"/>
      <c r="G33" s="45" t="s">
        <v>3429</v>
      </c>
      <c r="N33" s="732">
        <v>26</v>
      </c>
      <c r="O33" s="45" t="s">
        <v>520</v>
      </c>
      <c r="P33" s="45" t="s">
        <v>521</v>
      </c>
      <c r="T33" s="568"/>
      <c r="U33" t="s">
        <v>4463</v>
      </c>
      <c r="V33">
        <v>750</v>
      </c>
      <c r="W33" s="568">
        <v>1</v>
      </c>
      <c r="X33" t="s">
        <v>2096</v>
      </c>
      <c r="Y33" t="s">
        <v>4464</v>
      </c>
      <c r="Z33" t="s">
        <v>4465</v>
      </c>
      <c r="AA33" t="s">
        <v>4454</v>
      </c>
      <c r="AB33" t="s">
        <v>4466</v>
      </c>
      <c r="AC33" t="s">
        <v>979</v>
      </c>
    </row>
    <row r="34" spans="1:29" ht="13.15" customHeight="1" x14ac:dyDescent="0.4">
      <c r="A34" s="79">
        <v>26</v>
      </c>
      <c r="B34" s="46" t="s">
        <v>4467</v>
      </c>
      <c r="C34" s="46" t="s">
        <v>4265</v>
      </c>
      <c r="E34" s="79">
        <v>3</v>
      </c>
      <c r="G34" s="45" t="s">
        <v>2394</v>
      </c>
      <c r="N34" s="732">
        <v>27</v>
      </c>
      <c r="O34" s="45" t="s">
        <v>532</v>
      </c>
      <c r="P34" s="45" t="s">
        <v>4468</v>
      </c>
      <c r="T34" s="568"/>
      <c r="U34"/>
      <c r="V34"/>
      <c r="W34" s="568">
        <v>1</v>
      </c>
      <c r="X34" s="45" t="s">
        <v>1681</v>
      </c>
      <c r="Y34"/>
      <c r="Z34"/>
      <c r="AA34"/>
      <c r="AB34"/>
      <c r="AC34"/>
    </row>
    <row r="35" spans="1:29" ht="13.15" customHeight="1" x14ac:dyDescent="0.4">
      <c r="A35" s="79">
        <v>27</v>
      </c>
      <c r="B35" s="46" t="s">
        <v>4469</v>
      </c>
      <c r="C35" s="46" t="s">
        <v>4470</v>
      </c>
      <c r="E35" s="79">
        <v>3</v>
      </c>
      <c r="G35" s="45" t="s">
        <v>2861</v>
      </c>
      <c r="N35" s="732">
        <v>28</v>
      </c>
      <c r="O35" s="45" t="s">
        <v>4443</v>
      </c>
      <c r="P35" s="45" t="s">
        <v>4444</v>
      </c>
      <c r="T35" s="568"/>
      <c r="U35"/>
      <c r="V35"/>
      <c r="W35" s="568">
        <v>1</v>
      </c>
      <c r="X35" s="45" t="s">
        <v>346</v>
      </c>
      <c r="Y35"/>
      <c r="Z35"/>
      <c r="AA35"/>
      <c r="AB35"/>
      <c r="AC35"/>
    </row>
    <row r="36" spans="1:29" ht="13.15" customHeight="1" x14ac:dyDescent="0.4">
      <c r="A36" s="79">
        <v>28</v>
      </c>
      <c r="B36" s="46" t="s">
        <v>4192</v>
      </c>
      <c r="C36" s="46" t="s">
        <v>4471</v>
      </c>
      <c r="E36" s="79">
        <v>3</v>
      </c>
      <c r="G36" s="45" t="s">
        <v>2138</v>
      </c>
      <c r="N36" s="732">
        <v>29</v>
      </c>
      <c r="O36" s="45" t="s">
        <v>4472</v>
      </c>
      <c r="P36" s="45" t="s">
        <v>4473</v>
      </c>
      <c r="T36" s="568"/>
      <c r="U36"/>
      <c r="V36"/>
      <c r="W36" s="568">
        <v>1</v>
      </c>
      <c r="X36" s="45" t="s">
        <v>1429</v>
      </c>
      <c r="Y36"/>
      <c r="Z36"/>
      <c r="AA36"/>
      <c r="AB36"/>
      <c r="AC36"/>
    </row>
    <row r="37" spans="1:29" ht="15" customHeight="1" x14ac:dyDescent="0.4">
      <c r="A37" s="79">
        <v>29</v>
      </c>
      <c r="B37" s="46" t="s">
        <v>4168</v>
      </c>
      <c r="C37" s="46" t="s">
        <v>4057</v>
      </c>
      <c r="E37" s="79">
        <v>3</v>
      </c>
      <c r="G37" s="45" t="s">
        <v>3547</v>
      </c>
      <c r="N37" s="732">
        <v>30</v>
      </c>
      <c r="O37" s="45" t="s">
        <v>4474</v>
      </c>
      <c r="P37" s="45" t="s">
        <v>4042</v>
      </c>
      <c r="T37" s="568">
        <f>SUM(T4:T36)</f>
        <v>15</v>
      </c>
      <c r="U37" s="714"/>
      <c r="V37"/>
      <c r="W37" s="568">
        <v>1</v>
      </c>
      <c r="X37" s="45" t="s">
        <v>2394</v>
      </c>
      <c r="Y37"/>
      <c r="Z37"/>
      <c r="AA37"/>
      <c r="AB37"/>
      <c r="AC37"/>
    </row>
    <row r="38" spans="1:29" x14ac:dyDescent="0.35">
      <c r="A38" s="79">
        <v>30</v>
      </c>
      <c r="B38" s="45" t="s">
        <v>4475</v>
      </c>
      <c r="C38" s="45" t="s">
        <v>4476</v>
      </c>
      <c r="E38" s="79">
        <v>3</v>
      </c>
      <c r="G38" s="45" t="s">
        <v>2205</v>
      </c>
      <c r="N38" s="732">
        <v>31</v>
      </c>
      <c r="O38" s="45" t="s">
        <v>4412</v>
      </c>
      <c r="T38" s="732"/>
      <c r="U38" s="568"/>
      <c r="W38" s="568">
        <v>1</v>
      </c>
      <c r="X38" s="45" t="s">
        <v>1187</v>
      </c>
    </row>
    <row r="39" spans="1:29" x14ac:dyDescent="0.35">
      <c r="A39" s="79">
        <v>31</v>
      </c>
      <c r="B39" s="45" t="s">
        <v>3993</v>
      </c>
      <c r="C39" s="45" t="s">
        <v>4245</v>
      </c>
      <c r="E39" s="79">
        <v>3</v>
      </c>
      <c r="G39" s="45" t="s">
        <v>2095</v>
      </c>
      <c r="N39" s="732">
        <v>32</v>
      </c>
      <c r="O39" s="45" t="s">
        <v>4477</v>
      </c>
      <c r="U39" s="568"/>
      <c r="W39" s="568">
        <v>1</v>
      </c>
      <c r="X39" s="45" t="s">
        <v>784</v>
      </c>
    </row>
    <row r="40" spans="1:29" x14ac:dyDescent="0.35">
      <c r="A40" s="79">
        <v>32</v>
      </c>
      <c r="B40" s="45" t="s">
        <v>4016</v>
      </c>
      <c r="C40" s="45" t="s">
        <v>4017</v>
      </c>
      <c r="G40" s="45" t="s">
        <v>4478</v>
      </c>
      <c r="N40" s="732">
        <v>33</v>
      </c>
      <c r="O40" s="45" t="s">
        <v>4479</v>
      </c>
      <c r="U40" s="568"/>
      <c r="W40" s="568">
        <v>1</v>
      </c>
      <c r="X40" s="45" t="s">
        <v>2562</v>
      </c>
    </row>
    <row r="41" spans="1:29" x14ac:dyDescent="0.35">
      <c r="A41" s="79">
        <v>33</v>
      </c>
      <c r="B41" s="45" t="s">
        <v>4247</v>
      </c>
      <c r="C41" s="45" t="s">
        <v>4248</v>
      </c>
      <c r="E41" s="79">
        <v>3</v>
      </c>
      <c r="G41" s="45" t="s">
        <v>2777</v>
      </c>
      <c r="N41" s="732">
        <v>34</v>
      </c>
      <c r="O41" s="45" t="s">
        <v>4480</v>
      </c>
      <c r="U41" s="568"/>
      <c r="W41" s="568">
        <v>1</v>
      </c>
      <c r="X41" s="45" t="s">
        <v>2228</v>
      </c>
    </row>
    <row r="42" spans="1:29" x14ac:dyDescent="0.35">
      <c r="A42" s="79">
        <v>34</v>
      </c>
      <c r="B42" s="45" t="s">
        <v>4249</v>
      </c>
      <c r="C42" s="45" t="s">
        <v>4250</v>
      </c>
      <c r="G42" s="45" t="s">
        <v>4481</v>
      </c>
      <c r="N42" s="732">
        <v>35</v>
      </c>
      <c r="O42" s="45" t="s">
        <v>4482</v>
      </c>
      <c r="P42" s="45" t="s">
        <v>4483</v>
      </c>
      <c r="U42" s="568"/>
      <c r="W42" s="568">
        <v>1</v>
      </c>
      <c r="X42" s="45" t="s">
        <v>2502</v>
      </c>
    </row>
    <row r="43" spans="1:29" x14ac:dyDescent="0.35">
      <c r="A43" s="79">
        <v>35</v>
      </c>
      <c r="B43" s="45" t="s">
        <v>4252</v>
      </c>
      <c r="C43" s="45" t="s">
        <v>4253</v>
      </c>
      <c r="G43" s="45" t="s">
        <v>4484</v>
      </c>
      <c r="N43" s="732">
        <v>36</v>
      </c>
      <c r="O43" s="45" t="s">
        <v>4485</v>
      </c>
      <c r="P43" s="45" t="s">
        <v>4486</v>
      </c>
      <c r="U43" s="568"/>
      <c r="W43" s="568">
        <v>1</v>
      </c>
      <c r="X43" s="45" t="s">
        <v>4482</v>
      </c>
      <c r="Y43" s="45" t="s">
        <v>4483</v>
      </c>
    </row>
    <row r="44" spans="1:29" x14ac:dyDescent="0.35">
      <c r="A44" s="79">
        <v>36</v>
      </c>
      <c r="B44" s="45" t="s">
        <v>4254</v>
      </c>
      <c r="C44" s="45" t="s">
        <v>4255</v>
      </c>
      <c r="G44" s="45" t="s">
        <v>4487</v>
      </c>
      <c r="N44" s="732">
        <v>37</v>
      </c>
      <c r="O44" s="45" t="s">
        <v>4488</v>
      </c>
      <c r="P44" s="45" t="s">
        <v>4058</v>
      </c>
      <c r="U44" s="568"/>
      <c r="W44" s="568">
        <v>1</v>
      </c>
      <c r="X44" s="45" t="s">
        <v>4485</v>
      </c>
      <c r="Y44" s="45" t="s">
        <v>4486</v>
      </c>
    </row>
    <row r="45" spans="1:29" x14ac:dyDescent="0.35">
      <c r="A45" s="79">
        <v>37</v>
      </c>
      <c r="B45" s="45" t="s">
        <v>4027</v>
      </c>
      <c r="C45" s="45" t="s">
        <v>4264</v>
      </c>
      <c r="G45" s="45" t="s">
        <v>4489</v>
      </c>
      <c r="N45" s="732">
        <v>38</v>
      </c>
      <c r="O45" s="45" t="s">
        <v>1291</v>
      </c>
      <c r="P45" s="45" t="s">
        <v>4407</v>
      </c>
      <c r="U45" s="568"/>
      <c r="W45" s="568">
        <v>1</v>
      </c>
      <c r="X45" s="45" t="s">
        <v>4488</v>
      </c>
      <c r="Y45" s="45" t="s">
        <v>4058</v>
      </c>
    </row>
    <row r="46" spans="1:29" x14ac:dyDescent="0.35">
      <c r="A46" s="79">
        <v>38</v>
      </c>
      <c r="B46" s="45" t="s">
        <v>3988</v>
      </c>
      <c r="C46" s="45" t="s">
        <v>3989</v>
      </c>
      <c r="G46" s="45" t="s">
        <v>3229</v>
      </c>
      <c r="N46" s="732">
        <v>39</v>
      </c>
      <c r="U46" s="568"/>
      <c r="W46" s="568">
        <v>1</v>
      </c>
      <c r="X46" s="45" t="s">
        <v>1291</v>
      </c>
      <c r="Y46" s="45" t="s">
        <v>4407</v>
      </c>
    </row>
    <row r="47" spans="1:29" x14ac:dyDescent="0.35">
      <c r="A47" s="79">
        <v>39</v>
      </c>
      <c r="B47" s="45" t="s">
        <v>4179</v>
      </c>
      <c r="C47" s="45" t="s">
        <v>4204</v>
      </c>
      <c r="G47" s="45" t="s">
        <v>3001</v>
      </c>
      <c r="N47" s="732">
        <v>40</v>
      </c>
      <c r="U47" s="568"/>
      <c r="W47" s="568">
        <v>1</v>
      </c>
      <c r="X47" s="45" t="s">
        <v>4490</v>
      </c>
    </row>
    <row r="48" spans="1:29" x14ac:dyDescent="0.35">
      <c r="A48" s="79">
        <v>40</v>
      </c>
      <c r="B48" s="45" t="s">
        <v>4262</v>
      </c>
      <c r="C48" s="45" t="s">
        <v>4263</v>
      </c>
      <c r="G48" s="45" t="s">
        <v>3312</v>
      </c>
      <c r="N48" s="732">
        <v>41</v>
      </c>
      <c r="U48" s="568"/>
      <c r="W48" s="568">
        <v>1</v>
      </c>
      <c r="X48" s="45" t="s">
        <v>4491</v>
      </c>
    </row>
    <row r="50" spans="2:23" x14ac:dyDescent="0.35">
      <c r="B50" s="45" t="s">
        <v>4492</v>
      </c>
      <c r="C50" s="45" t="s">
        <v>4021</v>
      </c>
      <c r="E50" s="79">
        <v>3</v>
      </c>
      <c r="U50" s="568"/>
    </row>
    <row r="51" spans="2:23" x14ac:dyDescent="0.35">
      <c r="B51" s="45" t="s">
        <v>4493</v>
      </c>
      <c r="C51" s="45" t="s">
        <v>4042</v>
      </c>
      <c r="E51" s="79">
        <v>3</v>
      </c>
      <c r="U51" s="568"/>
      <c r="W51" s="568">
        <f>SUM(W4:W50)</f>
        <v>36</v>
      </c>
    </row>
    <row r="52" spans="2:23" x14ac:dyDescent="0.35">
      <c r="B52" s="45" t="s">
        <v>4494</v>
      </c>
      <c r="C52" s="45" t="s">
        <v>4123</v>
      </c>
      <c r="E52" s="79">
        <v>3</v>
      </c>
      <c r="U52" s="568"/>
      <c r="W52" s="732"/>
    </row>
    <row r="53" spans="2:23" x14ac:dyDescent="0.35">
      <c r="B53" s="45" t="s">
        <v>4005</v>
      </c>
      <c r="C53" s="45" t="s">
        <v>4495</v>
      </c>
      <c r="E53" s="79">
        <v>3</v>
      </c>
      <c r="U53" s="568"/>
    </row>
    <row r="54" spans="2:23" x14ac:dyDescent="0.35">
      <c r="U54" s="568"/>
    </row>
    <row r="55" spans="2:23" x14ac:dyDescent="0.35">
      <c r="U55" s="568"/>
    </row>
    <row r="56" spans="2:23" x14ac:dyDescent="0.35">
      <c r="U56" s="568"/>
    </row>
    <row r="57" spans="2:23" x14ac:dyDescent="0.35">
      <c r="U57" s="568"/>
    </row>
    <row r="58" spans="2:23" x14ac:dyDescent="0.35">
      <c r="U58" s="568"/>
    </row>
    <row r="59" spans="2:23" ht="14.25" customHeight="1" x14ac:dyDescent="0.35">
      <c r="B59" s="82" t="s">
        <v>4496</v>
      </c>
      <c r="U59" s="568"/>
    </row>
    <row r="60" spans="2:23" ht="14.25" customHeight="1" x14ac:dyDescent="0.35">
      <c r="B60" s="82" t="s">
        <v>4497</v>
      </c>
      <c r="U60" s="568"/>
    </row>
    <row r="61" spans="2:23" ht="14.25" customHeight="1" x14ac:dyDescent="0.35">
      <c r="B61" s="82" t="s">
        <v>4498</v>
      </c>
      <c r="U61" s="568"/>
    </row>
    <row r="62" spans="2:23" ht="14.25" customHeight="1" x14ac:dyDescent="0.35">
      <c r="B62" s="82" t="s">
        <v>4499</v>
      </c>
      <c r="U62" s="568"/>
    </row>
    <row r="63" spans="2:23" ht="14.25" customHeight="1" x14ac:dyDescent="0.35">
      <c r="B63" s="82"/>
      <c r="U63" s="568"/>
    </row>
    <row r="64" spans="2:23" ht="14.25" customHeight="1" x14ac:dyDescent="0.35">
      <c r="B64" s="82" t="s">
        <v>4500</v>
      </c>
      <c r="U64" s="568"/>
    </row>
  </sheetData>
  <pageMargins left="0.7" right="0.7" top="0.75" bottom="0.75" header="0.3" footer="0.3"/>
  <pageSetup paperSize="9" scale="39" orientation="landscape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>
    <tabColor rgb="FFA8F0E9"/>
    <pageSetUpPr fitToPage="1"/>
  </sheetPr>
  <dimension ref="A5:CX185"/>
  <sheetViews>
    <sheetView workbookViewId="0">
      <selection activeCell="B10" sqref="B10"/>
    </sheetView>
  </sheetViews>
  <sheetFormatPr defaultColWidth="9.1328125" defaultRowHeight="12.4" x14ac:dyDescent="0.3"/>
  <cols>
    <col min="1" max="1" width="5.19921875" style="77" customWidth="1"/>
    <col min="2" max="2" width="32.46484375" style="77" bestFit="1" customWidth="1"/>
    <col min="3" max="3" width="12.53125" style="77" customWidth="1"/>
    <col min="4" max="4" width="11.1328125" style="77" customWidth="1"/>
    <col min="5" max="5" width="17.53125" style="7" bestFit="1" customWidth="1"/>
    <col min="6" max="6" width="10" style="7" customWidth="1"/>
    <col min="7" max="7" width="13" style="7" customWidth="1"/>
    <col min="8" max="8" width="15.53125" style="7" customWidth="1"/>
    <col min="9" max="9" width="13" style="7" customWidth="1"/>
    <col min="10" max="10" width="20.46484375" style="112" bestFit="1" customWidth="1"/>
    <col min="11" max="11" width="9.33203125" style="7" customWidth="1"/>
    <col min="12" max="12" width="10.6640625" style="7" bestFit="1" customWidth="1"/>
    <col min="13" max="24" width="9.33203125" style="7" customWidth="1"/>
    <col min="25" max="25" width="10.796875" style="111" customWidth="1"/>
    <col min="26" max="32" width="9.33203125" style="7" customWidth="1"/>
    <col min="33" max="36" width="9.1328125" style="7" customWidth="1"/>
    <col min="37" max="37" width="10.6640625" style="7" bestFit="1" customWidth="1"/>
    <col min="38" max="38" width="9.1328125" style="7" customWidth="1"/>
    <col min="39" max="39" width="10.46484375" style="7" bestFit="1" customWidth="1"/>
    <col min="40" max="52" width="9.1328125" style="7" customWidth="1"/>
    <col min="53" max="53" width="10.6640625" style="7" bestFit="1" customWidth="1"/>
    <col min="54" max="57" width="9.1328125" style="7" customWidth="1"/>
    <col min="58" max="58" width="10.53125" style="7" bestFit="1" customWidth="1"/>
    <col min="59" max="59" width="12.1328125" style="7" bestFit="1" customWidth="1"/>
    <col min="60" max="64" width="9.1328125" style="7" customWidth="1"/>
    <col min="65" max="65" width="10.6640625" style="7" bestFit="1" customWidth="1"/>
    <col min="66" max="72" width="9.1328125" style="7" customWidth="1"/>
    <col min="73" max="73" width="10.46484375" style="7" bestFit="1" customWidth="1"/>
    <col min="74" max="74" width="10.53125" style="7" bestFit="1" customWidth="1"/>
    <col min="75" max="75" width="9.1328125" style="7" customWidth="1"/>
    <col min="76" max="76" width="10.796875" style="7" bestFit="1" customWidth="1"/>
    <col min="77" max="77" width="9.6640625" style="7" customWidth="1"/>
    <col min="78" max="83" width="9.1328125" style="7" customWidth="1"/>
    <col min="84" max="84" width="10.46484375" style="7" bestFit="1" customWidth="1"/>
    <col min="85" max="86" width="9.1328125" style="7" customWidth="1"/>
    <col min="87" max="87" width="12.1328125" style="7" bestFit="1" customWidth="1"/>
    <col min="88" max="88" width="9.1328125" style="7" customWidth="1"/>
    <col min="89" max="89" width="10.53125" style="7" bestFit="1" customWidth="1"/>
    <col min="90" max="90" width="10.796875" style="7" bestFit="1" customWidth="1"/>
    <col min="91" max="91" width="9.1328125" style="7" customWidth="1"/>
    <col min="92" max="16384" width="9.1328125" style="7"/>
  </cols>
  <sheetData>
    <row r="5" spans="1:102" s="154" customFormat="1" ht="38.25" customHeight="1" x14ac:dyDescent="0.3">
      <c r="A5" s="196" t="s">
        <v>4501</v>
      </c>
      <c r="B5" s="194" t="s">
        <v>4502</v>
      </c>
      <c r="C5" s="196"/>
      <c r="D5" s="196"/>
      <c r="E5" s="195" t="s">
        <v>4503</v>
      </c>
      <c r="F5" s="194" t="s">
        <v>4504</v>
      </c>
      <c r="G5" s="195" t="s">
        <v>550</v>
      </c>
      <c r="H5" s="195" t="s">
        <v>551</v>
      </c>
      <c r="I5" s="195" t="s">
        <v>4505</v>
      </c>
      <c r="J5" s="193" t="s">
        <v>4506</v>
      </c>
      <c r="K5" s="649">
        <v>42767</v>
      </c>
      <c r="L5" s="649">
        <v>42795</v>
      </c>
      <c r="M5" s="649">
        <v>42826</v>
      </c>
      <c r="N5" s="649">
        <v>42856</v>
      </c>
      <c r="O5" s="649">
        <v>42887</v>
      </c>
      <c r="P5" s="649">
        <v>42917</v>
      </c>
      <c r="Q5" s="649">
        <v>42948</v>
      </c>
      <c r="R5" s="649">
        <v>42979</v>
      </c>
      <c r="S5" s="649">
        <v>43009</v>
      </c>
      <c r="T5" s="649">
        <v>43040</v>
      </c>
      <c r="U5" s="649">
        <v>43070</v>
      </c>
      <c r="V5" s="649">
        <v>43101</v>
      </c>
      <c r="W5" s="649">
        <v>43132</v>
      </c>
      <c r="X5" s="649">
        <v>43160</v>
      </c>
      <c r="Y5" s="649">
        <v>43191</v>
      </c>
      <c r="Z5" s="649">
        <v>43221</v>
      </c>
      <c r="AA5" s="649">
        <v>43252</v>
      </c>
      <c r="AB5" s="649">
        <v>43282</v>
      </c>
      <c r="AC5" s="649">
        <v>43313</v>
      </c>
      <c r="AD5" s="649">
        <v>43344</v>
      </c>
      <c r="AE5" s="649">
        <v>43374</v>
      </c>
      <c r="AF5" s="649">
        <v>43405</v>
      </c>
      <c r="AG5" s="649">
        <v>43435</v>
      </c>
      <c r="AH5" s="649">
        <v>43466</v>
      </c>
      <c r="AI5" s="649">
        <v>43497</v>
      </c>
      <c r="AJ5" s="649">
        <v>43525</v>
      </c>
      <c r="AK5" s="649">
        <v>43556</v>
      </c>
      <c r="AL5" s="649">
        <v>43586</v>
      </c>
      <c r="AM5" s="649">
        <v>43617</v>
      </c>
      <c r="AN5" s="649">
        <v>43647</v>
      </c>
      <c r="AO5" s="649">
        <v>43678</v>
      </c>
      <c r="AP5" s="649">
        <v>43709</v>
      </c>
      <c r="AQ5" s="649">
        <v>43739</v>
      </c>
      <c r="AR5" s="649">
        <v>43770</v>
      </c>
      <c r="AS5" s="649">
        <v>43800</v>
      </c>
      <c r="AT5" s="649">
        <v>43831</v>
      </c>
      <c r="AU5" s="649">
        <v>43862</v>
      </c>
      <c r="AV5" s="649">
        <v>43891</v>
      </c>
      <c r="AW5" s="649">
        <v>43922</v>
      </c>
      <c r="AX5" s="649">
        <v>43952</v>
      </c>
      <c r="AY5" s="649">
        <v>43983</v>
      </c>
      <c r="AZ5" s="649">
        <v>44013</v>
      </c>
      <c r="BA5" s="649">
        <v>44044</v>
      </c>
      <c r="BB5" s="649">
        <v>44075</v>
      </c>
      <c r="BC5" s="649">
        <v>44105</v>
      </c>
      <c r="BD5" s="649">
        <v>44136</v>
      </c>
      <c r="BE5" s="649">
        <v>44166</v>
      </c>
      <c r="BF5" s="649">
        <v>44197</v>
      </c>
      <c r="BG5" s="649">
        <v>44228</v>
      </c>
      <c r="BH5" s="649">
        <v>44256</v>
      </c>
      <c r="BI5" s="649">
        <v>44287</v>
      </c>
      <c r="BJ5" s="649">
        <v>44317</v>
      </c>
      <c r="BK5" s="649">
        <v>44348</v>
      </c>
      <c r="BL5" s="649">
        <v>44378</v>
      </c>
      <c r="BM5" s="649">
        <v>44409</v>
      </c>
      <c r="BN5" s="649">
        <v>44440</v>
      </c>
      <c r="BO5" s="649">
        <v>44470</v>
      </c>
      <c r="BP5" s="649">
        <v>44501</v>
      </c>
      <c r="BQ5" s="649">
        <v>44531</v>
      </c>
      <c r="BR5" s="649">
        <v>44562</v>
      </c>
      <c r="BS5" s="649">
        <v>44593</v>
      </c>
      <c r="BT5" s="649">
        <v>44621</v>
      </c>
      <c r="BU5" s="649">
        <v>44652</v>
      </c>
      <c r="BV5" s="649">
        <v>44682</v>
      </c>
      <c r="BW5" s="649">
        <v>44713</v>
      </c>
      <c r="BX5" s="649">
        <v>44743</v>
      </c>
      <c r="BY5" s="649">
        <v>44774</v>
      </c>
      <c r="BZ5" s="649">
        <v>44805</v>
      </c>
      <c r="CA5" s="649">
        <v>44835</v>
      </c>
      <c r="CB5" s="649">
        <v>44866</v>
      </c>
      <c r="CC5" s="649">
        <v>44896</v>
      </c>
      <c r="CD5" s="649">
        <v>44927</v>
      </c>
      <c r="CE5" s="649">
        <v>44958</v>
      </c>
      <c r="CF5" s="649">
        <v>44986</v>
      </c>
      <c r="CG5" s="649">
        <v>45017</v>
      </c>
      <c r="CH5" s="649">
        <v>45047</v>
      </c>
      <c r="CI5" s="649">
        <v>45078</v>
      </c>
      <c r="CJ5" s="649">
        <v>45108</v>
      </c>
      <c r="CK5" s="649">
        <v>45139</v>
      </c>
      <c r="CL5" s="649">
        <v>45170</v>
      </c>
      <c r="CM5" s="649">
        <v>45200</v>
      </c>
      <c r="CN5" s="649">
        <v>45231</v>
      </c>
      <c r="CO5" s="649">
        <v>45261</v>
      </c>
      <c r="CP5" s="649">
        <v>45292</v>
      </c>
      <c r="CQ5" s="649">
        <v>45323</v>
      </c>
      <c r="CR5" s="649">
        <v>45352</v>
      </c>
      <c r="CS5" s="649">
        <v>45383</v>
      </c>
      <c r="CT5" s="649">
        <v>45413</v>
      </c>
      <c r="CU5" s="649">
        <v>45444</v>
      </c>
      <c r="CV5" s="649">
        <v>45474</v>
      </c>
      <c r="CW5" s="649">
        <v>45505</v>
      </c>
      <c r="CX5" s="649">
        <v>45536</v>
      </c>
    </row>
    <row r="6" spans="1:102" ht="12.75" customHeight="1" x14ac:dyDescent="0.3">
      <c r="A6" s="188" t="s">
        <v>4507</v>
      </c>
      <c r="B6" s="192" t="s">
        <v>4508</v>
      </c>
      <c r="C6" s="188"/>
      <c r="D6" s="188"/>
      <c r="E6" s="152"/>
      <c r="F6" s="152">
        <v>41001</v>
      </c>
      <c r="G6" s="135"/>
      <c r="H6" s="135"/>
      <c r="I6" s="135"/>
      <c r="J6" s="191"/>
      <c r="K6" s="152"/>
      <c r="L6" s="152"/>
      <c r="M6" s="152"/>
      <c r="N6" s="152"/>
      <c r="O6" s="152"/>
      <c r="P6" s="152"/>
      <c r="Q6" s="152"/>
      <c r="R6" s="152"/>
      <c r="S6" s="152"/>
      <c r="T6" s="152"/>
      <c r="U6" s="152"/>
      <c r="V6" s="152"/>
      <c r="W6" s="152"/>
      <c r="X6" s="136"/>
      <c r="Y6" s="151"/>
      <c r="Z6" s="135"/>
      <c r="AA6" s="135"/>
      <c r="AB6" s="135"/>
      <c r="AC6" s="135"/>
      <c r="AD6" s="135"/>
      <c r="AE6" s="135"/>
      <c r="AF6" s="135"/>
    </row>
    <row r="7" spans="1:102" ht="12.75" customHeight="1" x14ac:dyDescent="0.35">
      <c r="A7" s="189">
        <v>1</v>
      </c>
      <c r="B7" s="544" t="s">
        <v>4090</v>
      </c>
      <c r="C7" s="77" t="s">
        <v>3979</v>
      </c>
      <c r="D7" s="77" t="s">
        <v>4091</v>
      </c>
      <c r="E7" s="124" t="s">
        <v>4509</v>
      </c>
      <c r="F7" s="132">
        <v>43941</v>
      </c>
      <c r="H7" s="7">
        <v>20</v>
      </c>
      <c r="I7" s="7" t="s">
        <v>550</v>
      </c>
      <c r="J7" s="112" t="s">
        <v>4510</v>
      </c>
      <c r="AW7" s="7" t="s">
        <v>4511</v>
      </c>
      <c r="AX7" s="7" t="s">
        <v>4512</v>
      </c>
      <c r="AY7" s="7" t="s">
        <v>1101</v>
      </c>
      <c r="AZ7" s="7" t="s">
        <v>4513</v>
      </c>
      <c r="BA7" s="7" t="s">
        <v>4514</v>
      </c>
      <c r="BB7" s="7" t="s">
        <v>4515</v>
      </c>
      <c r="BC7" s="7" t="s">
        <v>4516</v>
      </c>
      <c r="BD7" s="7" t="s">
        <v>4517</v>
      </c>
      <c r="BE7" s="7" t="s">
        <v>4518</v>
      </c>
      <c r="BF7" s="7" t="s">
        <v>4519</v>
      </c>
      <c r="BG7" s="7" t="s">
        <v>4520</v>
      </c>
      <c r="BH7" s="7" t="s">
        <v>4521</v>
      </c>
      <c r="BI7" s="7" t="s">
        <v>4511</v>
      </c>
      <c r="BJ7" s="7" t="s">
        <v>4512</v>
      </c>
      <c r="BK7" s="7" t="s">
        <v>1101</v>
      </c>
      <c r="BL7" s="7" t="s">
        <v>4513</v>
      </c>
      <c r="BM7" s="7" t="s">
        <v>4514</v>
      </c>
      <c r="BN7" s="7" t="s">
        <v>4515</v>
      </c>
      <c r="BO7" s="7" t="s">
        <v>4516</v>
      </c>
      <c r="BP7" s="7" t="s">
        <v>4522</v>
      </c>
      <c r="BQ7" s="7" t="s">
        <v>4523</v>
      </c>
      <c r="BR7" s="7" t="s">
        <v>4518</v>
      </c>
      <c r="BS7" s="7" t="s">
        <v>4517</v>
      </c>
      <c r="BT7" s="7" t="s">
        <v>4521</v>
      </c>
      <c r="BU7" s="7" t="s">
        <v>4524</v>
      </c>
      <c r="BV7" s="7" t="s">
        <v>4519</v>
      </c>
      <c r="BW7" s="7" t="s">
        <v>1101</v>
      </c>
      <c r="BX7" s="7" t="s">
        <v>1217</v>
      </c>
      <c r="BY7" s="7" t="s">
        <v>4513</v>
      </c>
      <c r="BZ7" s="7" t="s">
        <v>4515</v>
      </c>
      <c r="CA7" s="7" t="s">
        <v>4516</v>
      </c>
      <c r="CB7" s="7" t="s">
        <v>4522</v>
      </c>
      <c r="CC7" s="7" t="s">
        <v>4525</v>
      </c>
      <c r="CD7" s="7" t="s">
        <v>4518</v>
      </c>
      <c r="CE7" s="7" t="s">
        <v>4517</v>
      </c>
      <c r="CF7" s="7" t="s">
        <v>4524</v>
      </c>
      <c r="CG7" s="7" t="s">
        <v>4511</v>
      </c>
      <c r="CH7" s="7" t="s">
        <v>4512</v>
      </c>
      <c r="CI7" s="7" t="s">
        <v>4520</v>
      </c>
      <c r="CJ7" s="7" t="s">
        <v>4521</v>
      </c>
      <c r="CK7" s="7" t="s">
        <v>4519</v>
      </c>
      <c r="CL7" s="7" t="s">
        <v>1217</v>
      </c>
      <c r="CM7" s="7" t="s">
        <v>4516</v>
      </c>
      <c r="CN7" s="7" t="s">
        <v>4525</v>
      </c>
      <c r="CO7" s="7" t="s">
        <v>4515</v>
      </c>
      <c r="CP7" s="7" t="s">
        <v>4526</v>
      </c>
      <c r="CQ7" s="7" t="s">
        <v>4522</v>
      </c>
      <c r="CR7" s="7" t="s">
        <v>4524</v>
      </c>
      <c r="CS7" s="7" t="s">
        <v>4511</v>
      </c>
      <c r="CT7" s="7" t="s">
        <v>4513</v>
      </c>
      <c r="CU7" s="7" t="s">
        <v>4520</v>
      </c>
    </row>
    <row r="8" spans="1:102" ht="12.75" customHeight="1" x14ac:dyDescent="0.3">
      <c r="A8" s="189">
        <v>2</v>
      </c>
      <c r="CK8" s="7" t="s">
        <v>4519</v>
      </c>
      <c r="CL8" s="7" t="s">
        <v>1217</v>
      </c>
      <c r="CM8" s="7" t="s">
        <v>4516</v>
      </c>
      <c r="CN8" s="7" t="s">
        <v>4525</v>
      </c>
      <c r="CO8" s="7" t="s">
        <v>4515</v>
      </c>
      <c r="CP8" s="7" t="s">
        <v>4526</v>
      </c>
      <c r="CQ8" s="7" t="s">
        <v>4522</v>
      </c>
      <c r="CR8" s="7" t="s">
        <v>4524</v>
      </c>
      <c r="CS8" s="7" t="s">
        <v>4511</v>
      </c>
      <c r="CT8" s="7" t="s">
        <v>4513</v>
      </c>
      <c r="CU8" s="7" t="s">
        <v>4520</v>
      </c>
    </row>
    <row r="9" spans="1:102" ht="12.75" customHeight="1" x14ac:dyDescent="0.3">
      <c r="A9" s="189">
        <v>3</v>
      </c>
    </row>
    <row r="10" spans="1:102" ht="12.75" customHeight="1" x14ac:dyDescent="0.35">
      <c r="A10" s="189">
        <v>4</v>
      </c>
      <c r="B10" s="544" t="s">
        <v>4085</v>
      </c>
      <c r="C10" s="77" t="s">
        <v>4086</v>
      </c>
      <c r="D10" s="77" t="s">
        <v>4087</v>
      </c>
      <c r="E10" s="124" t="s">
        <v>4527</v>
      </c>
      <c r="F10" s="132">
        <v>45584</v>
      </c>
      <c r="H10" s="7">
        <v>15</v>
      </c>
      <c r="I10" s="7" t="s">
        <v>550</v>
      </c>
      <c r="J10" s="112" t="s">
        <v>4528</v>
      </c>
    </row>
    <row r="11" spans="1:102" ht="12.75" customHeight="1" x14ac:dyDescent="0.3">
      <c r="A11" s="189">
        <v>5</v>
      </c>
    </row>
    <row r="12" spans="1:102" ht="12.75" customHeight="1" x14ac:dyDescent="0.35">
      <c r="A12" s="189">
        <v>6</v>
      </c>
      <c r="F12" s="132"/>
    </row>
    <row r="13" spans="1:102" ht="12.75" customHeight="1" x14ac:dyDescent="0.35">
      <c r="A13" s="189"/>
      <c r="B13" s="544" t="s">
        <v>4529</v>
      </c>
      <c r="C13" s="77" t="s">
        <v>4262</v>
      </c>
      <c r="D13" s="77" t="s">
        <v>4271</v>
      </c>
      <c r="E13" s="124" t="s">
        <v>4530</v>
      </c>
      <c r="F13" s="132">
        <v>45142</v>
      </c>
      <c r="H13" s="7">
        <v>200</v>
      </c>
      <c r="I13" s="7" t="s">
        <v>3810</v>
      </c>
      <c r="J13" s="112" t="s">
        <v>4531</v>
      </c>
    </row>
    <row r="14" spans="1:102" ht="12.75" customHeight="1" x14ac:dyDescent="0.35">
      <c r="A14" s="189"/>
      <c r="B14" s="544" t="s">
        <v>4532</v>
      </c>
      <c r="C14" s="77" t="s">
        <v>4533</v>
      </c>
      <c r="D14" s="77" t="s">
        <v>4534</v>
      </c>
      <c r="E14" s="124" t="s">
        <v>4535</v>
      </c>
      <c r="F14" s="132">
        <v>45726</v>
      </c>
      <c r="H14" s="7">
        <v>15</v>
      </c>
      <c r="I14" s="7" t="s">
        <v>550</v>
      </c>
      <c r="J14" s="112" t="s">
        <v>4536</v>
      </c>
    </row>
    <row r="15" spans="1:102" ht="12.75" customHeight="1" x14ac:dyDescent="0.35">
      <c r="A15" s="189"/>
      <c r="B15" s="544" t="s">
        <v>4428</v>
      </c>
      <c r="C15" s="77" t="s">
        <v>3990</v>
      </c>
      <c r="D15" s="77" t="s">
        <v>3991</v>
      </c>
      <c r="E15" s="124" t="s">
        <v>4537</v>
      </c>
      <c r="F15" s="7">
        <v>1.7</v>
      </c>
      <c r="H15" s="7">
        <v>20</v>
      </c>
      <c r="I15" s="7" t="s">
        <v>550</v>
      </c>
      <c r="J15" s="112" t="s">
        <v>4528</v>
      </c>
      <c r="CA15" s="7" t="s">
        <v>4516</v>
      </c>
      <c r="CB15" s="7" t="s">
        <v>4522</v>
      </c>
      <c r="CC15" s="7" t="s">
        <v>4525</v>
      </c>
      <c r="CD15" s="7" t="s">
        <v>4518</v>
      </c>
      <c r="CE15" s="7" t="s">
        <v>4517</v>
      </c>
      <c r="CF15" s="7" t="s">
        <v>4524</v>
      </c>
      <c r="CG15" s="7" t="s">
        <v>4511</v>
      </c>
    </row>
    <row r="16" spans="1:102" ht="12.75" customHeight="1" x14ac:dyDescent="0.35">
      <c r="A16" s="189"/>
      <c r="B16" s="544" t="s">
        <v>4538</v>
      </c>
      <c r="C16" s="77" t="s">
        <v>4539</v>
      </c>
      <c r="D16" s="77" t="s">
        <v>4540</v>
      </c>
      <c r="E16" s="124" t="s">
        <v>4541</v>
      </c>
      <c r="F16" s="132">
        <v>45615</v>
      </c>
      <c r="H16" s="7">
        <v>15</v>
      </c>
      <c r="I16" s="7" t="s">
        <v>550</v>
      </c>
      <c r="J16" s="112" t="s">
        <v>4542</v>
      </c>
    </row>
    <row r="17" spans="1:99" ht="12.75" customHeight="1" x14ac:dyDescent="0.35">
      <c r="A17" s="189"/>
      <c r="B17" s="544" t="s">
        <v>4543</v>
      </c>
      <c r="C17" s="1060" t="s">
        <v>4165</v>
      </c>
      <c r="D17" s="1060" t="s">
        <v>4544</v>
      </c>
      <c r="E17" s="1061"/>
      <c r="F17" s="1062">
        <v>45274</v>
      </c>
      <c r="G17" s="28"/>
      <c r="H17" s="28">
        <v>200</v>
      </c>
      <c r="I17" s="28" t="s">
        <v>551</v>
      </c>
      <c r="J17" s="956" t="s">
        <v>4545</v>
      </c>
      <c r="K17" s="28"/>
      <c r="CO17" s="7" t="s">
        <v>4515</v>
      </c>
      <c r="CP17" s="7" t="s">
        <v>4526</v>
      </c>
      <c r="CQ17" s="7" t="s">
        <v>4522</v>
      </c>
      <c r="CR17" s="7" t="s">
        <v>4524</v>
      </c>
      <c r="CS17" s="7" t="s">
        <v>4511</v>
      </c>
      <c r="CT17" s="7" t="s">
        <v>4513</v>
      </c>
      <c r="CU17" s="7" t="s">
        <v>4520</v>
      </c>
    </row>
    <row r="18" spans="1:99" ht="12.75" customHeight="1" x14ac:dyDescent="0.35">
      <c r="A18" s="189"/>
      <c r="B18" s="544" t="s">
        <v>4546</v>
      </c>
      <c r="C18" s="77" t="s">
        <v>4547</v>
      </c>
      <c r="D18" s="77" t="s">
        <v>4548</v>
      </c>
      <c r="E18" s="124"/>
      <c r="F18" s="132">
        <v>45316</v>
      </c>
      <c r="H18" s="7">
        <v>20</v>
      </c>
      <c r="I18" s="7" t="s">
        <v>550</v>
      </c>
      <c r="CQ18" s="7" t="s">
        <v>4522</v>
      </c>
      <c r="CR18" s="7" t="s">
        <v>4524</v>
      </c>
      <c r="CS18" s="7" t="s">
        <v>4511</v>
      </c>
      <c r="CT18" s="7" t="s">
        <v>4513</v>
      </c>
      <c r="CU18" s="7" t="s">
        <v>4520</v>
      </c>
    </row>
    <row r="19" spans="1:99" ht="12.75" customHeight="1" x14ac:dyDescent="0.35">
      <c r="A19" s="189">
        <v>7</v>
      </c>
      <c r="B19" s="545" t="s">
        <v>4549</v>
      </c>
      <c r="C19" s="77" t="s">
        <v>4550</v>
      </c>
      <c r="D19" s="77" t="s">
        <v>4551</v>
      </c>
      <c r="F19" s="132">
        <v>45265</v>
      </c>
      <c r="H19" s="7">
        <v>20</v>
      </c>
      <c r="I19" s="7" t="s">
        <v>550</v>
      </c>
      <c r="J19" s="112" t="s">
        <v>4552</v>
      </c>
      <c r="CO19" s="7" t="s">
        <v>4515</v>
      </c>
      <c r="CP19" s="7" t="s">
        <v>4526</v>
      </c>
      <c r="CQ19" s="7" t="s">
        <v>4522</v>
      </c>
      <c r="CR19" s="7" t="s">
        <v>4524</v>
      </c>
      <c r="CS19" s="7" t="s">
        <v>4511</v>
      </c>
      <c r="CT19" s="7" t="s">
        <v>4513</v>
      </c>
      <c r="CU19" s="7" t="s">
        <v>4520</v>
      </c>
    </row>
    <row r="20" spans="1:99" ht="12.75" customHeight="1" x14ac:dyDescent="0.35">
      <c r="A20" s="189">
        <v>8</v>
      </c>
      <c r="B20" s="544" t="s">
        <v>4553</v>
      </c>
      <c r="C20" s="77" t="s">
        <v>4554</v>
      </c>
      <c r="D20" s="77" t="s">
        <v>4555</v>
      </c>
      <c r="E20" s="124" t="s">
        <v>4556</v>
      </c>
      <c r="F20" s="132">
        <v>45346</v>
      </c>
      <c r="H20" s="7">
        <v>20</v>
      </c>
      <c r="I20" s="7" t="s">
        <v>550</v>
      </c>
      <c r="J20" s="112" t="s">
        <v>4557</v>
      </c>
      <c r="CQ20" s="7" t="s">
        <v>4522</v>
      </c>
      <c r="CR20" s="7" t="s">
        <v>4524</v>
      </c>
    </row>
    <row r="21" spans="1:99" ht="12.75" customHeight="1" x14ac:dyDescent="0.35">
      <c r="A21" s="189"/>
      <c r="B21" s="544" t="s">
        <v>4558</v>
      </c>
      <c r="C21" s="77" t="s">
        <v>4559</v>
      </c>
      <c r="D21" s="77" t="s">
        <v>4560</v>
      </c>
      <c r="E21" s="124" t="s">
        <v>4561</v>
      </c>
      <c r="F21" s="132">
        <v>45274</v>
      </c>
      <c r="H21" s="7">
        <v>20</v>
      </c>
      <c r="I21" s="7" t="s">
        <v>550</v>
      </c>
      <c r="J21" s="112" t="s">
        <v>4552</v>
      </c>
      <c r="CO21" s="7" t="s">
        <v>4515</v>
      </c>
      <c r="CP21" s="7" t="s">
        <v>4526</v>
      </c>
      <c r="CQ21" s="7" t="s">
        <v>4522</v>
      </c>
    </row>
    <row r="22" spans="1:99" ht="12.75" customHeight="1" x14ac:dyDescent="0.35">
      <c r="A22" s="189"/>
      <c r="B22" s="544" t="s">
        <v>4562</v>
      </c>
      <c r="C22" s="77" t="s">
        <v>4563</v>
      </c>
      <c r="D22" s="77" t="s">
        <v>4564</v>
      </c>
      <c r="E22" s="7" t="s">
        <v>4565</v>
      </c>
      <c r="F22" s="132">
        <v>45120</v>
      </c>
      <c r="H22" s="7">
        <v>20</v>
      </c>
      <c r="I22" s="7" t="s">
        <v>550</v>
      </c>
      <c r="CJ22" s="7" t="s">
        <v>4521</v>
      </c>
      <c r="CK22" s="7" t="s">
        <v>4519</v>
      </c>
      <c r="CL22" s="7" t="s">
        <v>1217</v>
      </c>
      <c r="CM22" s="7" t="s">
        <v>4516</v>
      </c>
    </row>
    <row r="23" spans="1:99" ht="12.75" customHeight="1" x14ac:dyDescent="0.35">
      <c r="A23" s="189"/>
      <c r="B23" s="544" t="s">
        <v>4105</v>
      </c>
      <c r="C23" s="77" t="s">
        <v>2623</v>
      </c>
      <c r="D23" s="77" t="s">
        <v>4106</v>
      </c>
      <c r="E23" s="124" t="s">
        <v>4566</v>
      </c>
      <c r="F23" s="132">
        <v>44511</v>
      </c>
      <c r="H23" s="7">
        <v>20</v>
      </c>
      <c r="I23" s="7" t="s">
        <v>550</v>
      </c>
      <c r="J23" s="112" t="s">
        <v>4567</v>
      </c>
      <c r="BP23" s="7" t="s">
        <v>4522</v>
      </c>
      <c r="BS23" s="7" t="s">
        <v>4517</v>
      </c>
      <c r="BT23" s="7" t="s">
        <v>4521</v>
      </c>
      <c r="BU23" s="7" t="s">
        <v>4524</v>
      </c>
      <c r="BV23" s="7" t="s">
        <v>4519</v>
      </c>
      <c r="BW23" s="7" t="s">
        <v>1101</v>
      </c>
      <c r="BX23" s="7" t="s">
        <v>1217</v>
      </c>
      <c r="BY23" s="7" t="s">
        <v>4513</v>
      </c>
      <c r="BZ23" s="7" t="s">
        <v>4515</v>
      </c>
      <c r="CH23" s="7" t="s">
        <v>4512</v>
      </c>
      <c r="CI23" s="7" t="s">
        <v>4520</v>
      </c>
    </row>
    <row r="24" spans="1:99" ht="12.75" customHeight="1" x14ac:dyDescent="0.35">
      <c r="A24" s="189"/>
      <c r="B24" s="544" t="s">
        <v>4568</v>
      </c>
      <c r="C24" s="77" t="s">
        <v>4058</v>
      </c>
      <c r="D24" s="77" t="s">
        <v>4569</v>
      </c>
      <c r="E24" s="124" t="s">
        <v>4570</v>
      </c>
      <c r="F24" s="132">
        <v>43762</v>
      </c>
      <c r="H24" s="7">
        <v>200</v>
      </c>
      <c r="I24" s="7" t="s">
        <v>3810</v>
      </c>
      <c r="J24" s="956" t="s">
        <v>4571</v>
      </c>
      <c r="AQ24" s="7" t="s">
        <v>4516</v>
      </c>
      <c r="AR24" s="7" t="s">
        <v>4515</v>
      </c>
      <c r="AS24" s="7" t="s">
        <v>4517</v>
      </c>
      <c r="AT24" s="7" t="s">
        <v>4518</v>
      </c>
      <c r="AU24" s="7" t="s">
        <v>4524</v>
      </c>
      <c r="AV24" s="7" t="s">
        <v>4522</v>
      </c>
      <c r="AW24" s="7" t="s">
        <v>4511</v>
      </c>
      <c r="AX24" s="7" t="s">
        <v>4512</v>
      </c>
      <c r="AY24" s="7" t="s">
        <v>1101</v>
      </c>
      <c r="AZ24" s="7" t="s">
        <v>4513</v>
      </c>
      <c r="BA24" s="7" t="s">
        <v>4514</v>
      </c>
      <c r="BB24" s="7" t="s">
        <v>4515</v>
      </c>
      <c r="BC24" s="7" t="s">
        <v>4516</v>
      </c>
      <c r="BD24" s="7" t="s">
        <v>4517</v>
      </c>
      <c r="BE24" s="7" t="s">
        <v>4518</v>
      </c>
      <c r="BF24" s="7" t="s">
        <v>4519</v>
      </c>
      <c r="BG24" s="7" t="s">
        <v>4520</v>
      </c>
      <c r="BH24" s="7" t="s">
        <v>4521</v>
      </c>
      <c r="BI24" s="7" t="s">
        <v>4511</v>
      </c>
      <c r="BJ24" s="7" t="s">
        <v>4512</v>
      </c>
      <c r="BK24" s="7" t="s">
        <v>1101</v>
      </c>
      <c r="BL24" s="7" t="s">
        <v>4513</v>
      </c>
      <c r="BM24" s="7" t="s">
        <v>4514</v>
      </c>
      <c r="BN24" s="7" t="s">
        <v>4515</v>
      </c>
      <c r="BO24" s="7" t="s">
        <v>4516</v>
      </c>
      <c r="BP24" s="7" t="s">
        <v>4522</v>
      </c>
      <c r="BQ24" s="7" t="s">
        <v>4523</v>
      </c>
      <c r="BR24" s="7" t="s">
        <v>4518</v>
      </c>
      <c r="BS24" s="7" t="s">
        <v>4517</v>
      </c>
      <c r="BT24" s="7" t="s">
        <v>4521</v>
      </c>
      <c r="BU24" s="7" t="s">
        <v>4524</v>
      </c>
      <c r="BV24" s="7" t="s">
        <v>4519</v>
      </c>
      <c r="BW24" s="7" t="s">
        <v>1101</v>
      </c>
      <c r="BX24" s="7" t="s">
        <v>1217</v>
      </c>
      <c r="BY24" s="7" t="s">
        <v>4513</v>
      </c>
      <c r="BZ24" s="7" t="s">
        <v>4515</v>
      </c>
      <c r="CA24" s="7" t="s">
        <v>4516</v>
      </c>
      <c r="CB24" s="7" t="s">
        <v>4522</v>
      </c>
      <c r="CC24" s="7" t="s">
        <v>4525</v>
      </c>
      <c r="CD24" s="7" t="s">
        <v>4518</v>
      </c>
      <c r="CE24" s="7" t="s">
        <v>4517</v>
      </c>
      <c r="CF24" s="7" t="s">
        <v>4524</v>
      </c>
      <c r="CG24" s="7" t="s">
        <v>4511</v>
      </c>
      <c r="CH24" s="7" t="s">
        <v>4512</v>
      </c>
      <c r="CI24" s="7" t="s">
        <v>4520</v>
      </c>
      <c r="CJ24" s="7" t="s">
        <v>4521</v>
      </c>
      <c r="CK24" s="7" t="s">
        <v>4519</v>
      </c>
      <c r="CL24" s="7" t="s">
        <v>1217</v>
      </c>
    </row>
    <row r="25" spans="1:99" ht="12.75" customHeight="1" x14ac:dyDescent="0.3">
      <c r="A25" s="189"/>
    </row>
    <row r="26" spans="1:99" ht="12.75" customHeight="1" x14ac:dyDescent="0.3">
      <c r="A26" s="189"/>
    </row>
    <row r="27" spans="1:99" x14ac:dyDescent="0.3">
      <c r="A27" s="77">
        <v>5</v>
      </c>
    </row>
    <row r="28" spans="1:99" ht="12.75" customHeight="1" x14ac:dyDescent="0.35">
      <c r="B28" s="544" t="s">
        <v>4572</v>
      </c>
      <c r="C28" s="77" t="s">
        <v>4573</v>
      </c>
      <c r="D28" s="77" t="s">
        <v>4574</v>
      </c>
      <c r="E28" s="124" t="s">
        <v>4575</v>
      </c>
      <c r="F28" s="7">
        <v>2</v>
      </c>
      <c r="H28" s="7">
        <v>20</v>
      </c>
      <c r="I28" s="7" t="s">
        <v>550</v>
      </c>
      <c r="J28" s="112" t="s">
        <v>4576</v>
      </c>
      <c r="CF28" s="7" t="s">
        <v>4524</v>
      </c>
    </row>
    <row r="30" spans="1:99" ht="12.75" customHeight="1" x14ac:dyDescent="0.35">
      <c r="B30" s="544" t="s">
        <v>4577</v>
      </c>
      <c r="C30" s="77" t="s">
        <v>4578</v>
      </c>
      <c r="D30" s="77" t="s">
        <v>4579</v>
      </c>
      <c r="E30" s="124" t="s">
        <v>4580</v>
      </c>
      <c r="F30" s="7">
        <v>6</v>
      </c>
      <c r="H30" s="7">
        <v>20</v>
      </c>
      <c r="I30" s="7" t="s">
        <v>550</v>
      </c>
      <c r="J30" s="112" t="s">
        <v>4581</v>
      </c>
    </row>
    <row r="31" spans="1:99" ht="13.5" customHeight="1" x14ac:dyDescent="0.35">
      <c r="B31" s="544" t="s">
        <v>4092</v>
      </c>
      <c r="C31" s="77" t="s">
        <v>4093</v>
      </c>
      <c r="D31" s="77" t="s">
        <v>4094</v>
      </c>
      <c r="E31" s="124" t="s">
        <v>4582</v>
      </c>
      <c r="F31" s="132">
        <v>44149</v>
      </c>
      <c r="H31" s="7">
        <v>20</v>
      </c>
      <c r="I31" s="7" t="s">
        <v>550</v>
      </c>
      <c r="J31" s="112" t="s">
        <v>4567</v>
      </c>
      <c r="BC31" s="7" t="s">
        <v>4516</v>
      </c>
      <c r="BD31" s="7" t="s">
        <v>4517</v>
      </c>
      <c r="BE31" s="7" t="s">
        <v>4518</v>
      </c>
      <c r="BF31" s="7" t="s">
        <v>4519</v>
      </c>
      <c r="BG31" s="7" t="s">
        <v>4520</v>
      </c>
      <c r="BH31" s="7" t="s">
        <v>4521</v>
      </c>
      <c r="BI31" s="7" t="s">
        <v>4511</v>
      </c>
      <c r="BJ31" s="7" t="s">
        <v>4512</v>
      </c>
      <c r="BK31" s="7" t="s">
        <v>1101</v>
      </c>
      <c r="BL31" s="7" t="s">
        <v>4513</v>
      </c>
      <c r="BM31" s="7" t="s">
        <v>4514</v>
      </c>
      <c r="BN31" s="7" t="s">
        <v>4515</v>
      </c>
      <c r="BO31" s="7" t="s">
        <v>4516</v>
      </c>
      <c r="BP31" s="7" t="s">
        <v>4522</v>
      </c>
      <c r="BQ31" s="7" t="s">
        <v>4523</v>
      </c>
      <c r="BR31" s="7" t="s">
        <v>4518</v>
      </c>
      <c r="BS31" s="7" t="s">
        <v>4517</v>
      </c>
      <c r="BT31" s="7" t="s">
        <v>4521</v>
      </c>
      <c r="BU31" s="7" t="s">
        <v>4524</v>
      </c>
      <c r="BV31" s="7" t="s">
        <v>4519</v>
      </c>
      <c r="BW31" s="7" t="s">
        <v>1101</v>
      </c>
      <c r="BX31" s="7" t="s">
        <v>1217</v>
      </c>
      <c r="BY31" s="7" t="s">
        <v>4513</v>
      </c>
      <c r="BZ31" s="7" t="s">
        <v>4515</v>
      </c>
      <c r="CA31" s="7" t="s">
        <v>4516</v>
      </c>
      <c r="CB31" s="7" t="s">
        <v>4522</v>
      </c>
      <c r="CC31" s="7" t="s">
        <v>4525</v>
      </c>
    </row>
    <row r="33" spans="1:77" ht="13.5" customHeight="1" x14ac:dyDescent="0.35">
      <c r="A33" s="189">
        <v>7</v>
      </c>
      <c r="B33" s="544" t="s">
        <v>4102</v>
      </c>
      <c r="C33" s="77" t="s">
        <v>4103</v>
      </c>
      <c r="D33" s="77" t="s">
        <v>4104</v>
      </c>
      <c r="E33" s="124" t="s">
        <v>4583</v>
      </c>
      <c r="F33" s="132">
        <v>44509</v>
      </c>
      <c r="H33" s="7">
        <v>20</v>
      </c>
      <c r="I33" s="7" t="s">
        <v>550</v>
      </c>
      <c r="J33" s="112" t="s">
        <v>4567</v>
      </c>
      <c r="BP33" s="7" t="s">
        <v>4522</v>
      </c>
      <c r="BQ33" s="7" t="s">
        <v>4523</v>
      </c>
      <c r="BR33" s="7" t="s">
        <v>4518</v>
      </c>
      <c r="BS33" s="7" t="s">
        <v>4517</v>
      </c>
    </row>
    <row r="34" spans="1:77" ht="13.5" customHeight="1" x14ac:dyDescent="0.35">
      <c r="A34" s="189">
        <v>6</v>
      </c>
      <c r="B34" s="544" t="s">
        <v>4107</v>
      </c>
      <c r="C34" s="77" t="s">
        <v>4108</v>
      </c>
      <c r="D34" s="77" t="s">
        <v>4109</v>
      </c>
      <c r="E34" s="124" t="s">
        <v>4584</v>
      </c>
      <c r="F34" s="132">
        <v>44550</v>
      </c>
      <c r="H34" s="7">
        <v>20</v>
      </c>
      <c r="I34" s="7" t="s">
        <v>550</v>
      </c>
      <c r="J34" s="112" t="s">
        <v>4585</v>
      </c>
      <c r="BR34" s="7" t="s">
        <v>4518</v>
      </c>
      <c r="BS34" s="7" t="s">
        <v>4517</v>
      </c>
      <c r="BT34" s="7" t="s">
        <v>4521</v>
      </c>
      <c r="BU34" s="7" t="s">
        <v>4524</v>
      </c>
      <c r="BV34" s="7" t="s">
        <v>4519</v>
      </c>
      <c r="BW34" s="7" t="s">
        <v>1101</v>
      </c>
      <c r="BX34" s="7" t="s">
        <v>1217</v>
      </c>
      <c r="BY34" s="7" t="s">
        <v>4513</v>
      </c>
    </row>
    <row r="35" spans="1:77" ht="13.5" customHeight="1" x14ac:dyDescent="0.35">
      <c r="A35" s="189">
        <v>5</v>
      </c>
      <c r="B35" s="544" t="s">
        <v>4085</v>
      </c>
      <c r="C35" s="77" t="s">
        <v>4086</v>
      </c>
      <c r="D35" s="77" t="s">
        <v>4087</v>
      </c>
      <c r="E35" s="124" t="s">
        <v>4527</v>
      </c>
      <c r="F35" s="132">
        <v>43918</v>
      </c>
      <c r="H35" s="7">
        <v>20</v>
      </c>
      <c r="I35" s="7" t="s">
        <v>550</v>
      </c>
      <c r="J35" s="112" t="s">
        <v>4586</v>
      </c>
      <c r="AW35" s="7" t="s">
        <v>4511</v>
      </c>
      <c r="AX35" s="7" t="s">
        <v>4512</v>
      </c>
      <c r="AY35" s="7" t="s">
        <v>1101</v>
      </c>
      <c r="AZ35" s="7" t="s">
        <v>4513</v>
      </c>
      <c r="BA35" s="7" t="s">
        <v>4514</v>
      </c>
      <c r="BB35" s="7" t="s">
        <v>4515</v>
      </c>
      <c r="BC35" s="7" t="s">
        <v>4516</v>
      </c>
      <c r="BD35" s="7" t="s">
        <v>4517</v>
      </c>
      <c r="BE35" s="7" t="s">
        <v>4518</v>
      </c>
      <c r="BF35" s="7" t="s">
        <v>4519</v>
      </c>
      <c r="BG35" s="7" t="s">
        <v>4520</v>
      </c>
      <c r="BH35" s="7" t="s">
        <v>4521</v>
      </c>
      <c r="BI35" s="7" t="s">
        <v>4511</v>
      </c>
      <c r="BJ35" s="7" t="s">
        <v>4512</v>
      </c>
      <c r="BK35" s="7" t="s">
        <v>1101</v>
      </c>
      <c r="BL35" s="7" t="s">
        <v>4513</v>
      </c>
      <c r="BM35" s="7" t="s">
        <v>4587</v>
      </c>
      <c r="BP35" s="7" t="s">
        <v>4522</v>
      </c>
      <c r="BQ35" s="7" t="s">
        <v>4523</v>
      </c>
      <c r="BR35" s="7" t="s">
        <v>4518</v>
      </c>
      <c r="BS35" s="7" t="s">
        <v>4517</v>
      </c>
    </row>
    <row r="36" spans="1:77" ht="12.75" customHeight="1" x14ac:dyDescent="0.35">
      <c r="A36" s="189">
        <v>6</v>
      </c>
      <c r="B36" s="544" t="s">
        <v>4099</v>
      </c>
      <c r="C36" s="77" t="s">
        <v>4100</v>
      </c>
      <c r="D36" s="77" t="s">
        <v>4101</v>
      </c>
      <c r="E36" s="124"/>
      <c r="F36" s="132">
        <v>44371</v>
      </c>
      <c r="H36" s="7">
        <v>20</v>
      </c>
      <c r="I36" s="7" t="s">
        <v>550</v>
      </c>
      <c r="J36" s="112" t="s">
        <v>4588</v>
      </c>
      <c r="BK36" s="7" t="s">
        <v>1101</v>
      </c>
      <c r="BL36" s="7" t="s">
        <v>4513</v>
      </c>
      <c r="BM36" s="7" t="s">
        <v>4514</v>
      </c>
      <c r="BN36" s="7" t="s">
        <v>4515</v>
      </c>
    </row>
    <row r="37" spans="1:77" ht="12.75" customHeight="1" x14ac:dyDescent="0.35">
      <c r="A37" s="77">
        <v>7</v>
      </c>
      <c r="B37" s="544" t="s">
        <v>4095</v>
      </c>
      <c r="C37" s="77" t="s">
        <v>4096</v>
      </c>
      <c r="D37" s="77" t="s">
        <v>4097</v>
      </c>
      <c r="E37" s="124" t="s">
        <v>4589</v>
      </c>
      <c r="F37" s="132">
        <v>44346</v>
      </c>
      <c r="H37" s="7">
        <v>20</v>
      </c>
      <c r="I37" s="7" t="s">
        <v>550</v>
      </c>
      <c r="J37" s="112" t="s">
        <v>4590</v>
      </c>
      <c r="BK37" s="7" t="s">
        <v>1101</v>
      </c>
      <c r="BL37" s="7" t="s">
        <v>4513</v>
      </c>
      <c r="BM37" s="7" t="s">
        <v>4587</v>
      </c>
    </row>
    <row r="38" spans="1:77" ht="12.75" customHeight="1" x14ac:dyDescent="0.3">
      <c r="A38" s="77">
        <v>8</v>
      </c>
    </row>
    <row r="39" spans="1:77" ht="12.75" customHeight="1" x14ac:dyDescent="0.35">
      <c r="B39" s="544" t="s">
        <v>4591</v>
      </c>
      <c r="C39" s="77" t="s">
        <v>4592</v>
      </c>
      <c r="D39" s="77" t="s">
        <v>4593</v>
      </c>
      <c r="F39" s="132">
        <v>44301</v>
      </c>
      <c r="G39" s="7" t="s">
        <v>4594</v>
      </c>
      <c r="H39" s="7">
        <v>60</v>
      </c>
      <c r="I39" s="7" t="s">
        <v>4595</v>
      </c>
      <c r="J39" s="112" t="s">
        <v>4596</v>
      </c>
      <c r="BI39" s="7" t="s">
        <v>4511</v>
      </c>
      <c r="BJ39" s="7" t="s">
        <v>4512</v>
      </c>
      <c r="BK39" s="7" t="s">
        <v>1101</v>
      </c>
    </row>
    <row r="40" spans="1:77" ht="12.75" customHeight="1" x14ac:dyDescent="0.35">
      <c r="B40" s="544" t="s">
        <v>4082</v>
      </c>
      <c r="C40" s="77" t="s">
        <v>4083</v>
      </c>
      <c r="D40" s="77" t="s">
        <v>4084</v>
      </c>
      <c r="E40" s="124" t="s">
        <v>4597</v>
      </c>
      <c r="F40" s="132">
        <v>16</v>
      </c>
      <c r="H40" s="7">
        <v>20</v>
      </c>
      <c r="I40" s="7" t="s">
        <v>550</v>
      </c>
      <c r="J40" s="112" t="s">
        <v>4598</v>
      </c>
      <c r="AT40" s="7" t="s">
        <v>4518</v>
      </c>
      <c r="AU40" s="7" t="s">
        <v>4524</v>
      </c>
      <c r="AV40" s="7" t="s">
        <v>4522</v>
      </c>
      <c r="AW40" s="7" t="s">
        <v>4511</v>
      </c>
      <c r="AX40" s="7" t="s">
        <v>4599</v>
      </c>
      <c r="BC40" s="7" t="s">
        <v>4516</v>
      </c>
      <c r="BD40" s="7" t="s">
        <v>4517</v>
      </c>
      <c r="BE40" s="7" t="s">
        <v>4518</v>
      </c>
      <c r="BF40" s="7" t="s">
        <v>4519</v>
      </c>
      <c r="BG40" s="7" t="s">
        <v>4520</v>
      </c>
      <c r="BH40" s="7" t="s">
        <v>4521</v>
      </c>
      <c r="BI40" s="7" t="s">
        <v>4511</v>
      </c>
      <c r="BJ40" s="7" t="s">
        <v>4512</v>
      </c>
      <c r="BK40" s="7" t="s">
        <v>1101</v>
      </c>
      <c r="BL40" s="7" t="s">
        <v>4600</v>
      </c>
    </row>
    <row r="41" spans="1:77" ht="12.75" customHeight="1" x14ac:dyDescent="0.35">
      <c r="A41" s="189">
        <v>8</v>
      </c>
      <c r="B41" s="545" t="s">
        <v>4079</v>
      </c>
      <c r="C41" s="77" t="s">
        <v>4080</v>
      </c>
      <c r="D41" s="77" t="s">
        <v>4081</v>
      </c>
      <c r="E41" s="7">
        <v>946705666684</v>
      </c>
      <c r="F41" s="132">
        <v>2.4285714236111109</v>
      </c>
      <c r="H41" s="7">
        <v>20</v>
      </c>
      <c r="I41" s="7" t="s">
        <v>550</v>
      </c>
      <c r="J41" s="112" t="s">
        <v>4601</v>
      </c>
      <c r="AN41" s="7" t="s">
        <v>4513</v>
      </c>
      <c r="AO41" s="7" t="s">
        <v>4519</v>
      </c>
      <c r="AP41" s="7" t="s">
        <v>1101</v>
      </c>
      <c r="AQ41" s="7" t="s">
        <v>4516</v>
      </c>
      <c r="AR41" s="7" t="s">
        <v>4515</v>
      </c>
      <c r="AS41" s="7" t="s">
        <v>4517</v>
      </c>
      <c r="AT41" s="7" t="s">
        <v>4599</v>
      </c>
      <c r="AU41" s="7" t="s">
        <v>4599</v>
      </c>
      <c r="AV41" s="7" t="s">
        <v>4599</v>
      </c>
    </row>
    <row r="42" spans="1:77" ht="12.75" customHeight="1" x14ac:dyDescent="0.35">
      <c r="A42" s="189">
        <v>9</v>
      </c>
      <c r="B42" s="544" t="s">
        <v>4602</v>
      </c>
      <c r="C42" s="77" t="s">
        <v>4058</v>
      </c>
      <c r="D42" s="7" t="s">
        <v>4059</v>
      </c>
      <c r="E42" s="124" t="s">
        <v>4603</v>
      </c>
      <c r="F42" s="132">
        <v>43144</v>
      </c>
      <c r="H42" s="7">
        <v>200</v>
      </c>
      <c r="I42" s="7" t="s">
        <v>551</v>
      </c>
      <c r="J42" s="112" t="s">
        <v>4604</v>
      </c>
      <c r="W42" s="7" t="s">
        <v>4517</v>
      </c>
      <c r="X42" s="7" t="s">
        <v>4518</v>
      </c>
      <c r="Y42" s="7" t="s">
        <v>4514</v>
      </c>
      <c r="Z42" s="7" t="s">
        <v>4511</v>
      </c>
      <c r="AA42" s="7" t="s">
        <v>4512</v>
      </c>
      <c r="AB42" s="7" t="s">
        <v>4524</v>
      </c>
      <c r="AC42" s="7" t="s">
        <v>4520</v>
      </c>
      <c r="AD42" s="7" t="s">
        <v>4519</v>
      </c>
      <c r="AE42" s="7" t="s">
        <v>4516</v>
      </c>
      <c r="AF42" s="7" t="s">
        <v>4522</v>
      </c>
      <c r="AG42" s="7" t="s">
        <v>1101</v>
      </c>
      <c r="AH42" s="7" t="s">
        <v>4515</v>
      </c>
      <c r="AI42" s="7" t="s">
        <v>4517</v>
      </c>
    </row>
    <row r="43" spans="1:77" ht="12.75" customHeight="1" x14ac:dyDescent="0.35">
      <c r="A43" s="189">
        <v>10</v>
      </c>
      <c r="B43" s="545" t="s">
        <v>4605</v>
      </c>
      <c r="C43" s="77" t="s">
        <v>4072</v>
      </c>
      <c r="D43" s="77" t="s">
        <v>4073</v>
      </c>
      <c r="E43" s="124" t="s">
        <v>4606</v>
      </c>
      <c r="F43" s="124" t="s">
        <v>4607</v>
      </c>
      <c r="H43" s="7">
        <v>20</v>
      </c>
      <c r="I43" s="7" t="s">
        <v>550</v>
      </c>
      <c r="J43" s="112" t="s">
        <v>4608</v>
      </c>
      <c r="AJ43" s="7" t="s">
        <v>4518</v>
      </c>
      <c r="AK43" s="7" t="s">
        <v>4514</v>
      </c>
    </row>
    <row r="44" spans="1:77" ht="12.75" customHeight="1" x14ac:dyDescent="0.35">
      <c r="A44" s="189">
        <v>11</v>
      </c>
      <c r="B44" s="544" t="s">
        <v>4609</v>
      </c>
      <c r="C44" s="77" t="s">
        <v>4077</v>
      </c>
      <c r="D44" s="77" t="s">
        <v>4077</v>
      </c>
      <c r="E44" s="124" t="s">
        <v>4610</v>
      </c>
      <c r="F44" s="132">
        <v>43557</v>
      </c>
      <c r="H44" s="7">
        <v>20</v>
      </c>
      <c r="I44" s="7" t="s">
        <v>550</v>
      </c>
      <c r="J44" s="112" t="s">
        <v>4611</v>
      </c>
      <c r="AK44" s="7" t="s">
        <v>4514</v>
      </c>
      <c r="AL44" s="7" t="s">
        <v>4512</v>
      </c>
    </row>
    <row r="45" spans="1:77" ht="12.75" customHeight="1" x14ac:dyDescent="0.35">
      <c r="A45" s="189">
        <v>12</v>
      </c>
      <c r="B45" s="544" t="s">
        <v>4612</v>
      </c>
      <c r="C45" s="77" t="s">
        <v>4069</v>
      </c>
      <c r="D45" s="77" t="s">
        <v>4070</v>
      </c>
      <c r="E45" s="124" t="s">
        <v>4613</v>
      </c>
      <c r="F45" s="132">
        <v>43500</v>
      </c>
      <c r="H45" s="7">
        <v>20</v>
      </c>
      <c r="I45" s="7" t="s">
        <v>550</v>
      </c>
      <c r="J45" s="112" t="s">
        <v>4614</v>
      </c>
      <c r="AI45" s="7" t="s">
        <v>4517</v>
      </c>
      <c r="AJ45" s="7" t="s">
        <v>4518</v>
      </c>
      <c r="AK45" s="7" t="s">
        <v>4514</v>
      </c>
      <c r="AL45" s="7" t="s">
        <v>4512</v>
      </c>
      <c r="AM45" s="7" t="s">
        <v>4524</v>
      </c>
      <c r="AN45" s="7" t="s">
        <v>4513</v>
      </c>
    </row>
    <row r="46" spans="1:77" ht="12.75" customHeight="1" x14ac:dyDescent="0.35">
      <c r="A46" s="189"/>
      <c r="B46" s="544" t="s">
        <v>4208</v>
      </c>
      <c r="C46" s="77" t="s">
        <v>4063</v>
      </c>
      <c r="D46" s="77" t="s">
        <v>4064</v>
      </c>
      <c r="E46" s="124" t="s">
        <v>4615</v>
      </c>
      <c r="F46" s="132">
        <v>43221</v>
      </c>
      <c r="H46" s="7">
        <v>20</v>
      </c>
      <c r="I46" s="7" t="s">
        <v>550</v>
      </c>
      <c r="J46" s="112" t="s">
        <v>4616</v>
      </c>
      <c r="Z46" s="7" t="s">
        <v>4511</v>
      </c>
      <c r="AA46" s="7" t="s">
        <v>4512</v>
      </c>
      <c r="AB46" s="7" t="s">
        <v>4524</v>
      </c>
      <c r="AC46" s="7" t="s">
        <v>4520</v>
      </c>
      <c r="AD46" s="7" t="s">
        <v>4519</v>
      </c>
      <c r="AE46" s="7" t="s">
        <v>4516</v>
      </c>
      <c r="AF46" s="7" t="s">
        <v>4522</v>
      </c>
      <c r="AG46" s="7" t="s">
        <v>1101</v>
      </c>
      <c r="AH46" s="7" t="s">
        <v>4515</v>
      </c>
      <c r="AI46" s="7" t="s">
        <v>4517</v>
      </c>
      <c r="AJ46" s="7" t="s">
        <v>4518</v>
      </c>
      <c r="AK46" s="7" t="s">
        <v>4514</v>
      </c>
      <c r="AL46" s="7" t="s">
        <v>4512</v>
      </c>
      <c r="AM46" s="7" t="s">
        <v>4524</v>
      </c>
      <c r="AN46" s="7" t="s">
        <v>4513</v>
      </c>
      <c r="AO46" s="7" t="s">
        <v>4519</v>
      </c>
      <c r="AP46" s="7" t="s">
        <v>1101</v>
      </c>
      <c r="AQ46" s="7" t="s">
        <v>4516</v>
      </c>
      <c r="AR46" s="7" t="s">
        <v>4515</v>
      </c>
    </row>
    <row r="47" spans="1:77" ht="12.75" customHeight="1" x14ac:dyDescent="0.35">
      <c r="A47" s="189"/>
      <c r="B47" s="544" t="s">
        <v>4617</v>
      </c>
      <c r="C47" s="77" t="s">
        <v>4075</v>
      </c>
      <c r="D47" s="77" t="s">
        <v>4076</v>
      </c>
      <c r="E47" s="124" t="s">
        <v>4618</v>
      </c>
      <c r="F47" s="132">
        <v>43557</v>
      </c>
      <c r="H47" s="7">
        <v>20</v>
      </c>
      <c r="I47" s="7" t="s">
        <v>550</v>
      </c>
      <c r="J47" s="112" t="s">
        <v>4611</v>
      </c>
      <c r="AK47" s="7" t="s">
        <v>4514</v>
      </c>
      <c r="AL47" s="7" t="s">
        <v>4512</v>
      </c>
      <c r="AM47" s="7" t="s">
        <v>4524</v>
      </c>
      <c r="AN47" s="7" t="s">
        <v>4513</v>
      </c>
      <c r="AO47" s="7" t="s">
        <v>4519</v>
      </c>
      <c r="AP47" s="7" t="s">
        <v>1101</v>
      </c>
      <c r="AQ47" s="7" t="s">
        <v>4516</v>
      </c>
      <c r="AR47" s="7" t="s">
        <v>4515</v>
      </c>
      <c r="AS47" s="7" t="s">
        <v>4517</v>
      </c>
      <c r="AT47" s="7" t="s">
        <v>4518</v>
      </c>
      <c r="AU47" s="7" t="s">
        <v>4524</v>
      </c>
      <c r="AV47" s="7" t="s">
        <v>4522</v>
      </c>
      <c r="AW47" s="7" t="s">
        <v>4511</v>
      </c>
    </row>
    <row r="48" spans="1:77" ht="12.75" customHeight="1" x14ac:dyDescent="0.35">
      <c r="A48" s="189">
        <v>3</v>
      </c>
      <c r="B48" s="544" t="s">
        <v>4088</v>
      </c>
      <c r="C48" s="77" t="s">
        <v>4058</v>
      </c>
      <c r="D48" s="77" t="s">
        <v>4089</v>
      </c>
      <c r="E48" s="124" t="s">
        <v>4619</v>
      </c>
      <c r="F48" s="132">
        <v>43918</v>
      </c>
      <c r="H48" s="7">
        <v>20</v>
      </c>
      <c r="I48" s="7" t="s">
        <v>550</v>
      </c>
      <c r="J48" s="112" t="s">
        <v>4620</v>
      </c>
      <c r="AW48" s="7" t="s">
        <v>4511</v>
      </c>
      <c r="AX48" s="7" t="s">
        <v>4512</v>
      </c>
      <c r="AY48" s="7" t="s">
        <v>1101</v>
      </c>
      <c r="AZ48" s="7" t="s">
        <v>4513</v>
      </c>
    </row>
    <row r="49" spans="1:32" ht="12.75" customHeight="1" x14ac:dyDescent="0.3">
      <c r="A49" s="189"/>
    </row>
    <row r="50" spans="1:32" ht="12.75" customHeight="1" x14ac:dyDescent="0.35">
      <c r="A50" s="189"/>
      <c r="B50" s="544"/>
      <c r="E50" s="124"/>
      <c r="F50" s="132"/>
    </row>
    <row r="51" spans="1:32" ht="12.75" customHeight="1" x14ac:dyDescent="0.35">
      <c r="A51" s="189"/>
      <c r="B51" s="78"/>
      <c r="C51" s="138"/>
      <c r="D51" s="138"/>
      <c r="E51" s="71"/>
      <c r="F51" s="71"/>
      <c r="G51" s="71"/>
      <c r="H51" s="71"/>
      <c r="I51" s="71"/>
      <c r="J51" s="137"/>
      <c r="K51" s="7" t="s">
        <v>693</v>
      </c>
      <c r="Y51" s="151"/>
      <c r="Z51" s="135"/>
      <c r="AA51" s="175" t="s">
        <v>4621</v>
      </c>
      <c r="AB51" s="135"/>
      <c r="AC51" s="135"/>
      <c r="AD51" s="135"/>
      <c r="AE51" s="135"/>
      <c r="AF51" s="135"/>
    </row>
    <row r="52" spans="1:32" ht="12.75" customHeight="1" x14ac:dyDescent="0.35">
      <c r="A52" s="189"/>
      <c r="B52" s="138" t="s">
        <v>4622</v>
      </c>
      <c r="C52" s="75"/>
      <c r="D52" s="75"/>
      <c r="E52" s="71"/>
      <c r="F52" s="71"/>
      <c r="G52" s="71"/>
      <c r="H52" s="133" t="s">
        <v>4623</v>
      </c>
      <c r="I52" s="138">
        <f>COUNTA(I7:I51)</f>
        <v>32</v>
      </c>
      <c r="J52" s="137"/>
      <c r="AA52" s="175" t="s">
        <v>4624</v>
      </c>
    </row>
    <row r="53" spans="1:32" ht="12.75" customHeight="1" x14ac:dyDescent="0.35">
      <c r="A53" s="188"/>
      <c r="B53" s="71"/>
      <c r="C53" s="164"/>
      <c r="D53" s="164"/>
      <c r="E53" s="71"/>
      <c r="F53" s="132"/>
      <c r="G53" s="1"/>
      <c r="H53" s="1"/>
      <c r="I53" s="1"/>
      <c r="J53" s="166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36"/>
      <c r="Y53" s="151"/>
      <c r="Z53" s="135"/>
      <c r="AA53" s="175" t="s">
        <v>1217</v>
      </c>
      <c r="AB53" s="135"/>
      <c r="AC53" s="135"/>
      <c r="AD53" s="135"/>
      <c r="AE53" s="135"/>
      <c r="AF53" s="135"/>
    </row>
    <row r="54" spans="1:32" ht="12.75" customHeight="1" x14ac:dyDescent="0.35">
      <c r="A54" s="188"/>
      <c r="B54" s="71"/>
      <c r="C54" s="164"/>
      <c r="D54" s="164"/>
      <c r="E54" s="71"/>
      <c r="F54" s="132"/>
      <c r="G54" s="1"/>
      <c r="H54" s="1"/>
      <c r="I54" s="1"/>
      <c r="J54" s="166"/>
      <c r="K54" s="152"/>
      <c r="L54" s="152"/>
      <c r="M54" s="152"/>
      <c r="N54" s="152"/>
      <c r="O54" s="152"/>
      <c r="P54" s="152"/>
      <c r="Q54" s="152"/>
      <c r="R54" s="152"/>
      <c r="S54" s="152"/>
      <c r="T54" s="152"/>
      <c r="U54" s="152"/>
      <c r="V54" s="152"/>
      <c r="W54" s="152"/>
      <c r="X54" s="136"/>
      <c r="Y54" s="151"/>
      <c r="Z54" s="135"/>
      <c r="AA54" s="175" t="s">
        <v>4625</v>
      </c>
      <c r="AB54" s="135"/>
      <c r="AC54" s="135"/>
      <c r="AD54" s="135"/>
      <c r="AE54" s="135"/>
      <c r="AF54" s="135"/>
    </row>
    <row r="55" spans="1:32" ht="12.75" customHeight="1" x14ac:dyDescent="0.35">
      <c r="A55" s="188"/>
      <c r="C55" s="288"/>
      <c r="F55" s="288"/>
      <c r="H55" s="288"/>
      <c r="I55" s="288"/>
      <c r="J55" s="288"/>
      <c r="K55" s="288"/>
      <c r="L55" s="289"/>
      <c r="M55" s="152"/>
      <c r="N55" s="152"/>
      <c r="O55" s="152"/>
      <c r="P55" s="152"/>
      <c r="Q55" s="152"/>
      <c r="R55" s="152"/>
      <c r="S55" s="152"/>
      <c r="T55" s="152"/>
      <c r="U55" s="152"/>
      <c r="V55" s="152"/>
      <c r="W55" s="152"/>
      <c r="X55" s="136"/>
      <c r="Y55" s="151"/>
      <c r="Z55" s="135"/>
      <c r="AA55" s="133" t="s">
        <v>4626</v>
      </c>
    </row>
    <row r="56" spans="1:32" ht="12.75" customHeight="1" x14ac:dyDescent="0.35">
      <c r="A56" s="188"/>
      <c r="B56" s="187"/>
      <c r="C56" s="186"/>
      <c r="D56" s="186"/>
      <c r="E56" s="185"/>
      <c r="F56" s="185"/>
      <c r="G56" s="184"/>
      <c r="H56" s="184"/>
      <c r="I56" s="184"/>
      <c r="J56" s="183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36"/>
      <c r="Y56" s="151"/>
      <c r="Z56" s="135"/>
      <c r="AA56" s="175" t="s">
        <v>4627</v>
      </c>
    </row>
    <row r="57" spans="1:32" ht="12.75" customHeight="1" x14ac:dyDescent="0.3">
      <c r="A57" s="119">
        <v>1</v>
      </c>
      <c r="B57" s="7"/>
      <c r="C57" s="7"/>
      <c r="D57" s="7"/>
      <c r="J57" s="7"/>
      <c r="Y57" s="7"/>
    </row>
    <row r="58" spans="1:32" ht="12.75" customHeight="1" x14ac:dyDescent="0.35">
      <c r="A58" s="119">
        <v>2</v>
      </c>
      <c r="B58" s="7"/>
      <c r="C58" s="7"/>
      <c r="D58" s="7"/>
      <c r="F58" s="132"/>
      <c r="J58" s="7"/>
      <c r="Y58" s="7"/>
      <c r="AA58" s="7" t="s">
        <v>4628</v>
      </c>
    </row>
    <row r="59" spans="1:32" ht="12.75" customHeight="1" x14ac:dyDescent="0.3">
      <c r="A59" s="119">
        <v>3</v>
      </c>
      <c r="B59" s="7"/>
      <c r="C59" s="7"/>
      <c r="D59" s="7"/>
      <c r="J59" s="7"/>
      <c r="Y59" s="7"/>
      <c r="AA59" s="7" t="s">
        <v>4629</v>
      </c>
    </row>
    <row r="60" spans="1:32" ht="12.75" customHeight="1" x14ac:dyDescent="0.3">
      <c r="A60" s="119">
        <f t="shared" ref="A60:A67" si="0">A59+1</f>
        <v>4</v>
      </c>
      <c r="B60" s="7"/>
      <c r="C60" s="7"/>
      <c r="D60" s="7"/>
      <c r="J60" s="7"/>
      <c r="Y60" s="7"/>
      <c r="AA60" s="7" t="s">
        <v>4630</v>
      </c>
    </row>
    <row r="61" spans="1:32" ht="12.75" customHeight="1" x14ac:dyDescent="0.3">
      <c r="A61" s="119">
        <f t="shared" si="0"/>
        <v>5</v>
      </c>
      <c r="B61" s="7"/>
      <c r="C61" s="7"/>
      <c r="D61" s="7"/>
      <c r="J61" s="7"/>
      <c r="Y61" s="7"/>
      <c r="AA61" s="7" t="s">
        <v>4631</v>
      </c>
    </row>
    <row r="62" spans="1:32" ht="12.75" customHeight="1" x14ac:dyDescent="0.3">
      <c r="A62" s="119">
        <f t="shared" si="0"/>
        <v>6</v>
      </c>
      <c r="B62" s="7"/>
      <c r="C62" s="7"/>
      <c r="D62" s="7"/>
      <c r="J62" s="7"/>
      <c r="Y62" s="7"/>
      <c r="AA62" s="7" t="s">
        <v>3667</v>
      </c>
    </row>
    <row r="63" spans="1:32" ht="12.75" customHeight="1" x14ac:dyDescent="0.3">
      <c r="A63" s="119">
        <f t="shared" si="0"/>
        <v>7</v>
      </c>
      <c r="AA63" s="7" t="s">
        <v>75</v>
      </c>
    </row>
    <row r="64" spans="1:32" ht="12.75" customHeight="1" x14ac:dyDescent="0.3">
      <c r="A64" s="119">
        <f t="shared" si="0"/>
        <v>8</v>
      </c>
      <c r="AA64" s="7" t="s">
        <v>4632</v>
      </c>
    </row>
    <row r="65" spans="1:27" ht="12.75" customHeight="1" x14ac:dyDescent="0.3">
      <c r="A65" s="119">
        <f t="shared" si="0"/>
        <v>9</v>
      </c>
      <c r="AA65" s="7" t="s">
        <v>4633</v>
      </c>
    </row>
    <row r="66" spans="1:27" ht="12.75" customHeight="1" x14ac:dyDescent="0.35">
      <c r="A66" s="119">
        <f t="shared" si="0"/>
        <v>10</v>
      </c>
      <c r="AA66" s="71" t="s">
        <v>4634</v>
      </c>
    </row>
    <row r="67" spans="1:27" ht="12.75" customHeight="1" x14ac:dyDescent="0.35">
      <c r="A67" s="119">
        <f t="shared" si="0"/>
        <v>11</v>
      </c>
      <c r="AA67" s="71" t="s">
        <v>4635</v>
      </c>
    </row>
    <row r="68" spans="1:27" ht="12.75" customHeight="1" x14ac:dyDescent="0.35">
      <c r="A68" s="119">
        <v>12</v>
      </c>
      <c r="AA68" s="71" t="s">
        <v>4636</v>
      </c>
    </row>
    <row r="69" spans="1:27" ht="12.75" customHeight="1" x14ac:dyDescent="0.35">
      <c r="A69" s="119">
        <v>13</v>
      </c>
      <c r="AA69" s="71" t="s">
        <v>3071</v>
      </c>
    </row>
    <row r="70" spans="1:27" ht="12.75" customHeight="1" x14ac:dyDescent="0.35">
      <c r="A70" s="119">
        <v>14</v>
      </c>
      <c r="AA70" s="71" t="s">
        <v>4637</v>
      </c>
    </row>
    <row r="71" spans="1:27" ht="12.75" customHeight="1" x14ac:dyDescent="0.35">
      <c r="A71" s="119">
        <v>15</v>
      </c>
      <c r="AA71" s="71" t="s">
        <v>4638</v>
      </c>
    </row>
    <row r="72" spans="1:27" ht="12.75" customHeight="1" x14ac:dyDescent="0.35">
      <c r="A72" s="119">
        <v>16</v>
      </c>
      <c r="AA72" s="71" t="s">
        <v>4639</v>
      </c>
    </row>
    <row r="73" spans="1:27" ht="12.75" customHeight="1" x14ac:dyDescent="0.35">
      <c r="A73" s="119"/>
      <c r="B73" s="3"/>
      <c r="C73" s="133"/>
      <c r="D73" s="175"/>
      <c r="F73" s="132"/>
      <c r="G73" s="71"/>
      <c r="H73" s="71"/>
      <c r="I73" s="1"/>
      <c r="J73" s="166"/>
      <c r="X73" s="169"/>
      <c r="Y73" s="168"/>
      <c r="Z73" s="71"/>
      <c r="AA73" s="71" t="s">
        <v>4640</v>
      </c>
    </row>
    <row r="74" spans="1:27" ht="12.75" customHeight="1" x14ac:dyDescent="0.35">
      <c r="A74" s="119"/>
      <c r="B74" s="75"/>
      <c r="C74" s="75"/>
      <c r="D74" s="75"/>
      <c r="E74" s="71"/>
      <c r="F74" s="71"/>
      <c r="G74" s="71"/>
      <c r="H74" s="71"/>
      <c r="I74" s="71"/>
      <c r="J74" s="137"/>
      <c r="S74" s="120"/>
      <c r="T74" s="120"/>
      <c r="U74" s="120"/>
      <c r="V74" s="120"/>
      <c r="W74" s="120"/>
      <c r="X74" s="71"/>
      <c r="Y74" s="71"/>
      <c r="Z74" s="71"/>
      <c r="AA74" s="71" t="s">
        <v>4641</v>
      </c>
    </row>
    <row r="75" spans="1:27" ht="12.75" customHeight="1" x14ac:dyDescent="0.35">
      <c r="A75" s="119"/>
      <c r="B75" s="138" t="s">
        <v>4642</v>
      </c>
      <c r="C75" s="75"/>
      <c r="D75" s="75"/>
      <c r="E75" s="71"/>
      <c r="F75" s="71"/>
      <c r="G75" s="71"/>
      <c r="H75" s="133" t="s">
        <v>4643</v>
      </c>
      <c r="I75" s="138">
        <f>COUNTA(I57:I74)</f>
        <v>0</v>
      </c>
      <c r="J75" s="137"/>
      <c r="S75" s="120"/>
      <c r="T75" s="120"/>
      <c r="U75" s="120"/>
      <c r="V75" s="120"/>
      <c r="W75" s="120"/>
      <c r="X75" s="71"/>
      <c r="Y75" s="71"/>
      <c r="Z75" s="71"/>
    </row>
    <row r="76" spans="1:27" ht="12.75" customHeight="1" x14ac:dyDescent="0.35">
      <c r="A76" s="119"/>
      <c r="B76" s="75"/>
      <c r="C76" s="75"/>
      <c r="D76" s="75"/>
      <c r="E76" s="71"/>
      <c r="F76" s="71"/>
      <c r="G76" s="71"/>
      <c r="H76" s="133" t="s">
        <v>2845</v>
      </c>
      <c r="I76" s="182">
        <f>I75+I52</f>
        <v>32</v>
      </c>
      <c r="J76" s="137"/>
      <c r="S76" s="120"/>
      <c r="T76" s="120"/>
      <c r="U76" s="120"/>
      <c r="V76" s="120"/>
      <c r="W76" s="120"/>
      <c r="X76" s="71"/>
      <c r="Y76" s="71"/>
      <c r="Z76" s="71"/>
    </row>
    <row r="77" spans="1:27" ht="12.75" customHeight="1" x14ac:dyDescent="0.35">
      <c r="A77" s="119"/>
      <c r="B77" s="75"/>
      <c r="C77" s="75"/>
      <c r="D77" s="75"/>
      <c r="E77" s="71"/>
      <c r="F77" s="71"/>
      <c r="G77" s="71"/>
      <c r="H77" s="71"/>
      <c r="I77" s="71"/>
      <c r="J77" s="137"/>
      <c r="K77" s="181" t="s">
        <v>4644</v>
      </c>
      <c r="L77" s="181" t="s">
        <v>4645</v>
      </c>
      <c r="M77" s="181" t="s">
        <v>4646</v>
      </c>
      <c r="N77" s="181" t="s">
        <v>4647</v>
      </c>
      <c r="O77" s="181" t="s">
        <v>4648</v>
      </c>
      <c r="P77" s="181" t="s">
        <v>4649</v>
      </c>
      <c r="Q77" s="181" t="s">
        <v>4650</v>
      </c>
      <c r="R77" s="181" t="s">
        <v>4651</v>
      </c>
      <c r="S77" s="181" t="s">
        <v>4652</v>
      </c>
      <c r="T77" s="181" t="s">
        <v>4653</v>
      </c>
      <c r="U77" s="181" t="s">
        <v>4654</v>
      </c>
      <c r="V77" s="181" t="s">
        <v>4655</v>
      </c>
      <c r="W77" s="181" t="s">
        <v>4656</v>
      </c>
      <c r="X77" s="181" t="s">
        <v>4657</v>
      </c>
      <c r="Y77" s="181" t="s">
        <v>4658</v>
      </c>
      <c r="Z77" s="181" t="s">
        <v>4659</v>
      </c>
    </row>
    <row r="78" spans="1:27" ht="12.75" customHeight="1" x14ac:dyDescent="0.35">
      <c r="A78" s="119"/>
      <c r="B78" s="138" t="s">
        <v>2109</v>
      </c>
      <c r="C78" s="75"/>
      <c r="D78" s="75"/>
      <c r="E78" s="71"/>
      <c r="F78" s="71"/>
      <c r="G78" s="71"/>
      <c r="H78" s="71"/>
      <c r="I78" s="71"/>
      <c r="J78" s="137"/>
      <c r="S78" s="120"/>
      <c r="T78" s="120"/>
      <c r="U78" s="120"/>
      <c r="V78" s="120"/>
      <c r="W78" s="120"/>
      <c r="X78" s="71"/>
      <c r="Y78" s="71"/>
      <c r="Z78" s="71"/>
    </row>
    <row r="79" spans="1:27" ht="12.75" customHeight="1" x14ac:dyDescent="0.4">
      <c r="A79" s="119">
        <v>1</v>
      </c>
      <c r="B79" s="80" t="s">
        <v>4150</v>
      </c>
      <c r="C79" s="75" t="s">
        <v>4114</v>
      </c>
      <c r="D79" s="75" t="s">
        <v>521</v>
      </c>
      <c r="E79" s="71" t="s">
        <v>3923</v>
      </c>
      <c r="F79" s="71" t="s">
        <v>1031</v>
      </c>
      <c r="G79" s="70">
        <v>42248</v>
      </c>
      <c r="H79" s="71"/>
      <c r="I79" s="71" t="s">
        <v>162</v>
      </c>
      <c r="J79" s="137"/>
      <c r="K79" s="180"/>
      <c r="L79" s="180"/>
      <c r="M79" s="180"/>
      <c r="N79" s="180"/>
      <c r="O79" s="180"/>
      <c r="P79" s="180"/>
      <c r="Q79" s="180"/>
      <c r="R79" s="180"/>
      <c r="S79" s="180"/>
      <c r="T79" s="180"/>
      <c r="U79" s="180"/>
      <c r="V79" s="180"/>
      <c r="W79" s="180"/>
      <c r="X79" s="180"/>
      <c r="Y79" s="71"/>
      <c r="Z79" s="71"/>
    </row>
    <row r="80" spans="1:27" ht="12.75" customHeight="1" x14ac:dyDescent="0.4">
      <c r="A80" s="119">
        <v>2</v>
      </c>
      <c r="B80" s="80"/>
      <c r="C80" s="79" t="s">
        <v>3979</v>
      </c>
      <c r="D80" s="71" t="s">
        <v>3980</v>
      </c>
      <c r="E80" s="71" t="s">
        <v>3923</v>
      </c>
      <c r="F80" s="49">
        <v>60</v>
      </c>
      <c r="G80" s="70">
        <v>42248</v>
      </c>
      <c r="H80" s="49" t="s">
        <v>3699</v>
      </c>
      <c r="I80" s="49" t="s">
        <v>162</v>
      </c>
      <c r="J80" s="137"/>
      <c r="K80" s="180"/>
      <c r="L80" s="180"/>
      <c r="M80" s="180"/>
      <c r="N80" s="180"/>
      <c r="O80" s="180"/>
      <c r="P80" s="180"/>
      <c r="Q80" s="180"/>
      <c r="R80" s="180"/>
      <c r="S80" s="180"/>
      <c r="T80" s="180"/>
      <c r="U80" s="180"/>
      <c r="V80" s="180"/>
      <c r="W80" s="180"/>
      <c r="X80" s="180"/>
      <c r="Y80" s="71"/>
      <c r="Z80" s="71"/>
    </row>
    <row r="81" spans="1:32" ht="12.75" customHeight="1" x14ac:dyDescent="0.4">
      <c r="A81" s="119">
        <v>3</v>
      </c>
      <c r="B81" s="80" t="s">
        <v>4660</v>
      </c>
      <c r="C81" s="79" t="s">
        <v>4110</v>
      </c>
      <c r="D81" s="71" t="s">
        <v>4111</v>
      </c>
      <c r="E81" s="71" t="s">
        <v>3923</v>
      </c>
      <c r="F81" s="49">
        <v>60</v>
      </c>
      <c r="G81" s="70">
        <v>42217</v>
      </c>
      <c r="H81" s="49" t="s">
        <v>4003</v>
      </c>
      <c r="I81" s="49" t="s">
        <v>162</v>
      </c>
      <c r="J81" s="137"/>
      <c r="K81" s="180"/>
      <c r="L81" s="180"/>
      <c r="M81" s="180"/>
      <c r="N81" s="180"/>
      <c r="O81" s="180"/>
      <c r="P81" s="180"/>
      <c r="Q81" s="180"/>
      <c r="R81" s="180"/>
      <c r="S81" s="180"/>
      <c r="T81" s="180"/>
      <c r="U81" s="180">
        <v>42290</v>
      </c>
      <c r="V81" s="180"/>
      <c r="W81" s="180"/>
      <c r="X81" s="180"/>
      <c r="Y81" s="71"/>
      <c r="Z81" s="71"/>
    </row>
    <row r="82" spans="1:32" ht="12.75" customHeight="1" x14ac:dyDescent="0.4">
      <c r="A82" s="119">
        <f t="shared" ref="A82:A87" si="1">A81+1</f>
        <v>4</v>
      </c>
      <c r="B82" s="80"/>
      <c r="C82" s="75" t="s">
        <v>3990</v>
      </c>
      <c r="D82" s="75" t="s">
        <v>3991</v>
      </c>
      <c r="E82" s="71" t="s">
        <v>3923</v>
      </c>
      <c r="F82" s="71" t="s">
        <v>1031</v>
      </c>
      <c r="G82" s="70">
        <v>42217</v>
      </c>
      <c r="H82" s="71"/>
      <c r="I82" s="71"/>
      <c r="J82" s="137"/>
      <c r="K82" s="180"/>
      <c r="L82" s="180"/>
      <c r="M82" s="180"/>
      <c r="N82" s="180"/>
      <c r="O82" s="180"/>
      <c r="P82" s="180"/>
      <c r="Q82" s="180"/>
      <c r="R82" s="180"/>
      <c r="S82" s="180"/>
      <c r="T82" s="180"/>
      <c r="U82" s="180">
        <v>42290</v>
      </c>
      <c r="V82" s="180">
        <v>42692</v>
      </c>
      <c r="W82" s="180"/>
      <c r="X82" s="180" t="s">
        <v>4661</v>
      </c>
      <c r="Y82" s="71"/>
      <c r="Z82" s="71"/>
    </row>
    <row r="83" spans="1:32" ht="12.75" customHeight="1" x14ac:dyDescent="0.4">
      <c r="A83" s="119">
        <f t="shared" si="1"/>
        <v>5</v>
      </c>
      <c r="B83" s="80"/>
      <c r="C83" s="75" t="s">
        <v>3977</v>
      </c>
      <c r="D83" s="75" t="s">
        <v>3978</v>
      </c>
      <c r="E83" s="71" t="s">
        <v>3923</v>
      </c>
      <c r="F83" s="71">
        <v>60</v>
      </c>
      <c r="G83" s="70">
        <v>42217</v>
      </c>
      <c r="H83" s="71" t="s">
        <v>3706</v>
      </c>
      <c r="I83" s="7" t="s">
        <v>160</v>
      </c>
      <c r="J83" s="137"/>
      <c r="K83" s="180"/>
      <c r="L83" s="180"/>
      <c r="M83" s="180"/>
      <c r="N83" s="180"/>
      <c r="O83" s="180"/>
      <c r="P83" s="180"/>
      <c r="Q83" s="180"/>
      <c r="R83" s="180"/>
      <c r="S83" s="180"/>
      <c r="T83" s="180"/>
      <c r="U83" s="180"/>
      <c r="V83" s="180"/>
      <c r="W83" s="180"/>
      <c r="X83" s="180" t="s">
        <v>4661</v>
      </c>
      <c r="Y83" s="71"/>
      <c r="Z83" s="71"/>
      <c r="AA83" s="71"/>
    </row>
    <row r="84" spans="1:32" ht="12.75" customHeight="1" x14ac:dyDescent="0.4">
      <c r="A84" s="119">
        <f t="shared" si="1"/>
        <v>6</v>
      </c>
      <c r="B84" s="3" t="s">
        <v>4143</v>
      </c>
      <c r="C84" s="77" t="s">
        <v>4115</v>
      </c>
      <c r="D84" s="77" t="s">
        <v>4116</v>
      </c>
      <c r="E84" s="71" t="s">
        <v>3923</v>
      </c>
      <c r="F84" s="71" t="s">
        <v>1031</v>
      </c>
      <c r="G84" s="70">
        <v>42370</v>
      </c>
      <c r="J84" s="7"/>
      <c r="K84" s="180"/>
      <c r="L84" s="180"/>
      <c r="M84" s="180"/>
      <c r="N84" s="180"/>
      <c r="O84" s="180"/>
      <c r="P84" s="180"/>
      <c r="Q84" s="180"/>
      <c r="R84" s="180"/>
      <c r="S84" s="180"/>
      <c r="T84" s="180"/>
      <c r="U84" s="180">
        <v>42303</v>
      </c>
      <c r="V84" s="180"/>
      <c r="W84" s="180"/>
      <c r="X84" s="180"/>
      <c r="Y84" s="71"/>
      <c r="Z84" s="71"/>
      <c r="AA84" s="71"/>
    </row>
    <row r="85" spans="1:32" ht="12.75" customHeight="1" x14ac:dyDescent="0.4">
      <c r="A85" s="119">
        <f t="shared" si="1"/>
        <v>7</v>
      </c>
      <c r="B85" s="3" t="s">
        <v>4362</v>
      </c>
      <c r="C85" s="45" t="s">
        <v>4117</v>
      </c>
      <c r="D85" s="45" t="s">
        <v>513</v>
      </c>
      <c r="E85" s="71" t="s">
        <v>3923</v>
      </c>
      <c r="F85" s="71" t="s">
        <v>1031</v>
      </c>
      <c r="G85" s="70">
        <v>42370</v>
      </c>
      <c r="H85" s="71"/>
      <c r="I85" s="71"/>
      <c r="J85" s="137"/>
      <c r="K85" s="180"/>
      <c r="L85" s="180"/>
      <c r="M85" s="180"/>
      <c r="N85" s="180"/>
      <c r="O85" s="180"/>
      <c r="P85" s="180"/>
      <c r="Q85" s="180"/>
      <c r="R85" s="180"/>
      <c r="S85" s="180"/>
      <c r="T85" s="180"/>
      <c r="U85" s="180"/>
      <c r="V85" s="180"/>
      <c r="W85" s="180"/>
      <c r="X85" s="180"/>
      <c r="Y85" s="71"/>
      <c r="Z85" s="71"/>
      <c r="AA85" s="71"/>
    </row>
    <row r="86" spans="1:32" ht="12.75" customHeight="1" x14ac:dyDescent="0.4">
      <c r="A86" s="119">
        <f t="shared" si="1"/>
        <v>8</v>
      </c>
      <c r="B86" s="3" t="s">
        <v>4662</v>
      </c>
      <c r="C86" s="74" t="s">
        <v>3993</v>
      </c>
      <c r="D86" s="74" t="s">
        <v>3994</v>
      </c>
      <c r="E86" s="71" t="s">
        <v>3923</v>
      </c>
      <c r="F86" s="71">
        <v>60</v>
      </c>
      <c r="G86" s="70">
        <v>42430</v>
      </c>
      <c r="H86" s="7" t="s">
        <v>4118</v>
      </c>
      <c r="I86" s="7" t="s">
        <v>160</v>
      </c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71"/>
      <c r="Z86" s="71"/>
      <c r="AA86" s="71"/>
    </row>
    <row r="87" spans="1:32" ht="12.75" customHeight="1" x14ac:dyDescent="0.4">
      <c r="A87" s="119">
        <f t="shared" si="1"/>
        <v>9</v>
      </c>
      <c r="B87" s="81" t="s">
        <v>4663</v>
      </c>
      <c r="C87" s="91" t="s">
        <v>4664</v>
      </c>
      <c r="D87" s="93" t="s">
        <v>4119</v>
      </c>
      <c r="E87" s="91" t="s">
        <v>4042</v>
      </c>
      <c r="F87" s="71">
        <v>60</v>
      </c>
      <c r="G87" s="70">
        <v>42461</v>
      </c>
      <c r="H87" s="7" t="s">
        <v>3736</v>
      </c>
      <c r="I87" s="7" t="s">
        <v>160</v>
      </c>
      <c r="K87" s="84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71"/>
      <c r="Z87" s="71"/>
      <c r="AA87" s="71"/>
      <c r="AB87" s="71"/>
      <c r="AC87" s="71"/>
      <c r="AD87" s="71"/>
      <c r="AE87" s="71"/>
      <c r="AF87" s="71"/>
    </row>
    <row r="88" spans="1:32" ht="12.75" customHeight="1" x14ac:dyDescent="0.4">
      <c r="A88" s="119">
        <v>10</v>
      </c>
      <c r="B88" s="80" t="s">
        <v>4124</v>
      </c>
      <c r="C88" s="75" t="s">
        <v>4664</v>
      </c>
      <c r="D88" s="75" t="s">
        <v>4126</v>
      </c>
      <c r="E88" s="71" t="s">
        <v>4665</v>
      </c>
      <c r="F88" s="71">
        <v>60</v>
      </c>
      <c r="G88" s="70">
        <v>42644</v>
      </c>
      <c r="H88" s="71" t="s">
        <v>3706</v>
      </c>
      <c r="I88" s="71" t="s">
        <v>160</v>
      </c>
      <c r="J88" s="137"/>
      <c r="S88" s="120"/>
      <c r="T88" s="120"/>
      <c r="U88" s="120"/>
      <c r="V88" s="120"/>
      <c r="W88" s="120"/>
      <c r="X88" s="71"/>
      <c r="Y88" s="71"/>
      <c r="Z88" s="71"/>
      <c r="AA88" s="71"/>
      <c r="AB88" s="71"/>
      <c r="AC88" s="71"/>
      <c r="AD88" s="71"/>
      <c r="AE88" s="71"/>
      <c r="AF88" s="71"/>
    </row>
    <row r="89" spans="1:32" ht="12.75" customHeight="1" x14ac:dyDescent="0.4">
      <c r="A89" s="119">
        <v>11</v>
      </c>
      <c r="B89" s="287" t="s">
        <v>4666</v>
      </c>
      <c r="C89" s="75" t="s">
        <v>4664</v>
      </c>
      <c r="D89" s="75" t="s">
        <v>4046</v>
      </c>
      <c r="E89" s="71" t="s">
        <v>4449</v>
      </c>
      <c r="F89" s="71">
        <v>600</v>
      </c>
      <c r="G89" s="70">
        <v>42522</v>
      </c>
      <c r="H89" s="71"/>
      <c r="I89" s="71" t="s">
        <v>160</v>
      </c>
      <c r="J89" s="137"/>
      <c r="S89" s="120"/>
      <c r="T89" s="120"/>
      <c r="U89" s="120"/>
      <c r="V89" s="120"/>
      <c r="W89" s="120"/>
      <c r="X89" s="71"/>
      <c r="Y89" s="71"/>
      <c r="Z89" s="71"/>
      <c r="AA89" s="71"/>
      <c r="AB89" s="71"/>
      <c r="AC89" s="71"/>
      <c r="AD89" s="71"/>
      <c r="AE89" s="71"/>
      <c r="AF89" s="71"/>
    </row>
    <row r="90" spans="1:32" ht="12.75" customHeight="1" x14ac:dyDescent="0.4">
      <c r="A90" s="119"/>
      <c r="B90" s="3"/>
      <c r="C90" s="75"/>
      <c r="D90" s="75"/>
      <c r="E90" s="71"/>
      <c r="F90" s="71"/>
      <c r="G90" s="70"/>
      <c r="H90" s="71"/>
      <c r="I90" s="71"/>
      <c r="J90" s="137"/>
      <c r="S90" s="120"/>
      <c r="T90" s="120"/>
      <c r="U90" s="120"/>
      <c r="V90" s="120"/>
      <c r="W90" s="120"/>
      <c r="X90" s="71"/>
      <c r="Y90" s="71"/>
      <c r="Z90" s="71"/>
      <c r="AA90" s="71"/>
      <c r="AB90" s="71"/>
      <c r="AC90" s="71"/>
      <c r="AD90" s="71"/>
      <c r="AE90" s="71"/>
      <c r="AF90" s="71"/>
    </row>
    <row r="91" spans="1:32" ht="12.75" customHeight="1" x14ac:dyDescent="0.35">
      <c r="A91" s="119"/>
      <c r="B91" s="80" t="s">
        <v>4667</v>
      </c>
      <c r="C91" s="77" t="s">
        <v>2623</v>
      </c>
      <c r="D91" s="7" t="s">
        <v>4045</v>
      </c>
      <c r="E91" s="7" t="s">
        <v>4668</v>
      </c>
      <c r="F91" s="7" t="s">
        <v>209</v>
      </c>
      <c r="H91" s="7">
        <v>200</v>
      </c>
      <c r="I91" s="7" t="s">
        <v>3810</v>
      </c>
      <c r="J91" s="112" t="s">
        <v>4669</v>
      </c>
      <c r="S91" s="120"/>
      <c r="T91" s="120"/>
      <c r="U91" s="120"/>
      <c r="V91" s="120"/>
      <c r="W91" s="120"/>
      <c r="X91" s="71"/>
      <c r="Y91" s="71"/>
      <c r="Z91" s="71"/>
      <c r="AA91" s="71"/>
      <c r="AB91" s="71"/>
      <c r="AC91" s="71"/>
      <c r="AD91" s="71"/>
      <c r="AE91" s="71"/>
      <c r="AF91" s="71"/>
    </row>
    <row r="92" spans="1:32" ht="12.75" customHeight="1" x14ac:dyDescent="0.35">
      <c r="A92" s="119"/>
      <c r="B92" s="80" t="s">
        <v>4147</v>
      </c>
      <c r="C92" s="77" t="s">
        <v>4148</v>
      </c>
      <c r="D92" s="77" t="s">
        <v>4149</v>
      </c>
      <c r="H92" s="7">
        <v>204</v>
      </c>
      <c r="I92" s="7" t="s">
        <v>1031</v>
      </c>
      <c r="J92" s="112" t="s">
        <v>4670</v>
      </c>
      <c r="S92" s="120"/>
      <c r="T92" s="120"/>
      <c r="U92" s="120"/>
      <c r="V92" s="120"/>
      <c r="W92" s="120"/>
      <c r="X92" s="71"/>
      <c r="Y92" s="71"/>
      <c r="Z92" s="71"/>
      <c r="AA92" s="71"/>
      <c r="AB92" s="71"/>
      <c r="AC92" s="71"/>
      <c r="AD92" s="71"/>
      <c r="AE92" s="71"/>
      <c r="AF92" s="71"/>
    </row>
    <row r="93" spans="1:32" ht="12.75" customHeight="1" x14ac:dyDescent="0.35">
      <c r="A93" s="119"/>
      <c r="B93" s="3" t="s">
        <v>4671</v>
      </c>
      <c r="C93" s="79" t="s">
        <v>3985</v>
      </c>
      <c r="D93" s="71" t="s">
        <v>4054</v>
      </c>
      <c r="H93" s="7">
        <v>20</v>
      </c>
      <c r="I93" s="7" t="s">
        <v>550</v>
      </c>
      <c r="J93" s="112" t="s">
        <v>4672</v>
      </c>
      <c r="S93" s="120"/>
      <c r="T93" s="120"/>
      <c r="U93" s="120"/>
      <c r="V93" s="120"/>
      <c r="W93" s="120"/>
      <c r="X93" s="71"/>
      <c r="Y93" s="71"/>
      <c r="Z93" s="71"/>
      <c r="AA93" s="71"/>
      <c r="AB93" s="71"/>
      <c r="AC93" s="71"/>
      <c r="AD93" s="71"/>
      <c r="AE93" s="71"/>
      <c r="AF93" s="71"/>
    </row>
    <row r="94" spans="1:32" ht="12.75" customHeight="1" x14ac:dyDescent="0.4">
      <c r="A94" s="119"/>
      <c r="B94" s="3"/>
      <c r="C94" s="75"/>
      <c r="D94" s="75"/>
      <c r="E94" s="71"/>
      <c r="F94" s="71"/>
      <c r="G94" s="70"/>
      <c r="H94" s="71"/>
      <c r="I94" s="71"/>
      <c r="J94" s="137"/>
      <c r="S94" s="120"/>
      <c r="T94" s="120"/>
      <c r="U94" s="120"/>
      <c r="V94" s="120"/>
      <c r="W94" s="120"/>
      <c r="X94" s="71"/>
      <c r="Y94" s="71"/>
      <c r="Z94" s="71"/>
      <c r="AA94" s="71"/>
      <c r="AB94" s="71"/>
      <c r="AC94" s="71"/>
      <c r="AD94" s="71"/>
      <c r="AE94" s="71"/>
      <c r="AF94" s="71"/>
    </row>
    <row r="95" spans="1:32" ht="12.75" customHeight="1" x14ac:dyDescent="0.35">
      <c r="A95" s="119"/>
      <c r="B95" s="80" t="s">
        <v>4181</v>
      </c>
      <c r="C95" s="77" t="s">
        <v>4182</v>
      </c>
      <c r="D95" s="77" t="s">
        <v>4183</v>
      </c>
      <c r="F95" s="132">
        <v>42664</v>
      </c>
      <c r="H95" s="7">
        <v>225</v>
      </c>
      <c r="I95" s="7" t="s">
        <v>551</v>
      </c>
      <c r="J95" s="112" t="s">
        <v>4673</v>
      </c>
      <c r="S95" s="120"/>
      <c r="T95" s="120"/>
      <c r="U95" s="120"/>
      <c r="V95" s="120"/>
      <c r="W95" s="120"/>
      <c r="X95" s="71"/>
      <c r="Y95" s="71"/>
      <c r="Z95" s="71"/>
      <c r="AA95" s="71"/>
      <c r="AB95" s="71"/>
      <c r="AC95" s="71"/>
      <c r="AD95" s="71"/>
      <c r="AE95" s="71"/>
      <c r="AF95" s="71"/>
    </row>
    <row r="96" spans="1:32" ht="12.75" customHeight="1" x14ac:dyDescent="0.35">
      <c r="A96" s="119"/>
      <c r="B96" s="80"/>
      <c r="C96" s="288" t="s">
        <v>3990</v>
      </c>
      <c r="D96" s="288" t="s">
        <v>3991</v>
      </c>
      <c r="E96" s="290" t="s">
        <v>4537</v>
      </c>
      <c r="H96" s="7">
        <v>20</v>
      </c>
      <c r="I96" s="7" t="s">
        <v>550</v>
      </c>
      <c r="J96" s="112" t="s">
        <v>4672</v>
      </c>
      <c r="S96" s="120"/>
      <c r="T96" s="120"/>
      <c r="U96" s="120"/>
      <c r="V96" s="120"/>
      <c r="W96" s="120"/>
      <c r="X96" s="71"/>
      <c r="Y96" s="71"/>
      <c r="Z96" s="71"/>
      <c r="AA96" s="71"/>
      <c r="AB96" s="71"/>
      <c r="AC96" s="71"/>
      <c r="AD96" s="71"/>
      <c r="AE96" s="71"/>
      <c r="AF96" s="71"/>
    </row>
    <row r="97" spans="1:32" ht="12.75" customHeight="1" x14ac:dyDescent="0.35">
      <c r="A97" s="119"/>
      <c r="B97" s="80"/>
      <c r="C97" s="77" t="s">
        <v>4051</v>
      </c>
      <c r="D97" s="77" t="s">
        <v>4052</v>
      </c>
      <c r="F97" s="132">
        <v>42892</v>
      </c>
      <c r="H97" s="7">
        <v>20</v>
      </c>
      <c r="I97" s="7" t="s">
        <v>550</v>
      </c>
      <c r="J97" s="112" t="s">
        <v>4674</v>
      </c>
      <c r="S97" s="120"/>
      <c r="T97" s="120"/>
      <c r="U97" s="120"/>
      <c r="V97" s="120"/>
      <c r="W97" s="120"/>
      <c r="X97" s="71"/>
      <c r="Y97" s="71"/>
      <c r="Z97" s="71"/>
      <c r="AA97" s="71"/>
      <c r="AB97" s="71"/>
      <c r="AC97" s="71"/>
      <c r="AD97" s="71"/>
      <c r="AE97" s="71"/>
      <c r="AF97" s="71"/>
    </row>
    <row r="98" spans="1:32" ht="12.75" customHeight="1" x14ac:dyDescent="0.35">
      <c r="A98" s="119"/>
      <c r="B98" s="80"/>
      <c r="C98" s="7" t="s">
        <v>4467</v>
      </c>
      <c r="D98" s="7" t="s">
        <v>4163</v>
      </c>
      <c r="F98" s="132">
        <v>42536</v>
      </c>
      <c r="H98" s="7">
        <v>204</v>
      </c>
      <c r="I98" s="116" t="s">
        <v>1031</v>
      </c>
      <c r="J98" s="112" t="s">
        <v>4675</v>
      </c>
      <c r="S98" s="120"/>
      <c r="T98" s="120"/>
      <c r="U98" s="120"/>
      <c r="V98" s="120"/>
      <c r="W98" s="120"/>
      <c r="X98" s="71"/>
      <c r="Y98" s="71"/>
      <c r="Z98" s="71"/>
      <c r="AA98" s="71"/>
      <c r="AB98" s="71"/>
      <c r="AC98" s="71"/>
      <c r="AD98" s="71"/>
      <c r="AE98" s="71"/>
      <c r="AF98" s="71"/>
    </row>
    <row r="99" spans="1:32" ht="12.75" customHeight="1" x14ac:dyDescent="0.35">
      <c r="A99" s="119"/>
      <c r="B99" s="80"/>
      <c r="C99" s="77" t="s">
        <v>4159</v>
      </c>
      <c r="D99" s="77" t="s">
        <v>4160</v>
      </c>
      <c r="F99" s="132">
        <v>42536</v>
      </c>
      <c r="H99" s="7">
        <v>204</v>
      </c>
      <c r="I99" s="116" t="s">
        <v>1031</v>
      </c>
      <c r="J99" s="112" t="s">
        <v>4675</v>
      </c>
      <c r="S99" s="120"/>
      <c r="T99" s="120"/>
      <c r="U99" s="120"/>
      <c r="V99" s="120"/>
      <c r="W99" s="120"/>
      <c r="X99" s="71"/>
      <c r="Y99" s="71"/>
      <c r="Z99" s="71"/>
      <c r="AA99" s="71"/>
      <c r="AB99" s="71"/>
      <c r="AC99" s="71"/>
      <c r="AD99" s="71"/>
      <c r="AE99" s="71"/>
      <c r="AF99" s="71"/>
    </row>
    <row r="100" spans="1:32" ht="12.75" customHeight="1" x14ac:dyDescent="0.35">
      <c r="A100" s="119"/>
      <c r="B100" s="80" t="s">
        <v>4676</v>
      </c>
      <c r="C100" s="77" t="s">
        <v>4039</v>
      </c>
      <c r="D100" s="77" t="s">
        <v>4040</v>
      </c>
      <c r="E100" s="124" t="s">
        <v>4677</v>
      </c>
      <c r="F100" s="132">
        <v>42575</v>
      </c>
      <c r="H100" s="7">
        <v>200</v>
      </c>
      <c r="I100" s="7" t="s">
        <v>551</v>
      </c>
      <c r="J100" s="112" t="s">
        <v>4678</v>
      </c>
      <c r="S100" s="120"/>
      <c r="T100" s="120"/>
      <c r="U100" s="120"/>
      <c r="V100" s="120"/>
      <c r="W100" s="120"/>
      <c r="X100" s="71"/>
      <c r="Y100" s="71"/>
      <c r="Z100" s="71"/>
      <c r="AA100" s="71"/>
      <c r="AB100" s="71"/>
      <c r="AC100" s="71"/>
      <c r="AD100" s="71"/>
      <c r="AE100" s="71"/>
      <c r="AF100" s="71"/>
    </row>
    <row r="101" spans="1:32" ht="12.75" customHeight="1" x14ac:dyDescent="0.35">
      <c r="A101" s="119"/>
      <c r="B101" s="3" t="s">
        <v>4679</v>
      </c>
      <c r="C101" s="164" t="s">
        <v>4041</v>
      </c>
      <c r="D101" s="71" t="s">
        <v>4042</v>
      </c>
      <c r="E101" s="179" t="s">
        <v>4680</v>
      </c>
      <c r="F101" s="132">
        <v>42660</v>
      </c>
      <c r="H101" s="7">
        <v>20</v>
      </c>
      <c r="I101" s="7" t="s">
        <v>550</v>
      </c>
      <c r="J101" s="137"/>
      <c r="S101" s="120"/>
      <c r="T101" s="120"/>
      <c r="U101" s="120"/>
      <c r="V101" s="120"/>
      <c r="W101" s="120"/>
      <c r="X101" s="71"/>
      <c r="Y101" s="71"/>
      <c r="Z101" s="71"/>
      <c r="AA101" s="71"/>
      <c r="AB101" s="71"/>
      <c r="AC101" s="71"/>
      <c r="AD101" s="71"/>
      <c r="AE101" s="71"/>
      <c r="AF101" s="71"/>
    </row>
    <row r="102" spans="1:32" ht="12.75" customHeight="1" x14ac:dyDescent="0.35">
      <c r="A102" s="119"/>
      <c r="B102" s="3" t="s">
        <v>4681</v>
      </c>
      <c r="C102" s="178" t="s">
        <v>4024</v>
      </c>
      <c r="D102" s="178" t="s">
        <v>4025</v>
      </c>
      <c r="F102" s="132">
        <v>42257</v>
      </c>
      <c r="G102" s="71">
        <v>20</v>
      </c>
      <c r="H102" s="7">
        <v>0</v>
      </c>
      <c r="I102" s="116" t="s">
        <v>4682</v>
      </c>
      <c r="J102" s="131">
        <v>42262</v>
      </c>
      <c r="T102" s="130"/>
      <c r="X102" s="124" t="s">
        <v>4683</v>
      </c>
      <c r="Y102" s="129" t="s">
        <v>4684</v>
      </c>
      <c r="Z102" s="7" t="s">
        <v>4685</v>
      </c>
      <c r="AA102" s="124" t="s">
        <v>4686</v>
      </c>
      <c r="AB102" s="124"/>
      <c r="AC102" s="124"/>
      <c r="AD102" s="124"/>
      <c r="AE102" s="124"/>
      <c r="AF102" s="124"/>
    </row>
    <row r="103" spans="1:32" ht="12.75" customHeight="1" x14ac:dyDescent="0.35">
      <c r="A103" s="119"/>
      <c r="B103" s="3"/>
      <c r="C103" s="7" t="s">
        <v>4037</v>
      </c>
      <c r="D103" s="7" t="s">
        <v>4687</v>
      </c>
      <c r="F103" s="132">
        <v>42501</v>
      </c>
      <c r="G103" s="7">
        <v>20</v>
      </c>
      <c r="H103" s="7">
        <v>0</v>
      </c>
      <c r="I103" s="116" t="s">
        <v>4682</v>
      </c>
      <c r="J103" s="7" t="s">
        <v>4688</v>
      </c>
      <c r="X103" s="124" t="s">
        <v>4689</v>
      </c>
      <c r="Y103" s="7"/>
      <c r="AA103" s="7" t="s">
        <v>4690</v>
      </c>
    </row>
    <row r="104" spans="1:32" ht="12.75" customHeight="1" x14ac:dyDescent="0.35">
      <c r="A104" s="119"/>
      <c r="B104" s="73" t="s">
        <v>4691</v>
      </c>
      <c r="C104" s="138" t="s">
        <v>3985</v>
      </c>
      <c r="D104" s="138" t="s">
        <v>3986</v>
      </c>
      <c r="E104" s="71"/>
      <c r="F104" s="163">
        <v>41949</v>
      </c>
      <c r="G104" s="71">
        <v>20</v>
      </c>
      <c r="H104" s="71"/>
      <c r="I104" s="116" t="s">
        <v>4682</v>
      </c>
      <c r="J104" s="131">
        <v>42001</v>
      </c>
      <c r="K104" s="130"/>
      <c r="L104" s="130"/>
      <c r="M104" s="130"/>
      <c r="N104" s="120"/>
      <c r="O104" s="120"/>
      <c r="P104" s="120"/>
      <c r="Q104" s="120"/>
      <c r="R104" s="120"/>
      <c r="S104" s="120"/>
      <c r="T104" s="120"/>
      <c r="U104" s="120"/>
      <c r="V104" s="120"/>
      <c r="W104" s="120"/>
      <c r="X104" s="98" t="s">
        <v>4692</v>
      </c>
      <c r="Y104" s="98" t="s">
        <v>4693</v>
      </c>
      <c r="Z104" s="98" t="s">
        <v>4694</v>
      </c>
      <c r="AA104" s="98" t="s">
        <v>4695</v>
      </c>
      <c r="AB104" s="98"/>
      <c r="AC104" s="98"/>
      <c r="AD104" s="98"/>
      <c r="AE104" s="98"/>
      <c r="AF104" s="98"/>
    </row>
    <row r="105" spans="1:32" ht="12.75" customHeight="1" x14ac:dyDescent="0.35">
      <c r="A105" s="119"/>
      <c r="B105" s="80" t="s">
        <v>4155</v>
      </c>
      <c r="C105" s="77" t="s">
        <v>4063</v>
      </c>
      <c r="D105" s="7" t="s">
        <v>4156</v>
      </c>
      <c r="F105" s="132">
        <v>42384</v>
      </c>
      <c r="G105" s="7" t="s">
        <v>166</v>
      </c>
      <c r="H105" s="1">
        <v>216</v>
      </c>
      <c r="I105" s="116" t="s">
        <v>1031</v>
      </c>
      <c r="J105" s="112" t="s">
        <v>4696</v>
      </c>
      <c r="S105" s="120"/>
      <c r="T105" s="120"/>
      <c r="U105" s="120"/>
      <c r="V105" s="120"/>
      <c r="W105" s="120"/>
      <c r="X105" s="71"/>
      <c r="Y105" s="71"/>
      <c r="Z105" s="71"/>
      <c r="AA105" s="71"/>
      <c r="AB105" s="71"/>
      <c r="AC105" s="71"/>
      <c r="AD105" s="71"/>
      <c r="AE105" s="71"/>
      <c r="AF105" s="71"/>
    </row>
    <row r="106" spans="1:32" ht="12.75" customHeight="1" x14ac:dyDescent="0.35">
      <c r="A106" s="119"/>
      <c r="B106" s="73" t="s">
        <v>4136</v>
      </c>
      <c r="C106" s="164" t="s">
        <v>1032</v>
      </c>
      <c r="D106" s="164" t="s">
        <v>3992</v>
      </c>
      <c r="E106" s="71" t="s">
        <v>4697</v>
      </c>
      <c r="F106" s="132">
        <v>41851</v>
      </c>
      <c r="G106" s="1" t="s">
        <v>166</v>
      </c>
      <c r="H106" s="71">
        <v>204</v>
      </c>
      <c r="I106" s="116" t="s">
        <v>1031</v>
      </c>
      <c r="J106" s="166" t="s">
        <v>4698</v>
      </c>
      <c r="K106" s="130"/>
      <c r="L106" s="130"/>
      <c r="M106" s="130"/>
      <c r="N106" s="130"/>
      <c r="O106" s="130"/>
      <c r="P106" s="130"/>
      <c r="Q106" s="130"/>
      <c r="R106" s="130"/>
      <c r="S106" s="130"/>
      <c r="T106" s="130"/>
      <c r="U106" s="130"/>
      <c r="V106" s="130"/>
      <c r="W106" s="130"/>
      <c r="X106" s="71"/>
      <c r="Y106" s="71"/>
      <c r="Z106" s="71"/>
      <c r="AA106" s="71"/>
      <c r="AB106" s="71"/>
      <c r="AC106" s="71"/>
      <c r="AD106" s="71"/>
      <c r="AE106" s="71"/>
      <c r="AF106" s="71"/>
    </row>
    <row r="107" spans="1:32" ht="12.75" customHeight="1" x14ac:dyDescent="0.35">
      <c r="A107" s="119"/>
      <c r="B107" s="3" t="s">
        <v>4662</v>
      </c>
      <c r="C107" s="164" t="s">
        <v>3993</v>
      </c>
      <c r="D107" s="164" t="s">
        <v>3994</v>
      </c>
      <c r="E107" s="71" t="s">
        <v>4699</v>
      </c>
      <c r="F107" s="163">
        <v>42078</v>
      </c>
      <c r="G107" s="116"/>
      <c r="H107" s="1">
        <v>200</v>
      </c>
      <c r="I107" s="116" t="s">
        <v>3810</v>
      </c>
      <c r="J107" s="166" t="s">
        <v>4700</v>
      </c>
      <c r="K107" s="130"/>
      <c r="L107" s="130"/>
      <c r="M107" s="130"/>
      <c r="N107" s="130"/>
      <c r="O107" s="130"/>
      <c r="P107" s="130"/>
      <c r="Q107" s="130"/>
      <c r="R107" s="130"/>
      <c r="S107" s="130"/>
      <c r="T107" s="130"/>
      <c r="U107" s="130"/>
      <c r="V107" s="130"/>
      <c r="W107" s="130"/>
      <c r="X107" s="136"/>
      <c r="Y107" s="151"/>
      <c r="Z107" s="135"/>
      <c r="AA107" s="135"/>
      <c r="AB107" s="135"/>
      <c r="AC107" s="135"/>
      <c r="AD107" s="135"/>
      <c r="AE107" s="135"/>
      <c r="AF107" s="135"/>
    </row>
    <row r="108" spans="1:32" ht="12.75" customHeight="1" x14ac:dyDescent="0.35">
      <c r="A108" s="119"/>
      <c r="B108" s="80" t="s">
        <v>4701</v>
      </c>
      <c r="C108" s="133" t="s">
        <v>4028</v>
      </c>
      <c r="D108" s="133" t="s">
        <v>4029</v>
      </c>
      <c r="F108" s="132">
        <v>42294</v>
      </c>
      <c r="G108" s="7">
        <v>20</v>
      </c>
      <c r="H108" s="7">
        <v>0</v>
      </c>
      <c r="I108" s="116" t="s">
        <v>4682</v>
      </c>
      <c r="J108" s="131">
        <v>42292</v>
      </c>
      <c r="U108" s="130"/>
      <c r="Y108" s="129" t="s">
        <v>4702</v>
      </c>
    </row>
    <row r="109" spans="1:32" ht="12.75" customHeight="1" thickBot="1" x14ac:dyDescent="0.4">
      <c r="A109" s="119"/>
      <c r="B109" s="3" t="s">
        <v>4703</v>
      </c>
      <c r="C109" s="133" t="s">
        <v>4031</v>
      </c>
      <c r="D109" s="133" t="s">
        <v>4032</v>
      </c>
      <c r="F109" s="132">
        <v>42301</v>
      </c>
      <c r="G109" s="7">
        <v>20</v>
      </c>
      <c r="H109" s="7">
        <v>0</v>
      </c>
      <c r="I109" s="116" t="s">
        <v>4682</v>
      </c>
      <c r="J109" s="131">
        <v>42292</v>
      </c>
      <c r="U109" s="130"/>
    </row>
    <row r="110" spans="1:32" ht="12.75" customHeight="1" thickBot="1" x14ac:dyDescent="0.4">
      <c r="A110" s="119"/>
      <c r="B110" s="3" t="s">
        <v>4704</v>
      </c>
      <c r="C110" s="133" t="s">
        <v>4022</v>
      </c>
      <c r="D110" s="133" t="s">
        <v>4023</v>
      </c>
      <c r="F110" s="132">
        <v>42213</v>
      </c>
      <c r="G110" s="71">
        <v>20</v>
      </c>
      <c r="H110" s="71">
        <v>0</v>
      </c>
      <c r="I110" s="116" t="s">
        <v>4682</v>
      </c>
      <c r="J110" s="131">
        <v>42231</v>
      </c>
      <c r="S110" s="130"/>
      <c r="X110" s="177" t="s">
        <v>4705</v>
      </c>
      <c r="Y110" s="177" t="s">
        <v>4706</v>
      </c>
      <c r="Z110" s="155" t="s">
        <v>4707</v>
      </c>
      <c r="AA110" s="155" t="s">
        <v>4708</v>
      </c>
      <c r="AB110" s="155"/>
      <c r="AC110" s="155"/>
      <c r="AD110" s="155"/>
      <c r="AE110" s="155"/>
      <c r="AF110" s="155"/>
    </row>
    <row r="111" spans="1:32" ht="12.75" customHeight="1" x14ac:dyDescent="0.35">
      <c r="A111" s="119"/>
      <c r="B111" s="80" t="s">
        <v>4709</v>
      </c>
      <c r="C111" s="133" t="s">
        <v>4710</v>
      </c>
      <c r="D111" s="133" t="s">
        <v>4711</v>
      </c>
      <c r="F111" s="132">
        <v>42262</v>
      </c>
      <c r="G111" s="7" t="s">
        <v>4712</v>
      </c>
      <c r="H111" s="7">
        <v>0</v>
      </c>
      <c r="I111" s="116" t="s">
        <v>4682</v>
      </c>
      <c r="J111" s="131">
        <v>42262</v>
      </c>
      <c r="T111" s="130"/>
      <c r="U111" s="130"/>
    </row>
    <row r="112" spans="1:32" ht="12.75" customHeight="1" x14ac:dyDescent="0.35">
      <c r="A112" s="119"/>
      <c r="B112" s="73" t="s">
        <v>4053</v>
      </c>
      <c r="C112" s="164" t="s">
        <v>3988</v>
      </c>
      <c r="D112" s="164" t="s">
        <v>3989</v>
      </c>
      <c r="E112" s="71" t="s">
        <v>4699</v>
      </c>
      <c r="F112" s="132">
        <v>41976</v>
      </c>
      <c r="G112" s="1"/>
      <c r="H112" s="1">
        <v>200</v>
      </c>
      <c r="I112" s="116" t="s">
        <v>3810</v>
      </c>
      <c r="J112" s="176" t="s">
        <v>4713</v>
      </c>
      <c r="K112" s="130"/>
      <c r="L112" s="130"/>
      <c r="M112" s="130"/>
      <c r="N112" s="130"/>
      <c r="O112" s="130"/>
      <c r="P112" s="130"/>
      <c r="Q112" s="130"/>
      <c r="R112" s="130"/>
      <c r="S112" s="130"/>
      <c r="T112" s="130"/>
      <c r="U112" s="130"/>
      <c r="V112" s="130"/>
      <c r="W112" s="152"/>
      <c r="X112" s="136"/>
      <c r="Y112" s="151"/>
      <c r="Z112" s="135"/>
      <c r="AA112" s="135"/>
      <c r="AB112" s="135"/>
      <c r="AC112" s="135"/>
      <c r="AD112" s="135"/>
      <c r="AE112" s="135"/>
      <c r="AF112" s="135"/>
    </row>
    <row r="113" spans="1:32" ht="12.75" customHeight="1" x14ac:dyDescent="0.35">
      <c r="A113" s="119"/>
      <c r="B113" s="71" t="s">
        <v>4714</v>
      </c>
      <c r="C113" s="164" t="s">
        <v>4252</v>
      </c>
      <c r="D113" s="164" t="s">
        <v>4253</v>
      </c>
      <c r="E113" s="71" t="s">
        <v>4699</v>
      </c>
      <c r="F113" s="163">
        <v>41973</v>
      </c>
      <c r="G113" s="71"/>
      <c r="H113" s="116">
        <v>180</v>
      </c>
      <c r="I113" s="116" t="s">
        <v>1031</v>
      </c>
      <c r="J113" s="166" t="s">
        <v>4715</v>
      </c>
      <c r="K113" s="130"/>
      <c r="L113" s="130"/>
      <c r="M113" s="130"/>
      <c r="N113" s="130"/>
      <c r="O113" s="130"/>
      <c r="P113" s="130"/>
      <c r="Q113" s="130"/>
      <c r="R113" s="130"/>
      <c r="S113" s="130"/>
      <c r="T113" s="130"/>
      <c r="U113" s="130"/>
      <c r="V113" s="130"/>
      <c r="W113" s="113"/>
      <c r="X113" s="71" t="s">
        <v>4716</v>
      </c>
      <c r="Y113" s="71" t="s">
        <v>4717</v>
      </c>
      <c r="Z113" s="71" t="s">
        <v>4718</v>
      </c>
      <c r="AA113" s="71" t="s">
        <v>4719</v>
      </c>
      <c r="AB113" s="71"/>
      <c r="AC113" s="71"/>
      <c r="AD113" s="71"/>
      <c r="AE113" s="71"/>
      <c r="AF113" s="71"/>
    </row>
    <row r="114" spans="1:32" ht="12.75" customHeight="1" x14ac:dyDescent="0.35">
      <c r="A114" s="119"/>
      <c r="B114" s="78" t="s">
        <v>4720</v>
      </c>
      <c r="C114" s="138" t="s">
        <v>4007</v>
      </c>
      <c r="D114" s="138" t="s">
        <v>4008</v>
      </c>
      <c r="E114" s="71" t="s">
        <v>4721</v>
      </c>
      <c r="F114" s="132">
        <v>42122</v>
      </c>
      <c r="G114" s="71">
        <v>20</v>
      </c>
      <c r="H114" s="71"/>
      <c r="I114" s="116" t="s">
        <v>4682</v>
      </c>
      <c r="J114" s="131">
        <v>42109</v>
      </c>
      <c r="O114" s="130"/>
      <c r="S114" s="120"/>
      <c r="T114" s="120"/>
      <c r="U114" s="120"/>
      <c r="V114" s="120"/>
      <c r="W114" s="120"/>
      <c r="X114" s="72" t="s">
        <v>4722</v>
      </c>
      <c r="Y114" s="72" t="s">
        <v>4723</v>
      </c>
      <c r="Z114" s="71" t="s">
        <v>4724</v>
      </c>
      <c r="AA114" s="71" t="s">
        <v>4725</v>
      </c>
      <c r="AB114" s="71"/>
      <c r="AC114" s="71"/>
      <c r="AD114" s="71"/>
      <c r="AE114" s="71"/>
      <c r="AF114" s="71"/>
    </row>
    <row r="115" spans="1:32" ht="12.75" customHeight="1" x14ac:dyDescent="0.35">
      <c r="A115" s="119"/>
      <c r="B115" s="3" t="s">
        <v>4726</v>
      </c>
      <c r="C115" s="133" t="s">
        <v>4020</v>
      </c>
      <c r="D115" s="133" t="s">
        <v>4021</v>
      </c>
      <c r="F115" s="132">
        <v>42192</v>
      </c>
      <c r="G115" s="71">
        <v>20</v>
      </c>
      <c r="H115" s="71">
        <v>0</v>
      </c>
      <c r="I115" s="116" t="s">
        <v>4682</v>
      </c>
      <c r="J115" s="131">
        <v>42200</v>
      </c>
      <c r="R115" s="130"/>
    </row>
    <row r="116" spans="1:32" ht="12.75" customHeight="1" x14ac:dyDescent="0.35">
      <c r="A116" s="119"/>
      <c r="B116" s="3" t="s">
        <v>4727</v>
      </c>
      <c r="C116" s="133" t="s">
        <v>4018</v>
      </c>
      <c r="D116" s="175" t="s">
        <v>4019</v>
      </c>
      <c r="F116" s="132">
        <v>42167</v>
      </c>
      <c r="G116" s="71">
        <v>20</v>
      </c>
      <c r="H116" s="71"/>
      <c r="I116" s="116" t="s">
        <v>4682</v>
      </c>
      <c r="J116" s="131">
        <v>42170</v>
      </c>
      <c r="Q116" s="130"/>
      <c r="X116" s="169"/>
      <c r="Y116" s="168"/>
      <c r="Z116" s="71"/>
      <c r="AA116" s="71"/>
      <c r="AB116" s="71"/>
      <c r="AC116" s="71"/>
      <c r="AD116" s="71"/>
      <c r="AE116" s="71"/>
      <c r="AF116" s="71"/>
    </row>
    <row r="117" spans="1:32" ht="12.75" customHeight="1" x14ac:dyDescent="0.35">
      <c r="A117" s="119"/>
      <c r="B117" s="75" t="s">
        <v>4728</v>
      </c>
      <c r="C117" s="138" t="s">
        <v>3995</v>
      </c>
      <c r="D117" s="138" t="s">
        <v>3996</v>
      </c>
      <c r="E117" s="71" t="s">
        <v>4729</v>
      </c>
      <c r="F117" s="132">
        <v>42085</v>
      </c>
      <c r="G117" s="71">
        <v>20</v>
      </c>
      <c r="H117" s="71"/>
      <c r="I117" s="116" t="s">
        <v>4682</v>
      </c>
      <c r="J117" s="131">
        <v>42085</v>
      </c>
      <c r="N117" s="130"/>
      <c r="P117" s="120"/>
      <c r="Q117" s="120"/>
      <c r="R117" s="120"/>
      <c r="S117" s="120"/>
      <c r="T117" s="120"/>
      <c r="U117" s="120"/>
      <c r="V117" s="120"/>
      <c r="W117" s="120"/>
      <c r="X117" s="72" t="s">
        <v>4730</v>
      </c>
      <c r="Y117" s="72" t="s">
        <v>4731</v>
      </c>
      <c r="Z117" s="71" t="s">
        <v>4732</v>
      </c>
      <c r="AA117" s="71" t="s">
        <v>4733</v>
      </c>
      <c r="AB117" s="71"/>
      <c r="AC117" s="71"/>
      <c r="AD117" s="71"/>
      <c r="AE117" s="71"/>
      <c r="AF117" s="71"/>
    </row>
    <row r="118" spans="1:32" ht="12.75" customHeight="1" x14ac:dyDescent="0.35">
      <c r="A118" s="119"/>
      <c r="B118" s="80" t="s">
        <v>4734</v>
      </c>
      <c r="C118" s="174" t="s">
        <v>4001</v>
      </c>
      <c r="D118" s="173" t="s">
        <v>4002</v>
      </c>
      <c r="E118" s="71" t="s">
        <v>4721</v>
      </c>
      <c r="F118" s="132">
        <v>42108</v>
      </c>
      <c r="G118" s="71">
        <v>20</v>
      </c>
      <c r="H118" s="71"/>
      <c r="I118" s="116" t="s">
        <v>4682</v>
      </c>
      <c r="J118" s="131">
        <v>42109</v>
      </c>
      <c r="O118" s="130"/>
    </row>
    <row r="119" spans="1:32" ht="12.75" customHeight="1" x14ac:dyDescent="0.35">
      <c r="A119" s="119"/>
      <c r="B119" s="7" t="s">
        <v>4735</v>
      </c>
      <c r="C119" s="138" t="s">
        <v>4016</v>
      </c>
      <c r="D119" s="138" t="s">
        <v>4017</v>
      </c>
      <c r="F119" s="132">
        <v>42165</v>
      </c>
      <c r="G119" s="71" t="s">
        <v>4736</v>
      </c>
      <c r="H119" s="71">
        <v>200</v>
      </c>
      <c r="I119" s="116" t="s">
        <v>3810</v>
      </c>
      <c r="J119" s="137" t="s">
        <v>4737</v>
      </c>
      <c r="Q119" s="130"/>
      <c r="R119" s="130"/>
      <c r="S119" s="130"/>
      <c r="T119" s="130"/>
      <c r="U119" s="130"/>
      <c r="V119" s="130"/>
      <c r="W119" s="130"/>
      <c r="Y119" s="151"/>
      <c r="Z119" s="135"/>
      <c r="AA119" s="135"/>
      <c r="AB119" s="135"/>
      <c r="AC119" s="135"/>
      <c r="AD119" s="135"/>
      <c r="AE119" s="135"/>
      <c r="AF119" s="135"/>
    </row>
    <row r="120" spans="1:32" ht="12.75" customHeight="1" x14ac:dyDescent="0.35">
      <c r="A120" s="119"/>
      <c r="B120" s="71" t="s">
        <v>4738</v>
      </c>
      <c r="C120" s="138" t="s">
        <v>4266</v>
      </c>
      <c r="D120" s="138" t="s">
        <v>4267</v>
      </c>
      <c r="E120" s="71"/>
      <c r="F120" s="172">
        <v>41958</v>
      </c>
      <c r="G120" s="116"/>
      <c r="H120" s="1">
        <v>170</v>
      </c>
      <c r="I120" s="116" t="s">
        <v>1031</v>
      </c>
      <c r="J120" s="166" t="s">
        <v>4739</v>
      </c>
      <c r="K120" s="130"/>
      <c r="L120" s="130"/>
      <c r="M120" s="130"/>
      <c r="N120" s="130"/>
      <c r="O120" s="130"/>
      <c r="P120" s="130"/>
      <c r="Q120" s="130"/>
      <c r="R120" s="130"/>
      <c r="S120" s="130"/>
      <c r="T120" s="130"/>
      <c r="U120" s="130"/>
      <c r="V120" s="152"/>
      <c r="W120" s="152"/>
      <c r="X120" s="136"/>
      <c r="Y120" s="71" t="s">
        <v>4740</v>
      </c>
      <c r="Z120" s="71" t="s">
        <v>4741</v>
      </c>
      <c r="AA120" s="71" t="s">
        <v>4742</v>
      </c>
      <c r="AB120" s="71"/>
      <c r="AC120" s="71"/>
      <c r="AD120" s="71"/>
      <c r="AE120" s="71"/>
      <c r="AF120" s="71"/>
    </row>
    <row r="121" spans="1:32" ht="12.75" customHeight="1" x14ac:dyDescent="0.35">
      <c r="A121" s="119"/>
      <c r="B121" s="3" t="s">
        <v>4134</v>
      </c>
      <c r="C121" s="164" t="s">
        <v>3981</v>
      </c>
      <c r="D121" s="164" t="s">
        <v>4135</v>
      </c>
      <c r="E121" s="71"/>
      <c r="F121" s="132">
        <v>42200</v>
      </c>
      <c r="G121" s="71" t="s">
        <v>166</v>
      </c>
      <c r="H121" s="71">
        <v>204</v>
      </c>
      <c r="I121" s="116" t="s">
        <v>1031</v>
      </c>
      <c r="J121" s="137" t="s">
        <v>4743</v>
      </c>
      <c r="R121" s="130"/>
      <c r="S121" s="130"/>
      <c r="T121" s="130"/>
      <c r="U121" s="130"/>
      <c r="V121" s="130"/>
      <c r="W121" s="130"/>
      <c r="Y121" s="71"/>
      <c r="Z121" s="71"/>
      <c r="AA121" s="71"/>
      <c r="AB121" s="71"/>
      <c r="AC121" s="71"/>
      <c r="AD121" s="71"/>
      <c r="AE121" s="71"/>
      <c r="AF121" s="71"/>
    </row>
    <row r="122" spans="1:32" ht="12.75" customHeight="1" x14ac:dyDescent="0.35">
      <c r="A122" s="119"/>
      <c r="B122" s="73" t="s">
        <v>4150</v>
      </c>
      <c r="C122" s="138" t="s">
        <v>4114</v>
      </c>
      <c r="D122" s="138" t="s">
        <v>521</v>
      </c>
      <c r="E122" s="71" t="s">
        <v>4697</v>
      </c>
      <c r="F122" s="132">
        <v>42074</v>
      </c>
      <c r="G122" s="71"/>
      <c r="H122" s="1">
        <v>200</v>
      </c>
      <c r="I122" s="116" t="s">
        <v>3810</v>
      </c>
      <c r="J122" s="137" t="s">
        <v>4744</v>
      </c>
      <c r="N122" s="130"/>
      <c r="O122" s="130"/>
      <c r="P122" s="130"/>
      <c r="Q122" s="130"/>
      <c r="R122" s="130"/>
      <c r="S122" s="130"/>
      <c r="T122" s="130"/>
      <c r="U122" s="130"/>
      <c r="V122" s="130"/>
      <c r="W122" s="130"/>
      <c r="X122" s="136"/>
      <c r="Y122" s="151"/>
      <c r="Z122" s="135"/>
      <c r="AA122" s="135"/>
      <c r="AB122" s="135"/>
      <c r="AC122" s="135"/>
      <c r="AD122" s="135"/>
      <c r="AE122" s="135"/>
      <c r="AF122" s="135"/>
    </row>
    <row r="123" spans="1:32" ht="12.75" customHeight="1" x14ac:dyDescent="0.35">
      <c r="A123" s="119"/>
      <c r="B123" s="75" t="s">
        <v>4745</v>
      </c>
      <c r="C123" s="138" t="s">
        <v>3981</v>
      </c>
      <c r="D123" s="138" t="s">
        <v>4004</v>
      </c>
      <c r="E123" s="71"/>
      <c r="F123" s="132">
        <v>42109</v>
      </c>
      <c r="G123" s="71">
        <v>0</v>
      </c>
      <c r="H123" s="71"/>
      <c r="I123" s="116" t="s">
        <v>4682</v>
      </c>
      <c r="J123" s="131">
        <v>42109</v>
      </c>
      <c r="O123" s="130"/>
      <c r="P123" s="130"/>
      <c r="S123" s="120"/>
      <c r="T123" s="120"/>
      <c r="U123" s="120"/>
      <c r="V123" s="120"/>
      <c r="W123" s="120"/>
      <c r="X123" s="71" t="s">
        <v>4746</v>
      </c>
      <c r="Y123" s="71" t="s">
        <v>4747</v>
      </c>
      <c r="Z123" s="71" t="s">
        <v>4748</v>
      </c>
      <c r="AA123" s="71" t="s">
        <v>4686</v>
      </c>
      <c r="AB123" s="71"/>
      <c r="AC123" s="71"/>
      <c r="AD123" s="71"/>
      <c r="AE123" s="71"/>
      <c r="AF123" s="71"/>
    </row>
    <row r="124" spans="1:32" ht="12.75" customHeight="1" x14ac:dyDescent="0.35">
      <c r="A124" s="119"/>
      <c r="B124" s="71" t="s">
        <v>4157</v>
      </c>
      <c r="C124" s="164" t="s">
        <v>3977</v>
      </c>
      <c r="D124" s="164" t="s">
        <v>3978</v>
      </c>
      <c r="E124" s="71"/>
      <c r="F124" s="171">
        <v>41609</v>
      </c>
      <c r="G124" s="116">
        <v>12.5</v>
      </c>
      <c r="H124" s="116">
        <v>0</v>
      </c>
      <c r="I124" s="116" t="s">
        <v>4682</v>
      </c>
      <c r="J124" s="166">
        <v>41609</v>
      </c>
      <c r="K124" s="130"/>
      <c r="L124" s="130"/>
      <c r="M124" s="130"/>
      <c r="N124" s="113"/>
      <c r="O124" s="113"/>
      <c r="P124" s="113"/>
      <c r="Q124" s="113"/>
      <c r="R124" s="113"/>
      <c r="S124" s="113"/>
      <c r="T124" s="113"/>
      <c r="U124" s="113"/>
      <c r="V124" s="113"/>
      <c r="W124" s="113"/>
      <c r="X124" s="71" t="s">
        <v>4749</v>
      </c>
      <c r="Y124" s="71" t="s">
        <v>4750</v>
      </c>
      <c r="Z124" s="71" t="s">
        <v>4751</v>
      </c>
      <c r="AA124" s="71" t="s">
        <v>4752</v>
      </c>
      <c r="AB124" s="71"/>
      <c r="AC124" s="71"/>
      <c r="AD124" s="71"/>
      <c r="AE124" s="71"/>
      <c r="AF124" s="71"/>
    </row>
    <row r="125" spans="1:32" ht="12.75" customHeight="1" x14ac:dyDescent="0.4">
      <c r="A125" s="119"/>
      <c r="B125" s="3" t="s">
        <v>4753</v>
      </c>
      <c r="C125" s="170" t="s">
        <v>534</v>
      </c>
      <c r="D125" s="170" t="s">
        <v>4011</v>
      </c>
      <c r="E125" s="71"/>
      <c r="F125" s="132">
        <v>42159</v>
      </c>
      <c r="G125" s="71">
        <v>20</v>
      </c>
      <c r="H125" s="71"/>
      <c r="I125" s="116" t="s">
        <v>4682</v>
      </c>
      <c r="J125" s="131">
        <v>42170</v>
      </c>
      <c r="Q125" s="130"/>
      <c r="S125" s="120"/>
      <c r="T125" s="120"/>
      <c r="U125" s="120"/>
      <c r="V125" s="120"/>
      <c r="W125" s="120"/>
      <c r="X125" s="71"/>
      <c r="Y125" s="71"/>
      <c r="Z125" s="71"/>
      <c r="AA125" s="71"/>
      <c r="AB125" s="71"/>
      <c r="AC125" s="71"/>
      <c r="AD125" s="71"/>
      <c r="AE125" s="71"/>
      <c r="AF125" s="71"/>
    </row>
    <row r="126" spans="1:32" ht="12.75" customHeight="1" x14ac:dyDescent="0.35">
      <c r="A126" s="119"/>
      <c r="B126" s="78" t="s">
        <v>4754</v>
      </c>
      <c r="C126" s="138" t="s">
        <v>518</v>
      </c>
      <c r="D126" s="133" t="s">
        <v>3999</v>
      </c>
      <c r="E126" s="71" t="s">
        <v>4729</v>
      </c>
      <c r="F126" s="132">
        <v>42188</v>
      </c>
      <c r="G126" s="71">
        <v>20</v>
      </c>
      <c r="H126" s="71"/>
      <c r="I126" s="116" t="s">
        <v>4682</v>
      </c>
      <c r="J126" s="131">
        <v>42109</v>
      </c>
      <c r="O126" s="130"/>
      <c r="X126" s="124" t="s">
        <v>4755</v>
      </c>
      <c r="Y126" s="111" t="s">
        <v>4756</v>
      </c>
      <c r="Z126" s="7" t="s">
        <v>4757</v>
      </c>
      <c r="AA126" s="7" t="s">
        <v>4758</v>
      </c>
    </row>
    <row r="127" spans="1:32" ht="12.75" customHeight="1" x14ac:dyDescent="0.35">
      <c r="A127" s="119"/>
      <c r="B127" s="80" t="s">
        <v>4759</v>
      </c>
      <c r="C127" s="134" t="s">
        <v>4009</v>
      </c>
      <c r="D127" s="134" t="s">
        <v>4010</v>
      </c>
      <c r="F127" s="132">
        <v>42142</v>
      </c>
      <c r="G127" s="7">
        <v>20</v>
      </c>
      <c r="I127" s="116" t="s">
        <v>4682</v>
      </c>
      <c r="J127" s="131">
        <v>42139</v>
      </c>
      <c r="P127" s="130"/>
    </row>
    <row r="128" spans="1:32" ht="12.75" customHeight="1" x14ac:dyDescent="0.35">
      <c r="A128" s="119"/>
      <c r="B128" s="71" t="s">
        <v>4760</v>
      </c>
      <c r="C128" s="164" t="s">
        <v>4761</v>
      </c>
      <c r="D128" s="164" t="s">
        <v>4265</v>
      </c>
      <c r="E128" s="71"/>
      <c r="F128" s="132">
        <v>41886</v>
      </c>
      <c r="G128" s="116"/>
      <c r="H128" s="1">
        <v>150</v>
      </c>
      <c r="I128" s="116" t="s">
        <v>1031</v>
      </c>
      <c r="J128" s="166" t="s">
        <v>4762</v>
      </c>
      <c r="K128" s="130"/>
      <c r="L128" s="130"/>
      <c r="M128" s="130"/>
      <c r="N128" s="130"/>
      <c r="O128" s="130"/>
      <c r="P128" s="130"/>
      <c r="Q128" s="130"/>
      <c r="R128" s="130"/>
      <c r="S128" s="130"/>
      <c r="T128" s="152"/>
      <c r="U128" s="152"/>
      <c r="V128" s="152"/>
      <c r="W128" s="152"/>
      <c r="X128" s="136"/>
      <c r="Y128" s="151"/>
      <c r="Z128" s="135"/>
      <c r="AA128" s="135"/>
      <c r="AB128" s="135"/>
      <c r="AC128" s="135"/>
      <c r="AD128" s="135"/>
      <c r="AE128" s="135"/>
      <c r="AF128" s="135"/>
    </row>
    <row r="129" spans="1:32" ht="12.75" customHeight="1" x14ac:dyDescent="0.35">
      <c r="A129" s="119"/>
      <c r="B129" s="73" t="s">
        <v>4428</v>
      </c>
      <c r="C129" s="164" t="s">
        <v>3990</v>
      </c>
      <c r="D129" s="164" t="s">
        <v>3991</v>
      </c>
      <c r="E129" s="73"/>
      <c r="F129" s="132">
        <v>41842</v>
      </c>
      <c r="G129" s="71"/>
      <c r="H129" s="71">
        <v>200</v>
      </c>
      <c r="I129" s="116" t="s">
        <v>3810</v>
      </c>
      <c r="J129" s="166" t="s">
        <v>4763</v>
      </c>
      <c r="K129" s="130"/>
      <c r="L129" s="130"/>
      <c r="M129" s="130"/>
      <c r="N129" s="130"/>
      <c r="O129" s="130"/>
      <c r="P129" s="130"/>
      <c r="Q129" s="130"/>
      <c r="R129" s="130"/>
      <c r="S129" s="130"/>
      <c r="X129" s="71"/>
      <c r="Y129" s="71"/>
      <c r="Z129" s="71"/>
      <c r="AA129" s="71"/>
      <c r="AB129" s="71"/>
      <c r="AC129" s="71"/>
      <c r="AD129" s="71"/>
      <c r="AE129" s="71"/>
      <c r="AF129" s="71"/>
    </row>
    <row r="130" spans="1:32" ht="12.75" customHeight="1" x14ac:dyDescent="0.35">
      <c r="A130" s="119"/>
      <c r="B130" s="3" t="s">
        <v>4764</v>
      </c>
      <c r="C130" s="133" t="s">
        <v>4012</v>
      </c>
      <c r="D130" s="133" t="s">
        <v>4013</v>
      </c>
      <c r="F130" s="132">
        <v>42161</v>
      </c>
      <c r="G130" s="71">
        <v>20</v>
      </c>
      <c r="H130" s="71"/>
      <c r="I130" s="116" t="s">
        <v>4682</v>
      </c>
      <c r="J130" s="131">
        <v>42170</v>
      </c>
      <c r="Q130" s="130"/>
      <c r="X130" s="169" t="s">
        <v>4765</v>
      </c>
      <c r="Y130" s="168" t="s">
        <v>4766</v>
      </c>
      <c r="Z130" s="71" t="s">
        <v>4767</v>
      </c>
      <c r="AA130" s="71" t="s">
        <v>4768</v>
      </c>
      <c r="AB130" s="71"/>
      <c r="AC130" s="71"/>
      <c r="AD130" s="71"/>
      <c r="AE130" s="71"/>
      <c r="AF130" s="71"/>
    </row>
    <row r="131" spans="1:32" ht="12.75" customHeight="1" x14ac:dyDescent="0.35">
      <c r="A131" s="119"/>
      <c r="B131" s="3" t="s">
        <v>4769</v>
      </c>
      <c r="C131" s="133" t="s">
        <v>3988</v>
      </c>
      <c r="D131" s="133" t="s">
        <v>4770</v>
      </c>
      <c r="E131" s="7" t="s">
        <v>4771</v>
      </c>
      <c r="F131" s="132">
        <v>42167</v>
      </c>
      <c r="G131" s="71">
        <v>0</v>
      </c>
      <c r="H131" s="71"/>
      <c r="I131" s="116" t="s">
        <v>4682</v>
      </c>
      <c r="J131" s="131">
        <v>42170</v>
      </c>
      <c r="Q131" s="130"/>
      <c r="R131" s="130"/>
      <c r="X131" s="169"/>
      <c r="Y131" s="168"/>
      <c r="Z131" s="71"/>
      <c r="AA131" s="71"/>
      <c r="AB131" s="71"/>
      <c r="AC131" s="71"/>
      <c r="AD131" s="71"/>
      <c r="AE131" s="71"/>
      <c r="AF131" s="71"/>
    </row>
    <row r="132" spans="1:32" ht="12.75" customHeight="1" x14ac:dyDescent="0.35">
      <c r="A132" s="119"/>
      <c r="B132" s="75" t="s">
        <v>4772</v>
      </c>
      <c r="C132" s="138" t="s">
        <v>4005</v>
      </c>
      <c r="D132" s="138" t="s">
        <v>4006</v>
      </c>
      <c r="E132" s="71" t="s">
        <v>4729</v>
      </c>
      <c r="F132" s="132">
        <v>42109</v>
      </c>
      <c r="G132" s="71">
        <v>20</v>
      </c>
      <c r="H132" s="71"/>
      <c r="I132" s="116" t="s">
        <v>4682</v>
      </c>
      <c r="J132" s="131">
        <v>42109</v>
      </c>
      <c r="O132" s="130"/>
      <c r="P132" s="130"/>
      <c r="S132" s="120"/>
      <c r="T132" s="120"/>
      <c r="U132" s="120"/>
      <c r="V132" s="120"/>
      <c r="W132" s="120"/>
      <c r="X132" s="71" t="s">
        <v>4716</v>
      </c>
      <c r="Y132" s="71" t="s">
        <v>4773</v>
      </c>
      <c r="Z132" s="71" t="s">
        <v>4774</v>
      </c>
      <c r="AA132" s="71" t="s">
        <v>4775</v>
      </c>
      <c r="AB132" s="71"/>
      <c r="AC132" s="71"/>
      <c r="AD132" s="71"/>
      <c r="AE132" s="71"/>
      <c r="AF132" s="71"/>
    </row>
    <row r="133" spans="1:32" ht="12.75" customHeight="1" x14ac:dyDescent="0.35">
      <c r="A133" s="119"/>
      <c r="B133" s="71" t="s">
        <v>4776</v>
      </c>
      <c r="C133" s="164" t="s">
        <v>3979</v>
      </c>
      <c r="D133" s="164" t="s">
        <v>3980</v>
      </c>
      <c r="E133" s="71"/>
      <c r="F133" s="163">
        <v>41767</v>
      </c>
      <c r="G133" s="116">
        <v>15</v>
      </c>
      <c r="H133" s="149"/>
      <c r="I133" s="116" t="s">
        <v>4682</v>
      </c>
      <c r="J133" s="131">
        <v>41767</v>
      </c>
      <c r="K133" s="130"/>
      <c r="L133" s="130"/>
      <c r="M133" s="130"/>
      <c r="N133" s="130"/>
      <c r="O133" s="120"/>
      <c r="P133" s="120"/>
      <c r="Q133" s="120"/>
      <c r="R133" s="120"/>
      <c r="S133" s="120"/>
      <c r="T133" s="120"/>
      <c r="U133" s="120"/>
      <c r="V133" s="120"/>
      <c r="W133" s="120"/>
      <c r="X133" s="167" t="s">
        <v>4777</v>
      </c>
      <c r="Y133" s="167" t="s">
        <v>4778</v>
      </c>
      <c r="Z133" s="167" t="s">
        <v>4779</v>
      </c>
      <c r="AA133" s="71" t="s">
        <v>4780</v>
      </c>
      <c r="AB133" s="71"/>
      <c r="AC133" s="71"/>
      <c r="AD133" s="71"/>
      <c r="AE133" s="71"/>
      <c r="AF133" s="71"/>
    </row>
    <row r="134" spans="1:32" ht="12.75" customHeight="1" x14ac:dyDescent="0.35">
      <c r="A134" s="119"/>
      <c r="B134" s="73" t="s">
        <v>4781</v>
      </c>
      <c r="C134" s="138" t="s">
        <v>3983</v>
      </c>
      <c r="D134" s="138" t="s">
        <v>3984</v>
      </c>
      <c r="E134" s="71"/>
      <c r="F134" s="163">
        <v>41949</v>
      </c>
      <c r="G134" s="149">
        <v>20</v>
      </c>
      <c r="H134" s="149"/>
      <c r="I134" s="116" t="s">
        <v>4682</v>
      </c>
      <c r="J134" s="131">
        <v>41949</v>
      </c>
      <c r="K134" s="130"/>
      <c r="L134" s="130"/>
      <c r="M134" s="120"/>
      <c r="N134" s="120"/>
      <c r="O134" s="120"/>
      <c r="P134" s="120"/>
      <c r="Q134" s="120"/>
      <c r="R134" s="120"/>
      <c r="S134" s="120"/>
      <c r="T134" s="120"/>
      <c r="U134" s="120"/>
      <c r="V134" s="120"/>
      <c r="W134" s="120"/>
      <c r="X134" s="71" t="s">
        <v>4777</v>
      </c>
      <c r="Y134" s="71" t="s">
        <v>4782</v>
      </c>
      <c r="Z134" s="71" t="s">
        <v>4783</v>
      </c>
      <c r="AA134" s="71" t="s">
        <v>4784</v>
      </c>
      <c r="AB134" s="71"/>
      <c r="AC134" s="71"/>
      <c r="AD134" s="71"/>
      <c r="AE134" s="71"/>
      <c r="AF134" s="71"/>
    </row>
    <row r="135" spans="1:32" ht="12.75" customHeight="1" x14ac:dyDescent="0.35">
      <c r="A135" s="119"/>
      <c r="B135" s="71" t="s">
        <v>4785</v>
      </c>
      <c r="C135" s="164" t="s">
        <v>3993</v>
      </c>
      <c r="D135" s="164" t="s">
        <v>4245</v>
      </c>
      <c r="E135" s="71"/>
      <c r="F135" s="132">
        <v>41827</v>
      </c>
      <c r="G135" s="116"/>
      <c r="H135" s="71">
        <v>170</v>
      </c>
      <c r="I135" s="116" t="s">
        <v>1031</v>
      </c>
      <c r="J135" s="166" t="s">
        <v>4786</v>
      </c>
      <c r="K135" s="130"/>
      <c r="L135" s="130"/>
      <c r="M135" s="130"/>
      <c r="N135" s="130"/>
      <c r="O135" s="130"/>
      <c r="P135" s="130"/>
      <c r="Q135" s="130"/>
      <c r="R135" s="165"/>
      <c r="S135" s="152"/>
      <c r="T135" s="152"/>
      <c r="U135" s="152"/>
      <c r="V135" s="152"/>
      <c r="W135" s="152"/>
      <c r="X135" s="136"/>
      <c r="Y135" s="151"/>
      <c r="Z135" s="135"/>
      <c r="AA135" s="135"/>
      <c r="AB135" s="135"/>
      <c r="AC135" s="135"/>
      <c r="AD135" s="135"/>
      <c r="AE135" s="135"/>
      <c r="AF135" s="135"/>
    </row>
    <row r="136" spans="1:32" ht="12.75" customHeight="1" x14ac:dyDescent="0.35">
      <c r="A136" s="119"/>
      <c r="B136" s="78" t="s">
        <v>4787</v>
      </c>
      <c r="C136" s="138" t="s">
        <v>3997</v>
      </c>
      <c r="D136" s="133" t="s">
        <v>3998</v>
      </c>
      <c r="E136" s="71" t="s">
        <v>4729</v>
      </c>
      <c r="F136" s="132">
        <v>42091</v>
      </c>
      <c r="G136" s="71">
        <v>20</v>
      </c>
      <c r="H136" s="71"/>
      <c r="I136" s="116" t="s">
        <v>4682</v>
      </c>
      <c r="J136" s="131">
        <v>42091</v>
      </c>
      <c r="N136" s="130"/>
      <c r="O136" s="130"/>
      <c r="P136" s="130"/>
      <c r="X136" s="124" t="s">
        <v>4788</v>
      </c>
      <c r="Y136" s="124" t="s">
        <v>4789</v>
      </c>
      <c r="Z136" s="7" t="s">
        <v>4790</v>
      </c>
      <c r="AA136" s="7" t="s">
        <v>4791</v>
      </c>
    </row>
    <row r="137" spans="1:32" ht="12.75" customHeight="1" x14ac:dyDescent="0.35">
      <c r="A137" s="119"/>
      <c r="B137" s="3" t="s">
        <v>4134</v>
      </c>
      <c r="C137" s="164" t="s">
        <v>3981</v>
      </c>
      <c r="D137" s="164" t="s">
        <v>4135</v>
      </c>
      <c r="E137" s="71"/>
      <c r="F137" s="163">
        <v>41874</v>
      </c>
      <c r="G137" s="116">
        <v>20</v>
      </c>
      <c r="H137" s="116">
        <v>0</v>
      </c>
      <c r="I137" s="116" t="s">
        <v>4682</v>
      </c>
      <c r="J137" s="131">
        <v>41874</v>
      </c>
      <c r="K137" s="130"/>
      <c r="L137" s="130"/>
      <c r="M137" s="130"/>
      <c r="N137" s="130"/>
      <c r="Y137" s="7"/>
    </row>
    <row r="138" spans="1:32" ht="12.75" customHeight="1" x14ac:dyDescent="0.35">
      <c r="A138" s="119"/>
      <c r="B138" s="162" t="s">
        <v>4792</v>
      </c>
      <c r="C138" s="118" t="s">
        <v>4168</v>
      </c>
      <c r="D138" s="118" t="s">
        <v>4057</v>
      </c>
      <c r="F138" s="161">
        <v>41591</v>
      </c>
      <c r="G138" s="116"/>
      <c r="H138" s="160">
        <v>120</v>
      </c>
      <c r="I138" s="115" t="s">
        <v>1031</v>
      </c>
      <c r="J138" s="121" t="s">
        <v>4793</v>
      </c>
      <c r="K138" s="130"/>
      <c r="L138" s="130"/>
      <c r="M138" s="130"/>
      <c r="N138" s="152"/>
      <c r="O138" s="152"/>
      <c r="S138" s="120"/>
      <c r="T138" s="120"/>
      <c r="U138" s="120"/>
      <c r="V138" s="120"/>
      <c r="W138" s="120"/>
      <c r="X138" s="71" t="s">
        <v>4722</v>
      </c>
      <c r="Y138" s="128" t="s">
        <v>4794</v>
      </c>
      <c r="Z138" s="71" t="s">
        <v>4795</v>
      </c>
      <c r="AA138" s="71" t="s">
        <v>4796</v>
      </c>
      <c r="AB138" s="71"/>
      <c r="AC138" s="71"/>
      <c r="AD138" s="71"/>
      <c r="AE138" s="71"/>
      <c r="AF138" s="71"/>
    </row>
    <row r="139" spans="1:32" ht="12.75" customHeight="1" x14ac:dyDescent="0.35">
      <c r="A139" s="119"/>
      <c r="B139" s="7" t="s">
        <v>4797</v>
      </c>
      <c r="C139" s="118" t="s">
        <v>4051</v>
      </c>
      <c r="D139" s="118" t="s">
        <v>4251</v>
      </c>
      <c r="E139" s="7" t="s">
        <v>4798</v>
      </c>
      <c r="F139" s="122">
        <v>41876</v>
      </c>
      <c r="G139" s="116"/>
      <c r="H139" s="116">
        <v>180</v>
      </c>
      <c r="I139" s="115" t="s">
        <v>1031</v>
      </c>
      <c r="J139" s="121" t="s">
        <v>4799</v>
      </c>
      <c r="K139" s="130"/>
      <c r="L139" s="130"/>
      <c r="M139" s="130"/>
      <c r="N139" s="130"/>
      <c r="S139" s="120"/>
      <c r="T139" s="120"/>
      <c r="U139" s="120"/>
      <c r="V139" s="120"/>
      <c r="W139" s="120"/>
      <c r="X139" s="71">
        <v>42</v>
      </c>
      <c r="Y139" s="71">
        <v>7850404545</v>
      </c>
      <c r="Z139" s="71" t="s">
        <v>4430</v>
      </c>
      <c r="AA139" s="128" t="s">
        <v>4800</v>
      </c>
      <c r="AB139" s="128"/>
      <c r="AC139" s="128"/>
      <c r="AD139" s="128"/>
      <c r="AE139" s="128"/>
      <c r="AF139" s="128"/>
    </row>
    <row r="140" spans="1:32" ht="12.75" customHeight="1" x14ac:dyDescent="0.35">
      <c r="A140" s="119"/>
      <c r="B140" s="7" t="s">
        <v>4801</v>
      </c>
      <c r="C140" s="157" t="s">
        <v>3975</v>
      </c>
      <c r="D140" s="118" t="s">
        <v>3976</v>
      </c>
      <c r="E140" s="148" t="s">
        <v>4798</v>
      </c>
      <c r="F140" s="122">
        <v>41704</v>
      </c>
      <c r="G140" s="116">
        <v>15</v>
      </c>
      <c r="H140" s="116"/>
      <c r="I140" s="115" t="s">
        <v>4682</v>
      </c>
      <c r="J140" s="121">
        <v>41713</v>
      </c>
      <c r="K140" s="130"/>
      <c r="L140" s="130"/>
      <c r="X140" s="71" t="s">
        <v>4746</v>
      </c>
      <c r="Y140" s="71" t="s">
        <v>4802</v>
      </c>
      <c r="Z140" s="71" t="s">
        <v>4803</v>
      </c>
      <c r="AA140" s="71" t="s">
        <v>4804</v>
      </c>
      <c r="AB140" s="71"/>
      <c r="AC140" s="71"/>
      <c r="AD140" s="71"/>
      <c r="AE140" s="71"/>
      <c r="AF140" s="71"/>
    </row>
    <row r="141" spans="1:32" ht="12.75" customHeight="1" x14ac:dyDescent="0.35">
      <c r="A141" s="119"/>
      <c r="B141" s="2" t="s">
        <v>4805</v>
      </c>
      <c r="C141" s="157" t="s">
        <v>4806</v>
      </c>
      <c r="D141" s="118" t="s">
        <v>4807</v>
      </c>
      <c r="F141" s="122">
        <v>41865</v>
      </c>
      <c r="G141" s="116">
        <v>20</v>
      </c>
      <c r="H141" s="116">
        <v>0</v>
      </c>
      <c r="I141" s="115" t="s">
        <v>4682</v>
      </c>
      <c r="J141" s="153">
        <v>41865</v>
      </c>
      <c r="K141" s="130"/>
      <c r="L141" s="130"/>
      <c r="M141" s="120"/>
      <c r="N141" s="120"/>
      <c r="O141" s="120"/>
      <c r="P141" s="120"/>
      <c r="Q141" s="120"/>
      <c r="R141" s="120"/>
      <c r="S141" s="120"/>
      <c r="T141" s="120"/>
      <c r="U141" s="120"/>
      <c r="V141" s="120"/>
      <c r="W141" s="120"/>
      <c r="X141" s="71" t="s">
        <v>4808</v>
      </c>
      <c r="Y141" s="71" t="s">
        <v>4809</v>
      </c>
      <c r="Z141" s="71" t="s">
        <v>4810</v>
      </c>
      <c r="AA141" s="71" t="s">
        <v>4811</v>
      </c>
      <c r="AB141" s="71"/>
      <c r="AC141" s="71"/>
      <c r="AD141" s="71"/>
      <c r="AE141" s="71"/>
      <c r="AF141" s="71"/>
    </row>
    <row r="142" spans="1:32" ht="12.75" customHeight="1" thickBot="1" x14ac:dyDescent="0.4">
      <c r="A142" s="119"/>
      <c r="B142" s="2" t="s">
        <v>4812</v>
      </c>
      <c r="C142" s="118" t="s">
        <v>4256</v>
      </c>
      <c r="D142" s="118" t="s">
        <v>4257</v>
      </c>
      <c r="F142" s="117">
        <v>41717</v>
      </c>
      <c r="G142" s="1"/>
      <c r="H142" s="1">
        <v>135</v>
      </c>
      <c r="I142" s="115" t="s">
        <v>1031</v>
      </c>
      <c r="J142" s="121" t="s">
        <v>4813</v>
      </c>
      <c r="K142" s="130"/>
      <c r="L142" s="130"/>
      <c r="M142" s="130"/>
      <c r="N142" s="152"/>
      <c r="O142" s="152"/>
      <c r="P142" s="152"/>
      <c r="Q142" s="152"/>
      <c r="R142" s="152"/>
      <c r="S142" s="152"/>
      <c r="T142" s="152"/>
      <c r="U142" s="152"/>
      <c r="V142" s="152"/>
    </row>
    <row r="143" spans="1:32" ht="12.75" customHeight="1" thickBot="1" x14ac:dyDescent="0.4">
      <c r="A143" s="119"/>
      <c r="B143" s="7" t="s">
        <v>4753</v>
      </c>
      <c r="C143" s="157" t="s">
        <v>534</v>
      </c>
      <c r="D143" s="118" t="s">
        <v>4011</v>
      </c>
      <c r="E143" s="7" t="s">
        <v>4699</v>
      </c>
      <c r="F143" s="117">
        <v>41575</v>
      </c>
      <c r="G143" s="1">
        <v>12.5</v>
      </c>
      <c r="H143" s="116">
        <v>0</v>
      </c>
      <c r="I143" s="115" t="s">
        <v>4682</v>
      </c>
      <c r="J143" s="114" t="s">
        <v>4814</v>
      </c>
      <c r="K143" s="130"/>
      <c r="L143" s="130"/>
      <c r="R143" s="120"/>
      <c r="S143" s="120"/>
      <c r="T143" s="120"/>
      <c r="U143" s="120"/>
      <c r="V143" s="120"/>
      <c r="W143" s="120"/>
      <c r="X143" s="159">
        <v>51</v>
      </c>
      <c r="Y143" s="159">
        <v>7801451352</v>
      </c>
      <c r="Z143" s="158" t="s">
        <v>4815</v>
      </c>
      <c r="AA143" s="158" t="s">
        <v>4816</v>
      </c>
      <c r="AB143" s="158"/>
      <c r="AC143" s="158"/>
      <c r="AD143" s="158"/>
      <c r="AE143" s="158"/>
      <c r="AF143" s="158"/>
    </row>
    <row r="144" spans="1:32" ht="12.75" customHeight="1" x14ac:dyDescent="0.35">
      <c r="A144" s="119"/>
      <c r="B144" s="2" t="s">
        <v>4817</v>
      </c>
      <c r="C144" s="157" t="s">
        <v>4761</v>
      </c>
      <c r="D144" s="118" t="s">
        <v>4002</v>
      </c>
      <c r="F144" s="122">
        <v>41896</v>
      </c>
      <c r="G144" s="116">
        <v>20</v>
      </c>
      <c r="H144" s="116">
        <v>0</v>
      </c>
      <c r="I144" s="115" t="s">
        <v>4682</v>
      </c>
      <c r="J144" s="153">
        <v>41897</v>
      </c>
      <c r="K144" s="130"/>
      <c r="L144" s="130"/>
      <c r="M144" s="120"/>
      <c r="N144" s="120"/>
      <c r="O144" s="120"/>
      <c r="P144" s="120"/>
      <c r="Q144" s="120"/>
      <c r="R144" s="120"/>
      <c r="S144" s="120"/>
      <c r="T144" s="120"/>
      <c r="U144" s="120"/>
      <c r="V144" s="120"/>
      <c r="W144" s="120"/>
      <c r="X144" s="71"/>
      <c r="Y144" s="156" t="s">
        <v>4818</v>
      </c>
      <c r="Z144" s="156" t="s">
        <v>4819</v>
      </c>
      <c r="AA144" s="156" t="s">
        <v>4820</v>
      </c>
      <c r="AB144" s="156"/>
      <c r="AC144" s="156"/>
      <c r="AD144" s="156"/>
      <c r="AE144" s="156"/>
      <c r="AF144" s="156"/>
    </row>
    <row r="145" spans="1:32" ht="12.75" customHeight="1" x14ac:dyDescent="0.35">
      <c r="A145" s="119"/>
      <c r="B145" s="154" t="s">
        <v>4821</v>
      </c>
      <c r="C145" s="118" t="s">
        <v>4822</v>
      </c>
      <c r="D145" s="118" t="s">
        <v>4823</v>
      </c>
      <c r="F145" s="122">
        <v>41884</v>
      </c>
      <c r="G145" s="116">
        <v>20</v>
      </c>
      <c r="H145" s="116">
        <v>0</v>
      </c>
      <c r="I145" s="115" t="s">
        <v>4682</v>
      </c>
      <c r="J145" s="153">
        <v>41884</v>
      </c>
      <c r="K145" s="143"/>
      <c r="L145" s="120"/>
      <c r="M145" s="120"/>
      <c r="N145" s="120"/>
      <c r="O145" s="120"/>
      <c r="P145" s="120"/>
      <c r="Q145" s="120"/>
      <c r="R145" s="120"/>
      <c r="S145" s="120"/>
      <c r="T145" s="120"/>
      <c r="U145" s="120"/>
      <c r="V145" s="120"/>
      <c r="W145" s="120"/>
      <c r="X145" s="71">
        <v>57</v>
      </c>
      <c r="Y145" s="71">
        <v>7890077432</v>
      </c>
      <c r="Z145" s="71" t="s">
        <v>4824</v>
      </c>
      <c r="AA145" s="71" t="s">
        <v>4825</v>
      </c>
      <c r="AB145" s="71"/>
      <c r="AC145" s="71"/>
      <c r="AD145" s="71"/>
      <c r="AE145" s="71"/>
      <c r="AF145" s="71"/>
    </row>
    <row r="146" spans="1:32" ht="12.75" customHeight="1" x14ac:dyDescent="0.35">
      <c r="A146" s="119"/>
      <c r="B146" s="7" t="s">
        <v>4826</v>
      </c>
      <c r="C146" s="118" t="s">
        <v>4258</v>
      </c>
      <c r="D146" s="118" t="s">
        <v>4827</v>
      </c>
      <c r="E146" s="7" t="s">
        <v>4828</v>
      </c>
      <c r="F146" s="99">
        <v>41613</v>
      </c>
      <c r="G146" s="116"/>
      <c r="H146" s="116">
        <v>125</v>
      </c>
      <c r="I146" s="115" t="s">
        <v>3810</v>
      </c>
      <c r="J146" s="112" t="s">
        <v>4829</v>
      </c>
      <c r="K146" s="130"/>
      <c r="L146" s="130"/>
      <c r="M146" s="113"/>
      <c r="N146" s="152"/>
      <c r="O146" s="152"/>
      <c r="P146" s="152"/>
      <c r="Q146" s="152"/>
      <c r="R146" s="152"/>
      <c r="S146" s="152"/>
      <c r="T146" s="152"/>
      <c r="U146" s="152"/>
      <c r="V146" s="152"/>
      <c r="W146" s="152"/>
      <c r="X146" s="136"/>
      <c r="Y146" s="151"/>
      <c r="Z146" s="135"/>
      <c r="AA146" s="135"/>
      <c r="AB146" s="135"/>
      <c r="AC146" s="135"/>
      <c r="AD146" s="135"/>
      <c r="AE146" s="135"/>
      <c r="AF146" s="135"/>
    </row>
    <row r="147" spans="1:32" ht="12.75" customHeight="1" x14ac:dyDescent="0.35">
      <c r="A147" s="134"/>
      <c r="B147" s="7" t="s">
        <v>4144</v>
      </c>
      <c r="C147" s="118" t="s">
        <v>4145</v>
      </c>
      <c r="D147" s="118" t="s">
        <v>4146</v>
      </c>
      <c r="E147" s="150" t="s">
        <v>4798</v>
      </c>
      <c r="F147" s="122">
        <v>41548</v>
      </c>
      <c r="G147" s="149"/>
      <c r="H147" s="116">
        <v>135</v>
      </c>
      <c r="I147" s="115" t="s">
        <v>1031</v>
      </c>
      <c r="J147" s="144" t="s">
        <v>4830</v>
      </c>
      <c r="K147" s="143"/>
      <c r="L147" s="120"/>
      <c r="M147" s="120"/>
      <c r="N147" s="120"/>
      <c r="O147" s="120"/>
      <c r="P147" s="120"/>
      <c r="Q147" s="120"/>
      <c r="R147" s="120"/>
      <c r="S147" s="120"/>
      <c r="T147" s="120"/>
      <c r="U147" s="120"/>
      <c r="V147" s="120"/>
      <c r="W147" s="120"/>
      <c r="X147" s="147">
        <v>36</v>
      </c>
      <c r="Y147" s="146" t="s">
        <v>4831</v>
      </c>
      <c r="Z147" s="84" t="s">
        <v>4832</v>
      </c>
      <c r="AA147" s="84" t="s">
        <v>4833</v>
      </c>
      <c r="AB147" s="84"/>
      <c r="AC147" s="84"/>
      <c r="AD147" s="84"/>
      <c r="AE147" s="84"/>
      <c r="AF147" s="84"/>
    </row>
    <row r="148" spans="1:32" ht="12.75" customHeight="1" x14ac:dyDescent="0.35">
      <c r="A148" s="134"/>
      <c r="B148" s="7" t="s">
        <v>4834</v>
      </c>
      <c r="C148" s="118" t="s">
        <v>4039</v>
      </c>
      <c r="D148" s="118" t="s">
        <v>4257</v>
      </c>
      <c r="E148" s="84"/>
      <c r="F148" s="122">
        <v>41625</v>
      </c>
      <c r="G148" s="1"/>
      <c r="H148" s="1">
        <v>120</v>
      </c>
      <c r="I148" s="115" t="s">
        <v>1031</v>
      </c>
      <c r="J148" s="144" t="s">
        <v>4830</v>
      </c>
      <c r="K148" s="143"/>
      <c r="L148" s="120"/>
      <c r="M148" s="120"/>
      <c r="N148" s="120"/>
      <c r="O148" s="120"/>
      <c r="P148" s="120"/>
      <c r="Q148" s="120"/>
      <c r="R148" s="120"/>
      <c r="X148" s="147"/>
      <c r="Y148" s="146"/>
      <c r="Z148" s="84"/>
      <c r="AA148" s="84"/>
      <c r="AB148" s="84"/>
      <c r="AC148" s="84"/>
      <c r="AD148" s="84"/>
      <c r="AE148" s="84"/>
      <c r="AF148" s="84"/>
    </row>
    <row r="149" spans="1:32" ht="12.75" customHeight="1" x14ac:dyDescent="0.35">
      <c r="A149" s="134"/>
      <c r="B149" s="7" t="s">
        <v>4835</v>
      </c>
      <c r="C149" s="118" t="s">
        <v>4179</v>
      </c>
      <c r="D149" s="118" t="s">
        <v>4204</v>
      </c>
      <c r="E149" s="148" t="s">
        <v>4798</v>
      </c>
      <c r="F149" s="117">
        <v>41625</v>
      </c>
      <c r="G149" s="1"/>
      <c r="H149" s="1">
        <v>120</v>
      </c>
      <c r="I149" s="115" t="s">
        <v>1031</v>
      </c>
      <c r="J149" s="144" t="s">
        <v>4830</v>
      </c>
      <c r="K149" s="143"/>
      <c r="L149" s="120"/>
      <c r="M149" s="120"/>
      <c r="N149" s="120"/>
      <c r="O149" s="120"/>
      <c r="P149" s="120"/>
      <c r="Q149" s="120"/>
      <c r="R149" s="120"/>
      <c r="X149" s="147"/>
      <c r="Y149" s="146"/>
      <c r="Z149" s="84"/>
      <c r="AA149" s="84"/>
      <c r="AB149" s="84"/>
      <c r="AC149" s="84"/>
      <c r="AD149" s="84"/>
      <c r="AE149" s="84"/>
      <c r="AF149" s="84"/>
    </row>
    <row r="150" spans="1:32" ht="12.75" customHeight="1" x14ac:dyDescent="0.35">
      <c r="A150" s="134"/>
      <c r="B150" s="7" t="s">
        <v>4836</v>
      </c>
      <c r="C150" s="118" t="s">
        <v>4260</v>
      </c>
      <c r="D150" s="118" t="s">
        <v>4837</v>
      </c>
      <c r="E150" s="84"/>
      <c r="F150" s="117">
        <v>41625</v>
      </c>
      <c r="G150" s="1"/>
      <c r="H150" s="1">
        <v>120</v>
      </c>
      <c r="I150" s="115" t="s">
        <v>1031</v>
      </c>
      <c r="J150" s="144" t="s">
        <v>4830</v>
      </c>
      <c r="K150" s="143"/>
      <c r="L150" s="120"/>
      <c r="M150" s="120"/>
      <c r="N150" s="120"/>
      <c r="O150" s="120"/>
      <c r="P150" s="120"/>
      <c r="Q150" s="120"/>
      <c r="R150" s="120"/>
      <c r="S150" s="120"/>
      <c r="T150" s="120"/>
      <c r="U150" s="120"/>
      <c r="V150" s="120"/>
      <c r="W150" s="120"/>
      <c r="X150" s="84"/>
      <c r="Y150" s="88"/>
      <c r="Z150" s="84"/>
      <c r="AA150" s="84"/>
      <c r="AB150" s="84"/>
      <c r="AC150" s="84"/>
      <c r="AD150" s="84"/>
      <c r="AE150" s="84"/>
      <c r="AF150" s="84"/>
    </row>
    <row r="151" spans="1:32" ht="12.75" customHeight="1" thickBot="1" x14ac:dyDescent="0.4">
      <c r="A151" s="77" t="s">
        <v>4838</v>
      </c>
      <c r="B151" s="7" t="s">
        <v>4839</v>
      </c>
      <c r="C151" s="118" t="s">
        <v>4254</v>
      </c>
      <c r="D151" s="118" t="s">
        <v>4255</v>
      </c>
      <c r="E151" s="84" t="s">
        <v>4699</v>
      </c>
      <c r="F151" s="117">
        <v>41632</v>
      </c>
      <c r="G151" s="1"/>
      <c r="H151" s="1">
        <v>135</v>
      </c>
      <c r="I151" s="115" t="s">
        <v>1031</v>
      </c>
      <c r="J151" s="144" t="s">
        <v>4830</v>
      </c>
      <c r="K151" s="143"/>
      <c r="L151" s="120"/>
      <c r="M151" s="120"/>
      <c r="N151" s="120"/>
      <c r="O151" s="120"/>
      <c r="P151" s="120"/>
      <c r="Q151" s="120"/>
      <c r="R151" s="120"/>
      <c r="S151" s="120"/>
      <c r="T151" s="120"/>
      <c r="U151" s="120"/>
      <c r="V151" s="120"/>
      <c r="W151" s="120"/>
      <c r="X151" s="84"/>
      <c r="Y151" s="88"/>
      <c r="Z151" s="84"/>
      <c r="AA151" s="84"/>
      <c r="AB151" s="84"/>
      <c r="AC151" s="84"/>
      <c r="AD151" s="84"/>
      <c r="AE151" s="84"/>
      <c r="AF151" s="84"/>
    </row>
    <row r="152" spans="1:32" ht="12.75" customHeight="1" thickBot="1" x14ac:dyDescent="0.4">
      <c r="B152" s="145" t="s">
        <v>4840</v>
      </c>
      <c r="C152" s="118" t="s">
        <v>4249</v>
      </c>
      <c r="D152" s="118" t="s">
        <v>4250</v>
      </c>
      <c r="E152" s="84"/>
      <c r="F152" s="117">
        <v>41632</v>
      </c>
      <c r="G152" s="1"/>
      <c r="H152" s="1">
        <v>120</v>
      </c>
      <c r="I152" s="115" t="s">
        <v>1031</v>
      </c>
      <c r="J152" s="144" t="s">
        <v>4830</v>
      </c>
      <c r="K152" s="143"/>
      <c r="L152" s="120"/>
      <c r="M152" s="120"/>
      <c r="N152" s="120"/>
      <c r="O152" s="120"/>
      <c r="P152" s="120"/>
      <c r="Q152" s="120"/>
      <c r="R152" s="120"/>
      <c r="S152" s="120"/>
      <c r="T152" s="120"/>
      <c r="U152" s="120"/>
      <c r="V152" s="120"/>
      <c r="W152" s="120"/>
      <c r="X152" s="84"/>
      <c r="Y152" s="88"/>
      <c r="Z152" s="84"/>
      <c r="AA152" s="84"/>
      <c r="AB152" s="84"/>
      <c r="AC152" s="84"/>
      <c r="AD152" s="84"/>
      <c r="AE152" s="84"/>
      <c r="AF152" s="84"/>
    </row>
    <row r="153" spans="1:32" ht="12.75" customHeight="1" x14ac:dyDescent="0.35">
      <c r="B153" s="7" t="s">
        <v>4841</v>
      </c>
      <c r="C153" s="118" t="s">
        <v>4262</v>
      </c>
      <c r="D153" s="118" t="s">
        <v>4263</v>
      </c>
      <c r="E153" s="84" t="s">
        <v>4798</v>
      </c>
      <c r="F153" s="117">
        <v>41632</v>
      </c>
      <c r="G153" s="1"/>
      <c r="H153" s="1">
        <v>120</v>
      </c>
      <c r="I153" s="115" t="s">
        <v>1031</v>
      </c>
      <c r="J153" s="144" t="s">
        <v>4830</v>
      </c>
      <c r="K153" s="143"/>
      <c r="L153" s="120"/>
      <c r="M153" s="120"/>
      <c r="N153" s="120"/>
      <c r="O153" s="120"/>
      <c r="P153" s="120"/>
      <c r="Q153" s="120"/>
      <c r="R153" s="120"/>
      <c r="S153" s="120"/>
      <c r="T153" s="120"/>
      <c r="U153" s="120"/>
      <c r="V153" s="120"/>
      <c r="W153" s="120"/>
      <c r="X153" s="84"/>
      <c r="Y153" s="88"/>
      <c r="Z153" s="84"/>
      <c r="AA153" s="84"/>
      <c r="AB153" s="84"/>
      <c r="AC153" s="84"/>
      <c r="AD153" s="84"/>
      <c r="AE153" s="84"/>
      <c r="AF153" s="84"/>
    </row>
    <row r="154" spans="1:32" ht="12.75" customHeight="1" x14ac:dyDescent="0.35">
      <c r="A154" s="134" t="s">
        <v>4842</v>
      </c>
      <c r="B154" s="7"/>
      <c r="C154" s="134"/>
      <c r="D154" s="134"/>
      <c r="E154" s="84"/>
      <c r="F154" s="141"/>
      <c r="G154" s="142">
        <f>COUNTIF(G59:G146,"&lt;125")</f>
        <v>28</v>
      </c>
      <c r="H154" s="142">
        <f>COUNTIF(H59:H146,"&gt;1")</f>
        <v>26</v>
      </c>
      <c r="I154" s="4"/>
      <c r="J154" s="121"/>
      <c r="K154" s="120"/>
      <c r="L154" s="120"/>
      <c r="M154" s="120"/>
      <c r="N154" s="120"/>
      <c r="O154" s="120"/>
      <c r="P154" s="120"/>
      <c r="Q154" s="120"/>
      <c r="R154" s="120"/>
      <c r="S154" s="120"/>
      <c r="T154" s="120"/>
      <c r="U154" s="120"/>
      <c r="V154" s="120"/>
      <c r="W154" s="120"/>
      <c r="X154" s="84"/>
      <c r="Y154" s="88"/>
      <c r="Z154" s="84"/>
      <c r="AA154" s="84"/>
      <c r="AB154" s="84"/>
      <c r="AC154" s="84"/>
      <c r="AD154" s="84"/>
      <c r="AE154" s="84"/>
      <c r="AF154" s="84"/>
    </row>
    <row r="155" spans="1:32" ht="12.75" customHeight="1" x14ac:dyDescent="0.35">
      <c r="A155" s="134" t="s">
        <v>3646</v>
      </c>
      <c r="B155" s="7"/>
      <c r="C155" s="134"/>
      <c r="D155" s="134"/>
      <c r="E155" s="84"/>
      <c r="F155" s="141">
        <v>12.5</v>
      </c>
      <c r="G155" s="140">
        <f>G154*F155</f>
        <v>350</v>
      </c>
      <c r="H155" s="140">
        <f>H154*G155</f>
        <v>9100</v>
      </c>
      <c r="I155" s="4"/>
      <c r="J155" s="121"/>
      <c r="K155" s="120"/>
      <c r="L155" s="120"/>
      <c r="M155" s="120"/>
      <c r="N155" s="120"/>
      <c r="O155" s="120"/>
      <c r="P155" s="120"/>
      <c r="Q155" s="120"/>
      <c r="R155" s="120"/>
      <c r="S155" s="120"/>
      <c r="T155" s="120"/>
      <c r="U155" s="120"/>
      <c r="V155" s="120"/>
      <c r="W155" s="120"/>
      <c r="X155" s="84"/>
      <c r="Y155" s="88"/>
      <c r="Z155" s="84"/>
      <c r="AA155" s="84"/>
      <c r="AB155" s="84"/>
      <c r="AC155" s="84"/>
      <c r="AD155" s="84"/>
      <c r="AE155" s="84"/>
      <c r="AF155" s="84"/>
    </row>
    <row r="156" spans="1:32" ht="12.75" customHeight="1" x14ac:dyDescent="0.35">
      <c r="A156" s="134"/>
      <c r="B156" s="80"/>
      <c r="C156" s="138" t="s">
        <v>4139</v>
      </c>
      <c r="D156" s="138" t="s">
        <v>4140</v>
      </c>
      <c r="F156" s="132">
        <v>42354</v>
      </c>
      <c r="G156" s="7" t="s">
        <v>166</v>
      </c>
      <c r="H156" s="1">
        <v>216</v>
      </c>
      <c r="I156" s="116" t="s">
        <v>1031</v>
      </c>
      <c r="J156" s="112" t="s">
        <v>4843</v>
      </c>
      <c r="N156" s="120"/>
      <c r="O156" s="120"/>
      <c r="P156" s="120"/>
      <c r="Q156" s="120"/>
      <c r="R156" s="120"/>
      <c r="S156" s="120"/>
      <c r="T156" s="120"/>
      <c r="U156" s="120"/>
      <c r="V156" s="120"/>
      <c r="W156" s="120"/>
      <c r="X156" s="84"/>
      <c r="Y156" s="88"/>
      <c r="Z156" s="84"/>
      <c r="AA156" s="84"/>
      <c r="AB156" s="84"/>
      <c r="AC156" s="84"/>
      <c r="AD156" s="84"/>
      <c r="AE156" s="84"/>
      <c r="AF156" s="84"/>
    </row>
    <row r="157" spans="1:32" ht="12.75" customHeight="1" x14ac:dyDescent="0.35">
      <c r="A157" s="134"/>
      <c r="B157" s="80"/>
      <c r="C157" s="138" t="s">
        <v>4033</v>
      </c>
      <c r="D157" s="138" t="s">
        <v>4034</v>
      </c>
      <c r="E157" s="139" t="s">
        <v>4844</v>
      </c>
      <c r="F157" s="132">
        <v>42365</v>
      </c>
      <c r="H157" s="1">
        <v>200</v>
      </c>
      <c r="I157" s="116" t="s">
        <v>3810</v>
      </c>
      <c r="J157" s="112" t="s">
        <v>4696</v>
      </c>
      <c r="N157" s="120"/>
      <c r="O157" s="120"/>
      <c r="P157" s="120"/>
      <c r="Q157" s="120"/>
      <c r="R157" s="120"/>
      <c r="S157" s="120"/>
      <c r="T157" s="120"/>
      <c r="U157" s="120"/>
      <c r="V157" s="120"/>
      <c r="W157" s="120"/>
      <c r="X157" s="84"/>
      <c r="Y157" s="88"/>
      <c r="Z157" s="84"/>
      <c r="AA157" s="84"/>
      <c r="AB157" s="84"/>
      <c r="AC157" s="84"/>
      <c r="AD157" s="84"/>
      <c r="AE157" s="84"/>
      <c r="AF157" s="84"/>
    </row>
    <row r="158" spans="1:32" ht="12.75" customHeight="1" x14ac:dyDescent="0.35">
      <c r="A158" s="134"/>
      <c r="B158" s="7"/>
      <c r="C158" s="45" t="s">
        <v>4035</v>
      </c>
      <c r="D158" s="45" t="s">
        <v>4036</v>
      </c>
      <c r="F158" s="132">
        <v>42384</v>
      </c>
      <c r="G158" s="7" t="s">
        <v>166</v>
      </c>
      <c r="H158" s="1">
        <v>216</v>
      </c>
      <c r="I158" s="116" t="s">
        <v>1031</v>
      </c>
      <c r="J158" s="112" t="s">
        <v>4845</v>
      </c>
      <c r="R158" s="120"/>
      <c r="S158" s="120"/>
      <c r="T158" s="120"/>
      <c r="U158" s="120"/>
      <c r="V158" s="120"/>
      <c r="W158" s="120"/>
      <c r="X158" s="84"/>
      <c r="Y158" s="88"/>
      <c r="Z158" s="84"/>
      <c r="AA158" s="84"/>
      <c r="AB158" s="84"/>
      <c r="AC158" s="84"/>
      <c r="AD158" s="84"/>
      <c r="AE158" s="84"/>
      <c r="AF158" s="84"/>
    </row>
    <row r="159" spans="1:32" ht="12.75" customHeight="1" x14ac:dyDescent="0.35">
      <c r="C159" s="78"/>
      <c r="D159" s="138" t="s">
        <v>2623</v>
      </c>
      <c r="E159" s="138" t="s">
        <v>4000</v>
      </c>
      <c r="F159" s="71" t="s">
        <v>4721</v>
      </c>
      <c r="G159" s="132">
        <v>42108</v>
      </c>
      <c r="H159" s="71"/>
      <c r="I159" s="1">
        <v>200</v>
      </c>
      <c r="J159" s="116" t="s">
        <v>3810</v>
      </c>
      <c r="K159" s="137" t="s">
        <v>4846</v>
      </c>
      <c r="P159" s="130"/>
      <c r="Q159" s="130"/>
      <c r="R159" s="130"/>
      <c r="S159" s="130"/>
      <c r="T159" s="130"/>
      <c r="U159" s="130"/>
      <c r="V159" s="130"/>
      <c r="W159" s="130"/>
      <c r="X159" s="130"/>
      <c r="Y159" s="136"/>
      <c r="Z159" s="72" t="s">
        <v>4847</v>
      </c>
      <c r="AA159" s="135"/>
      <c r="AB159" s="135"/>
      <c r="AC159" s="135"/>
      <c r="AD159" s="135"/>
      <c r="AE159" s="135"/>
      <c r="AF159" s="135"/>
    </row>
    <row r="160" spans="1:32" ht="12.75" customHeight="1" x14ac:dyDescent="0.35">
      <c r="A160" s="134"/>
      <c r="B160" s="3" t="s">
        <v>4848</v>
      </c>
      <c r="C160" s="133" t="s">
        <v>518</v>
      </c>
      <c r="D160" s="133" t="s">
        <v>4027</v>
      </c>
      <c r="F160" s="132">
        <v>42257</v>
      </c>
      <c r="G160" s="71">
        <v>20</v>
      </c>
      <c r="H160" s="7">
        <v>0</v>
      </c>
      <c r="I160" s="116" t="s">
        <v>4682</v>
      </c>
      <c r="J160" s="131">
        <v>42262</v>
      </c>
      <c r="T160" s="130"/>
      <c r="X160" s="124" t="s">
        <v>4849</v>
      </c>
      <c r="Y160" s="129" t="s">
        <v>4850</v>
      </c>
      <c r="Z160" s="7" t="s">
        <v>4851</v>
      </c>
      <c r="AA160" s="7" t="s">
        <v>4852</v>
      </c>
    </row>
    <row r="161" spans="1:32" ht="12.75" customHeight="1" x14ac:dyDescent="0.35">
      <c r="A161" s="77" t="s">
        <v>4853</v>
      </c>
      <c r="B161" s="7" t="s">
        <v>4854</v>
      </c>
      <c r="C161" s="118" t="e">
        <f>#REF!</f>
        <v>#REF!</v>
      </c>
      <c r="D161" s="118" t="e">
        <f>#REF!</f>
        <v>#REF!</v>
      </c>
      <c r="F161" s="117">
        <v>41848</v>
      </c>
      <c r="G161" s="71"/>
      <c r="H161" s="71">
        <v>170</v>
      </c>
      <c r="I161" s="115" t="s">
        <v>1031</v>
      </c>
      <c r="J161" s="121">
        <v>41848</v>
      </c>
      <c r="K161" s="120"/>
      <c r="L161" s="120"/>
      <c r="M161" s="120"/>
      <c r="N161" s="120"/>
      <c r="O161" s="120"/>
      <c r="P161" s="120"/>
      <c r="Q161" s="120"/>
      <c r="R161" s="120"/>
      <c r="S161" s="120"/>
      <c r="T161" s="120"/>
      <c r="U161" s="120"/>
      <c r="V161" s="120"/>
      <c r="W161" s="120"/>
      <c r="X161" s="71">
        <v>68</v>
      </c>
      <c r="Y161" s="128" t="s">
        <v>4855</v>
      </c>
      <c r="Z161" s="71" t="s">
        <v>4856</v>
      </c>
      <c r="AA161" s="71" t="s">
        <v>4857</v>
      </c>
      <c r="AB161" s="71"/>
      <c r="AC161" s="71"/>
      <c r="AD161" s="71"/>
      <c r="AE161" s="71"/>
      <c r="AF161" s="71"/>
    </row>
    <row r="162" spans="1:32" ht="12.75" customHeight="1" x14ac:dyDescent="0.35">
      <c r="A162" s="77" t="s">
        <v>4853</v>
      </c>
      <c r="B162" s="7"/>
      <c r="E162" s="84"/>
      <c r="F162" s="84"/>
      <c r="G162" s="4"/>
      <c r="H162" s="4"/>
      <c r="I162" s="4"/>
      <c r="J162" s="127"/>
      <c r="K162" s="84"/>
      <c r="L162" s="84"/>
      <c r="M162" s="84"/>
      <c r="N162" s="84"/>
      <c r="O162" s="84"/>
      <c r="P162" s="84"/>
      <c r="Q162" s="84"/>
      <c r="R162" s="84"/>
      <c r="S162" s="84"/>
      <c r="T162" s="84"/>
      <c r="U162" s="84"/>
      <c r="V162" s="84"/>
      <c r="W162" s="84"/>
      <c r="X162" s="84"/>
      <c r="Y162" s="88"/>
      <c r="Z162" s="84"/>
      <c r="AA162" s="84"/>
      <c r="AB162" s="84"/>
      <c r="AC162" s="84"/>
      <c r="AD162" s="84"/>
      <c r="AE162" s="84"/>
      <c r="AF162" s="84"/>
    </row>
    <row r="163" spans="1:32" ht="12.75" customHeight="1" x14ac:dyDescent="0.35">
      <c r="A163" s="77">
        <v>16</v>
      </c>
      <c r="B163" s="7" t="s">
        <v>4858</v>
      </c>
      <c r="E163" s="7" t="s">
        <v>4699</v>
      </c>
      <c r="F163" s="122">
        <v>41701</v>
      </c>
      <c r="G163" s="4">
        <v>15</v>
      </c>
      <c r="H163" s="4"/>
      <c r="I163" s="115" t="s">
        <v>4682</v>
      </c>
      <c r="J163" s="121">
        <v>41713</v>
      </c>
      <c r="K163" s="120"/>
      <c r="L163" s="120"/>
      <c r="M163" s="120"/>
      <c r="N163" s="120"/>
      <c r="O163" s="120"/>
      <c r="P163" s="120"/>
      <c r="Q163" s="120"/>
      <c r="R163" s="120"/>
      <c r="S163" s="120"/>
      <c r="T163" s="120"/>
      <c r="U163" s="120"/>
      <c r="V163" s="120"/>
      <c r="W163" s="120"/>
      <c r="X163" s="7" t="s">
        <v>4755</v>
      </c>
      <c r="Y163" s="7" t="s">
        <v>4859</v>
      </c>
      <c r="Z163" s="7" t="s">
        <v>4860</v>
      </c>
      <c r="AA163" s="7" t="s">
        <v>4861</v>
      </c>
    </row>
    <row r="164" spans="1:32" ht="12.75" customHeight="1" x14ac:dyDescent="0.35">
      <c r="A164" s="119">
        <v>3</v>
      </c>
      <c r="B164" s="7"/>
      <c r="C164" s="119"/>
      <c r="D164" s="119"/>
      <c r="F164" s="122">
        <v>41549</v>
      </c>
      <c r="G164" s="115">
        <v>12.5</v>
      </c>
      <c r="H164" s="115"/>
      <c r="I164" s="115" t="s">
        <v>4682</v>
      </c>
      <c r="J164" s="114">
        <v>41549</v>
      </c>
      <c r="K164" s="113"/>
      <c r="L164" s="113"/>
      <c r="M164" s="113"/>
      <c r="N164" s="113"/>
      <c r="O164" s="113"/>
      <c r="P164" s="113"/>
      <c r="Q164" s="113"/>
      <c r="R164" s="113"/>
      <c r="S164" s="113"/>
      <c r="T164" s="113"/>
      <c r="U164" s="113"/>
      <c r="V164" s="113"/>
      <c r="W164" s="113"/>
      <c r="X164" s="7" t="s">
        <v>4862</v>
      </c>
      <c r="Y164" s="7" t="s">
        <v>4863</v>
      </c>
      <c r="Z164" s="7" t="s">
        <v>4864</v>
      </c>
      <c r="AA164" s="7" t="s">
        <v>4865</v>
      </c>
    </row>
    <row r="165" spans="1:32" ht="12.75" customHeight="1" x14ac:dyDescent="0.35">
      <c r="A165" s="119">
        <v>6</v>
      </c>
      <c r="B165" s="28"/>
      <c r="C165" s="119"/>
      <c r="D165" s="119"/>
      <c r="F165" s="99">
        <v>41578</v>
      </c>
      <c r="G165" s="126">
        <v>12.5</v>
      </c>
      <c r="H165" s="115"/>
      <c r="I165" s="115" t="s">
        <v>4682</v>
      </c>
      <c r="J165" s="114">
        <v>41579</v>
      </c>
      <c r="K165" s="113"/>
      <c r="L165" s="113"/>
      <c r="M165" s="113"/>
      <c r="N165" s="113"/>
      <c r="O165" s="113"/>
      <c r="P165" s="113"/>
      <c r="Q165" s="113"/>
      <c r="R165" s="113"/>
      <c r="S165" s="113"/>
      <c r="T165" s="113"/>
      <c r="U165" s="113"/>
      <c r="V165" s="113"/>
      <c r="W165" s="113"/>
      <c r="X165" s="28" t="s">
        <v>4866</v>
      </c>
      <c r="Y165" s="7" t="s">
        <v>4867</v>
      </c>
      <c r="Z165" s="7" t="s">
        <v>4868</v>
      </c>
      <c r="AA165" s="7" t="s">
        <v>4869</v>
      </c>
    </row>
    <row r="166" spans="1:32" ht="12.75" customHeight="1" x14ac:dyDescent="0.35">
      <c r="B166" s="2" t="s">
        <v>4701</v>
      </c>
      <c r="F166" s="99">
        <v>41609</v>
      </c>
      <c r="G166" s="115">
        <v>12.5</v>
      </c>
      <c r="H166" s="115">
        <v>0</v>
      </c>
      <c r="I166" s="115" t="s">
        <v>4682</v>
      </c>
      <c r="J166" s="114">
        <v>41609</v>
      </c>
      <c r="K166" s="113"/>
      <c r="L166" s="113"/>
      <c r="M166" s="113"/>
      <c r="N166" s="113"/>
      <c r="O166" s="113"/>
      <c r="P166" s="113"/>
      <c r="Q166" s="113"/>
      <c r="R166" s="113"/>
      <c r="S166" s="113"/>
      <c r="T166" s="113"/>
      <c r="U166" s="113"/>
      <c r="V166" s="113"/>
      <c r="W166" s="113"/>
      <c r="Y166" s="7"/>
    </row>
    <row r="167" spans="1:32" ht="14.65" customHeight="1" x14ac:dyDescent="0.35">
      <c r="B167" s="7" t="s">
        <v>4870</v>
      </c>
      <c r="F167" s="122">
        <v>41655</v>
      </c>
      <c r="G167" s="4">
        <v>15</v>
      </c>
      <c r="H167" s="4"/>
      <c r="I167" s="115" t="s">
        <v>4682</v>
      </c>
      <c r="J167" s="112" t="s">
        <v>4871</v>
      </c>
      <c r="X167" s="7" t="s">
        <v>4872</v>
      </c>
      <c r="Y167" s="7" t="s">
        <v>4873</v>
      </c>
      <c r="Z167" s="7" t="s">
        <v>4874</v>
      </c>
      <c r="AA167" s="7" t="s">
        <v>4875</v>
      </c>
    </row>
    <row r="168" spans="1:32" ht="14.65" customHeight="1" x14ac:dyDescent="0.35">
      <c r="A168" s="119">
        <v>21</v>
      </c>
      <c r="B168" s="7" t="s">
        <v>4876</v>
      </c>
      <c r="C168" s="119"/>
      <c r="D168" s="119"/>
      <c r="F168" s="122">
        <v>41702</v>
      </c>
      <c r="G168" s="4">
        <v>15</v>
      </c>
      <c r="H168" s="4"/>
      <c r="I168" s="115" t="s">
        <v>4682</v>
      </c>
      <c r="J168" s="121">
        <v>41713</v>
      </c>
      <c r="K168" s="120"/>
      <c r="L168" s="120"/>
      <c r="M168" s="120"/>
      <c r="N168" s="120"/>
      <c r="O168" s="120"/>
      <c r="P168" s="120"/>
      <c r="Q168" s="120"/>
      <c r="R168" s="120"/>
      <c r="S168" s="120"/>
      <c r="T168" s="120"/>
      <c r="U168" s="120"/>
      <c r="V168" s="120"/>
      <c r="W168" s="120"/>
      <c r="X168" s="7" t="s">
        <v>4722</v>
      </c>
      <c r="Y168" s="7" t="s">
        <v>4877</v>
      </c>
      <c r="Z168" s="7" t="s">
        <v>4878</v>
      </c>
      <c r="AA168" s="7" t="s">
        <v>4879</v>
      </c>
    </row>
    <row r="169" spans="1:32" ht="14.65" customHeight="1" x14ac:dyDescent="0.35">
      <c r="B169" s="125" t="s">
        <v>4880</v>
      </c>
      <c r="E169" s="84"/>
      <c r="F169" s="122">
        <v>41602</v>
      </c>
      <c r="G169" s="115"/>
      <c r="H169" s="115">
        <v>0</v>
      </c>
      <c r="I169" s="115"/>
      <c r="J169" s="121"/>
      <c r="K169" s="120"/>
      <c r="L169" s="120"/>
      <c r="M169" s="120"/>
      <c r="N169" s="120"/>
      <c r="O169" s="120"/>
      <c r="P169" s="120"/>
      <c r="Q169" s="120"/>
      <c r="R169" s="120"/>
      <c r="S169" s="120"/>
      <c r="T169" s="120"/>
      <c r="U169" s="120"/>
      <c r="V169" s="120"/>
      <c r="W169" s="120"/>
      <c r="X169" s="124" t="s">
        <v>4808</v>
      </c>
      <c r="Y169" s="7" t="s">
        <v>4881</v>
      </c>
      <c r="Z169" s="7" t="s">
        <v>4882</v>
      </c>
      <c r="AA169" s="7" t="s">
        <v>4883</v>
      </c>
    </row>
    <row r="170" spans="1:32" ht="14.65" customHeight="1" x14ac:dyDescent="0.35">
      <c r="B170" s="7" t="s">
        <v>4884</v>
      </c>
      <c r="F170" s="122">
        <v>41654</v>
      </c>
      <c r="G170" s="4">
        <v>12.5</v>
      </c>
      <c r="H170" s="4"/>
      <c r="I170" s="4"/>
      <c r="J170" s="112" t="s">
        <v>4885</v>
      </c>
      <c r="X170" s="7" t="s">
        <v>4886</v>
      </c>
      <c r="Y170" s="7" t="s">
        <v>4887</v>
      </c>
      <c r="Z170" s="7" t="s">
        <v>4888</v>
      </c>
      <c r="AA170" s="7" t="s">
        <v>4889</v>
      </c>
    </row>
    <row r="171" spans="1:32" ht="14.65" customHeight="1" x14ac:dyDescent="0.35">
      <c r="A171" s="119">
        <v>6</v>
      </c>
      <c r="B171" s="123" t="s">
        <v>4890</v>
      </c>
      <c r="C171" s="119"/>
      <c r="D171" s="119"/>
      <c r="F171" s="99">
        <v>41588</v>
      </c>
      <c r="G171" s="115">
        <v>12.5</v>
      </c>
      <c r="H171" s="115">
        <v>0</v>
      </c>
      <c r="I171" s="115" t="s">
        <v>4682</v>
      </c>
      <c r="J171" s="114">
        <v>41588</v>
      </c>
      <c r="K171" s="113"/>
      <c r="L171" s="113"/>
      <c r="M171" s="113"/>
      <c r="N171" s="113"/>
      <c r="O171" s="113"/>
      <c r="P171" s="113"/>
      <c r="Q171" s="113"/>
      <c r="R171" s="113"/>
      <c r="S171" s="113"/>
      <c r="T171" s="113"/>
      <c r="U171" s="113"/>
      <c r="V171" s="113"/>
      <c r="W171" s="113"/>
      <c r="X171" s="123" t="s">
        <v>4862</v>
      </c>
      <c r="Y171" s="123" t="s">
        <v>4891</v>
      </c>
      <c r="Z171" s="7" t="s">
        <v>4892</v>
      </c>
      <c r="AA171" s="7" t="s">
        <v>4893</v>
      </c>
    </row>
    <row r="172" spans="1:32" ht="14.65" customHeight="1" x14ac:dyDescent="0.35">
      <c r="A172" s="119">
        <v>16</v>
      </c>
      <c r="B172" s="7" t="s">
        <v>4894</v>
      </c>
      <c r="C172" s="119"/>
      <c r="D172" s="119"/>
      <c r="F172" s="122">
        <v>41699</v>
      </c>
      <c r="G172" s="4">
        <v>15</v>
      </c>
      <c r="H172" s="4"/>
      <c r="I172" s="115" t="s">
        <v>4682</v>
      </c>
      <c r="J172" s="121">
        <v>41713</v>
      </c>
      <c r="K172" s="120"/>
      <c r="L172" s="120"/>
      <c r="M172" s="120"/>
      <c r="N172" s="120"/>
      <c r="O172" s="120"/>
      <c r="P172" s="120"/>
      <c r="Q172" s="120"/>
      <c r="R172" s="120"/>
      <c r="S172" s="120"/>
      <c r="T172" s="120"/>
      <c r="U172" s="120"/>
      <c r="V172" s="120"/>
      <c r="W172" s="120"/>
      <c r="X172" s="7" t="s">
        <v>4895</v>
      </c>
      <c r="Y172" s="7" t="s">
        <v>4896</v>
      </c>
      <c r="Z172" s="7" t="s">
        <v>4897</v>
      </c>
      <c r="AA172" s="7" t="s">
        <v>4898</v>
      </c>
    </row>
    <row r="173" spans="1:32" ht="14.65" customHeight="1" x14ac:dyDescent="0.35">
      <c r="A173" s="119">
        <f>A57+1</f>
        <v>2</v>
      </c>
      <c r="B173" s="7" t="s">
        <v>4899</v>
      </c>
      <c r="C173" s="118" t="s">
        <v>512</v>
      </c>
      <c r="D173" s="118" t="s">
        <v>513</v>
      </c>
      <c r="E173" s="7" t="s">
        <v>4798</v>
      </c>
      <c r="F173" s="117">
        <v>41549</v>
      </c>
      <c r="G173" s="116"/>
      <c r="H173" s="116">
        <v>105</v>
      </c>
      <c r="I173" s="115" t="s">
        <v>1031</v>
      </c>
      <c r="J173" s="114">
        <v>41549</v>
      </c>
      <c r="K173" s="113"/>
      <c r="L173" s="113"/>
      <c r="M173" s="113"/>
      <c r="N173" s="113"/>
      <c r="O173" s="113"/>
      <c r="P173" s="113"/>
      <c r="Q173" s="113"/>
      <c r="R173" s="113"/>
      <c r="S173" s="113"/>
      <c r="T173" s="113"/>
      <c r="U173" s="113"/>
      <c r="V173" s="113"/>
      <c r="W173" s="113"/>
      <c r="X173" s="71" t="s">
        <v>4900</v>
      </c>
      <c r="Y173" s="71" t="s">
        <v>4901</v>
      </c>
      <c r="Z173" s="71" t="s">
        <v>4366</v>
      </c>
      <c r="AA173" s="71" t="s">
        <v>4363</v>
      </c>
      <c r="AB173" s="71"/>
      <c r="AC173" s="71"/>
      <c r="AD173" s="71"/>
      <c r="AE173" s="71"/>
      <c r="AF173" s="71"/>
    </row>
    <row r="174" spans="1:32" ht="13.5" customHeight="1" x14ac:dyDescent="0.35">
      <c r="B174" s="80" t="s">
        <v>4902</v>
      </c>
      <c r="C174" s="77" t="s">
        <v>4049</v>
      </c>
      <c r="D174" s="77" t="s">
        <v>4050</v>
      </c>
      <c r="F174" s="132">
        <v>42885</v>
      </c>
      <c r="H174" s="7">
        <v>20</v>
      </c>
      <c r="I174" s="7" t="s">
        <v>550</v>
      </c>
      <c r="J174" s="112" t="s">
        <v>4674</v>
      </c>
    </row>
    <row r="175" spans="1:32" ht="13.5" customHeight="1" x14ac:dyDescent="0.35">
      <c r="B175" s="80" t="s">
        <v>4903</v>
      </c>
      <c r="C175" s="77" t="s">
        <v>4043</v>
      </c>
      <c r="D175" s="7" t="s">
        <v>4044</v>
      </c>
      <c r="E175" s="7" t="s">
        <v>4904</v>
      </c>
      <c r="F175" s="132">
        <v>42736</v>
      </c>
      <c r="H175" s="7">
        <v>200</v>
      </c>
      <c r="I175" s="7" t="s">
        <v>551</v>
      </c>
      <c r="J175" s="112" t="s">
        <v>4905</v>
      </c>
    </row>
    <row r="176" spans="1:32" ht="15.4" customHeight="1" x14ac:dyDescent="0.45">
      <c r="B176" s="80" t="s">
        <v>4906</v>
      </c>
      <c r="C176" s="77" t="s">
        <v>4047</v>
      </c>
      <c r="D176" s="7" t="s">
        <v>4048</v>
      </c>
      <c r="E176" s="190" t="s">
        <v>4907</v>
      </c>
      <c r="F176" s="132">
        <v>42853</v>
      </c>
      <c r="H176" s="7">
        <v>20</v>
      </c>
      <c r="I176" s="7" t="s">
        <v>550</v>
      </c>
      <c r="J176" s="112" t="s">
        <v>4908</v>
      </c>
    </row>
    <row r="177" spans="2:43" ht="12.75" customHeight="1" x14ac:dyDescent="0.35">
      <c r="B177" s="3" t="s">
        <v>4164</v>
      </c>
      <c r="C177" s="77" t="s">
        <v>4409</v>
      </c>
      <c r="D177" s="77" t="s">
        <v>4166</v>
      </c>
      <c r="H177" s="7">
        <v>204</v>
      </c>
      <c r="I177" s="7" t="s">
        <v>551</v>
      </c>
      <c r="J177" s="112" t="s">
        <v>4909</v>
      </c>
    </row>
    <row r="178" spans="2:43" ht="13.5" customHeight="1" x14ac:dyDescent="0.35">
      <c r="B178" s="544" t="s">
        <v>4910</v>
      </c>
      <c r="C178" s="77" t="s">
        <v>2624</v>
      </c>
      <c r="D178" s="7" t="s">
        <v>4057</v>
      </c>
      <c r="E178" s="124" t="s">
        <v>4911</v>
      </c>
      <c r="F178" s="132">
        <v>43140</v>
      </c>
      <c r="H178" s="7">
        <v>20</v>
      </c>
      <c r="I178" s="7" t="s">
        <v>550</v>
      </c>
      <c r="J178" s="112" t="s">
        <v>4912</v>
      </c>
    </row>
    <row r="179" spans="2:43" ht="13.5" customHeight="1" x14ac:dyDescent="0.35">
      <c r="B179" s="544" t="s">
        <v>4913</v>
      </c>
      <c r="C179" s="77" t="s">
        <v>4005</v>
      </c>
      <c r="D179" s="77" t="s">
        <v>4062</v>
      </c>
      <c r="E179" s="124" t="s">
        <v>4914</v>
      </c>
      <c r="F179" s="132">
        <v>43186</v>
      </c>
      <c r="H179" s="7">
        <v>20</v>
      </c>
      <c r="I179" s="7" t="s">
        <v>550</v>
      </c>
      <c r="J179" s="112" t="s">
        <v>4915</v>
      </c>
    </row>
    <row r="180" spans="2:43" ht="13.5" customHeight="1" x14ac:dyDescent="0.35">
      <c r="B180" s="544" t="s">
        <v>4916</v>
      </c>
      <c r="C180" s="7" t="s">
        <v>4055</v>
      </c>
      <c r="D180" s="7" t="s">
        <v>4056</v>
      </c>
      <c r="E180" s="124" t="s">
        <v>4917</v>
      </c>
      <c r="F180" s="132">
        <v>43134</v>
      </c>
      <c r="H180" s="7">
        <v>20</v>
      </c>
      <c r="I180" s="7" t="s">
        <v>550</v>
      </c>
      <c r="J180" s="112" t="s">
        <v>4912</v>
      </c>
    </row>
    <row r="181" spans="2:43" ht="13.5" customHeight="1" x14ac:dyDescent="0.35">
      <c r="B181" s="544" t="s">
        <v>4918</v>
      </c>
      <c r="C181" s="77" t="s">
        <v>4919</v>
      </c>
      <c r="D181" s="77" t="s">
        <v>4920</v>
      </c>
      <c r="E181" s="124" t="s">
        <v>4921</v>
      </c>
      <c r="F181" s="132">
        <v>43166</v>
      </c>
      <c r="H181" s="7">
        <v>20</v>
      </c>
      <c r="I181" s="7" t="s">
        <v>550</v>
      </c>
      <c r="J181" s="112" t="s">
        <v>4922</v>
      </c>
      <c r="X181" s="7" t="s">
        <v>4518</v>
      </c>
      <c r="Y181" s="7" t="s">
        <v>4514</v>
      </c>
      <c r="Z181" s="7" t="s">
        <v>4511</v>
      </c>
      <c r="AA181" s="7" t="s">
        <v>4512</v>
      </c>
      <c r="AB181" s="7" t="s">
        <v>4524</v>
      </c>
    </row>
    <row r="182" spans="2:43" ht="13.5" customHeight="1" x14ac:dyDescent="0.35">
      <c r="B182" s="623" t="s">
        <v>4923</v>
      </c>
      <c r="C182" s="667" t="s">
        <v>4058</v>
      </c>
      <c r="D182" s="667" t="s">
        <v>4066</v>
      </c>
      <c r="E182" s="668" t="s">
        <v>4924</v>
      </c>
      <c r="F182" s="132">
        <v>43291</v>
      </c>
      <c r="H182" s="7">
        <v>20</v>
      </c>
      <c r="I182" s="7" t="s">
        <v>550</v>
      </c>
      <c r="J182" s="112" t="s">
        <v>4925</v>
      </c>
      <c r="Y182" s="7"/>
      <c r="AB182" s="7" t="s">
        <v>4524</v>
      </c>
      <c r="AC182" s="7" t="s">
        <v>4520</v>
      </c>
    </row>
    <row r="183" spans="2:43" ht="13.5" customHeight="1" x14ac:dyDescent="0.35">
      <c r="B183" s="80" t="s">
        <v>4734</v>
      </c>
      <c r="C183" s="77" t="s">
        <v>4145</v>
      </c>
      <c r="D183" s="77" t="s">
        <v>4002</v>
      </c>
      <c r="F183" s="132">
        <v>42786</v>
      </c>
      <c r="H183" s="7">
        <v>20</v>
      </c>
      <c r="I183" s="7" t="s">
        <v>550</v>
      </c>
      <c r="J183" s="112" t="s">
        <v>4926</v>
      </c>
      <c r="K183" s="7" t="s">
        <v>4524</v>
      </c>
      <c r="L183" s="7" t="s">
        <v>4514</v>
      </c>
      <c r="M183" s="7" t="s">
        <v>4511</v>
      </c>
      <c r="N183" s="7" t="s">
        <v>1217</v>
      </c>
      <c r="O183" s="7" t="s">
        <v>4927</v>
      </c>
      <c r="P183" s="7" t="s">
        <v>4513</v>
      </c>
      <c r="Q183" s="7" t="s">
        <v>4928</v>
      </c>
      <c r="R183" s="7" t="s">
        <v>4519</v>
      </c>
      <c r="S183" s="7" t="s">
        <v>4516</v>
      </c>
      <c r="T183" s="7" t="s">
        <v>4522</v>
      </c>
      <c r="U183" s="7" t="s">
        <v>1101</v>
      </c>
      <c r="V183" s="7" t="s">
        <v>4515</v>
      </c>
      <c r="W183" s="7" t="s">
        <v>4517</v>
      </c>
      <c r="X183" s="7" t="s">
        <v>4518</v>
      </c>
      <c r="Y183" s="7" t="s">
        <v>4514</v>
      </c>
      <c r="Z183" s="7" t="s">
        <v>4511</v>
      </c>
      <c r="AA183" s="7" t="s">
        <v>4512</v>
      </c>
      <c r="AB183" s="7" t="s">
        <v>4524</v>
      </c>
      <c r="AC183" s="7" t="s">
        <v>4520</v>
      </c>
      <c r="AD183" s="7" t="s">
        <v>4519</v>
      </c>
      <c r="AE183" s="7" t="s">
        <v>4516</v>
      </c>
    </row>
    <row r="184" spans="2:43" ht="13.5" customHeight="1" x14ac:dyDescent="0.35">
      <c r="B184" s="544" t="s">
        <v>4929</v>
      </c>
      <c r="C184" s="77" t="s">
        <v>4067</v>
      </c>
      <c r="D184" s="77" t="s">
        <v>4068</v>
      </c>
      <c r="F184" s="132">
        <v>43361</v>
      </c>
      <c r="H184" s="7">
        <v>20</v>
      </c>
      <c r="I184" s="7" t="s">
        <v>550</v>
      </c>
      <c r="J184" s="112" t="s">
        <v>4930</v>
      </c>
      <c r="AD184" s="7" t="s">
        <v>4519</v>
      </c>
      <c r="AE184" s="7" t="s">
        <v>4516</v>
      </c>
      <c r="AF184" s="7" t="s">
        <v>4522</v>
      </c>
      <c r="AG184" s="7" t="s">
        <v>1101</v>
      </c>
    </row>
    <row r="185" spans="2:43" ht="13.5" customHeight="1" x14ac:dyDescent="0.35">
      <c r="B185" s="544" t="s">
        <v>4053</v>
      </c>
      <c r="C185" s="77" t="s">
        <v>4269</v>
      </c>
      <c r="D185" s="77" t="s">
        <v>3989</v>
      </c>
      <c r="E185" s="124" t="s">
        <v>4931</v>
      </c>
      <c r="F185" s="132">
        <v>42964</v>
      </c>
      <c r="H185" s="7">
        <v>200</v>
      </c>
      <c r="I185" s="7" t="s">
        <v>3810</v>
      </c>
      <c r="J185" s="112" t="s">
        <v>4932</v>
      </c>
      <c r="T185" s="7" t="s">
        <v>4522</v>
      </c>
      <c r="U185" s="7" t="s">
        <v>1101</v>
      </c>
      <c r="V185" s="7" t="s">
        <v>4515</v>
      </c>
      <c r="W185" s="7" t="s">
        <v>4517</v>
      </c>
      <c r="X185" s="7" t="s">
        <v>4518</v>
      </c>
      <c r="Y185" s="7" t="s">
        <v>4514</v>
      </c>
      <c r="Z185" s="7" t="s">
        <v>4511</v>
      </c>
      <c r="AA185" s="7" t="s">
        <v>4512</v>
      </c>
      <c r="AB185" s="7" t="s">
        <v>4524</v>
      </c>
      <c r="AC185" s="7" t="s">
        <v>4520</v>
      </c>
      <c r="AD185" s="7" t="s">
        <v>4519</v>
      </c>
      <c r="AE185" s="7" t="s">
        <v>4516</v>
      </c>
      <c r="AF185" s="7" t="s">
        <v>4522</v>
      </c>
      <c r="AG185" s="7" t="s">
        <v>1101</v>
      </c>
      <c r="AH185" s="7" t="s">
        <v>4515</v>
      </c>
      <c r="AI185" s="7" t="s">
        <v>4517</v>
      </c>
      <c r="AJ185" s="7" t="s">
        <v>4518</v>
      </c>
      <c r="AK185" s="7" t="s">
        <v>4514</v>
      </c>
      <c r="AL185" s="7" t="s">
        <v>4512</v>
      </c>
      <c r="AM185" s="7" t="s">
        <v>4524</v>
      </c>
      <c r="AN185" s="7" t="s">
        <v>4513</v>
      </c>
      <c r="AO185" s="7" t="s">
        <v>4519</v>
      </c>
      <c r="AP185" s="7" t="s">
        <v>1101</v>
      </c>
      <c r="AQ185" s="7" t="s">
        <v>4516</v>
      </c>
    </row>
  </sheetData>
  <conditionalFormatting sqref="I53:I55 I73 I102 I116 I120 I124 I133:I134 I137:I139 I141 I143:I145 I149 I160 I164:I165 I170 I173">
    <cfRule type="cellIs" dxfId="203" priority="174" operator="greaterThan">
      <formula>0</formula>
    </cfRule>
  </conditionalFormatting>
  <conditionalFormatting sqref="I169">
    <cfRule type="cellIs" dxfId="202" priority="173" operator="greaterThan">
      <formula>0</formula>
    </cfRule>
  </conditionalFormatting>
  <conditionalFormatting sqref="I53:I55 I73 I102 I116 I120 I124 I133:I134 I137:I139 I141 I143:I145 I149 I160 I164:I165 I169:I170 I173">
    <cfRule type="cellIs" dxfId="201" priority="170" operator="equal">
      <formula>"annual"</formula>
    </cfRule>
    <cfRule type="cellIs" dxfId="200" priority="171" operator="equal">
      <formula>"monthly"</formula>
    </cfRule>
  </conditionalFormatting>
  <conditionalFormatting sqref="I113">
    <cfRule type="cellIs" dxfId="199" priority="165" operator="equal">
      <formula>"annual"</formula>
    </cfRule>
    <cfRule type="cellIs" dxfId="198" priority="166" operator="equal">
      <formula>"monthly"</formula>
    </cfRule>
    <cfRule type="cellIs" dxfId="197" priority="168" operator="greaterThan">
      <formula>0</formula>
    </cfRule>
  </conditionalFormatting>
  <conditionalFormatting sqref="I171">
    <cfRule type="cellIs" dxfId="196" priority="162" operator="equal">
      <formula>"annual"</formula>
    </cfRule>
    <cfRule type="cellIs" dxfId="195" priority="163" operator="equal">
      <formula>"monthly"</formula>
    </cfRule>
    <cfRule type="cellIs" dxfId="194" priority="164" operator="greaterThan">
      <formula>0</formula>
    </cfRule>
  </conditionalFormatting>
  <conditionalFormatting sqref="I166">
    <cfRule type="cellIs" dxfId="193" priority="159" operator="equal">
      <formula>"annual"</formula>
    </cfRule>
    <cfRule type="cellIs" dxfId="192" priority="160" operator="equal">
      <formula>"monthly"</formula>
    </cfRule>
    <cfRule type="cellIs" dxfId="191" priority="161" operator="greaterThan">
      <formula>0</formula>
    </cfRule>
  </conditionalFormatting>
  <conditionalFormatting sqref="I140">
    <cfRule type="cellIs" dxfId="190" priority="156" operator="equal">
      <formula>"annual"</formula>
    </cfRule>
    <cfRule type="cellIs" dxfId="189" priority="157" operator="equal">
      <formula>"monthly"</formula>
    </cfRule>
    <cfRule type="cellIs" dxfId="188" priority="158" operator="greaterThan">
      <formula>0</formula>
    </cfRule>
  </conditionalFormatting>
  <conditionalFormatting sqref="I147">
    <cfRule type="cellIs" dxfId="187" priority="153" operator="equal">
      <formula>"annual"</formula>
    </cfRule>
    <cfRule type="cellIs" dxfId="186" priority="154" operator="equal">
      <formula>"monthly"</formula>
    </cfRule>
    <cfRule type="cellIs" dxfId="185" priority="155" operator="greaterThan">
      <formula>0</formula>
    </cfRule>
  </conditionalFormatting>
  <conditionalFormatting sqref="I167">
    <cfRule type="cellIs" dxfId="184" priority="150" operator="equal">
      <formula>"annual"</formula>
    </cfRule>
    <cfRule type="cellIs" dxfId="183" priority="151" operator="equal">
      <formula>"monthly"</formula>
    </cfRule>
    <cfRule type="cellIs" dxfId="182" priority="152" operator="greaterThan">
      <formula>0</formula>
    </cfRule>
  </conditionalFormatting>
  <conditionalFormatting sqref="I172">
    <cfRule type="cellIs" dxfId="181" priority="147" operator="equal">
      <formula>"annual"</formula>
    </cfRule>
    <cfRule type="cellIs" dxfId="180" priority="148" operator="equal">
      <formula>"monthly"</formula>
    </cfRule>
    <cfRule type="cellIs" dxfId="179" priority="149" operator="greaterThan">
      <formula>0</formula>
    </cfRule>
  </conditionalFormatting>
  <conditionalFormatting sqref="I163">
    <cfRule type="cellIs" dxfId="178" priority="144" operator="equal">
      <formula>"annual"</formula>
    </cfRule>
    <cfRule type="cellIs" dxfId="177" priority="145" operator="equal">
      <formula>"monthly"</formula>
    </cfRule>
    <cfRule type="cellIs" dxfId="176" priority="146" operator="greaterThan">
      <formula>0</formula>
    </cfRule>
  </conditionalFormatting>
  <conditionalFormatting sqref="I168">
    <cfRule type="cellIs" dxfId="175" priority="141" operator="equal">
      <formula>"annual"</formula>
    </cfRule>
    <cfRule type="cellIs" dxfId="174" priority="142" operator="equal">
      <formula>"monthly"</formula>
    </cfRule>
    <cfRule type="cellIs" dxfId="173" priority="143" operator="greaterThan">
      <formula>0</formula>
    </cfRule>
  </conditionalFormatting>
  <conditionalFormatting sqref="I148">
    <cfRule type="cellIs" dxfId="172" priority="138" operator="equal">
      <formula>"annual"</formula>
    </cfRule>
    <cfRule type="cellIs" dxfId="171" priority="139" operator="equal">
      <formula>"monthly"</formula>
    </cfRule>
    <cfRule type="cellIs" dxfId="170" priority="140" operator="greaterThan">
      <formula>0</formula>
    </cfRule>
  </conditionalFormatting>
  <conditionalFormatting sqref="I150">
    <cfRule type="cellIs" dxfId="169" priority="135" operator="equal">
      <formula>"annual"</formula>
    </cfRule>
    <cfRule type="cellIs" dxfId="168" priority="136" operator="equal">
      <formula>"monthly"</formula>
    </cfRule>
    <cfRule type="cellIs" dxfId="167" priority="137" operator="greaterThan">
      <formula>0</formula>
    </cfRule>
  </conditionalFormatting>
  <conditionalFormatting sqref="I135">
    <cfRule type="cellIs" dxfId="166" priority="132" operator="equal">
      <formula>"annual"</formula>
    </cfRule>
    <cfRule type="cellIs" dxfId="165" priority="133" operator="equal">
      <formula>"monthly"</formula>
    </cfRule>
    <cfRule type="cellIs" dxfId="164" priority="134" operator="greaterThan">
      <formula>0</formula>
    </cfRule>
  </conditionalFormatting>
  <conditionalFormatting sqref="I161">
    <cfRule type="cellIs" dxfId="163" priority="129" operator="equal">
      <formula>"annual"</formula>
    </cfRule>
    <cfRule type="cellIs" dxfId="162" priority="130" operator="equal">
      <formula>"monthly"</formula>
    </cfRule>
    <cfRule type="cellIs" dxfId="161" priority="131" operator="greaterThan">
      <formula>0</formula>
    </cfRule>
  </conditionalFormatting>
  <conditionalFormatting sqref="I129">
    <cfRule type="cellIs" dxfId="160" priority="125" operator="equal">
      <formula>"annual"</formula>
    </cfRule>
    <cfRule type="cellIs" dxfId="159" priority="126" operator="equal">
      <formula>"monthly"</formula>
    </cfRule>
    <cfRule type="cellIs" dxfId="158" priority="128" operator="greaterThan">
      <formula>0</formula>
    </cfRule>
  </conditionalFormatting>
  <conditionalFormatting sqref="I106">
    <cfRule type="cellIs" dxfId="157" priority="121" operator="equal">
      <formula>"annual"</formula>
    </cfRule>
    <cfRule type="cellIs" dxfId="156" priority="122" operator="equal">
      <formula>"monthly"</formula>
    </cfRule>
    <cfRule type="cellIs" dxfId="155" priority="124" operator="greaterThan">
      <formula>0</formula>
    </cfRule>
  </conditionalFormatting>
  <conditionalFormatting sqref="I151">
    <cfRule type="cellIs" dxfId="154" priority="118" operator="equal">
      <formula>"annual"</formula>
    </cfRule>
    <cfRule type="cellIs" dxfId="153" priority="119" operator="equal">
      <formula>"monthly"</formula>
    </cfRule>
    <cfRule type="cellIs" dxfId="152" priority="120" operator="greaterThan">
      <formula>0</formula>
    </cfRule>
  </conditionalFormatting>
  <conditionalFormatting sqref="I152">
    <cfRule type="cellIs" dxfId="151" priority="115" operator="equal">
      <formula>"annual"</formula>
    </cfRule>
    <cfRule type="cellIs" dxfId="150" priority="116" operator="equal">
      <formula>"monthly"</formula>
    </cfRule>
    <cfRule type="cellIs" dxfId="149" priority="117" operator="greaterThan">
      <formula>0</formula>
    </cfRule>
  </conditionalFormatting>
  <conditionalFormatting sqref="I128">
    <cfRule type="cellIs" dxfId="148" priority="112" operator="equal">
      <formula>"annual"</formula>
    </cfRule>
    <cfRule type="cellIs" dxfId="147" priority="113" operator="equal">
      <formula>"monthly"</formula>
    </cfRule>
    <cfRule type="cellIs" dxfId="146" priority="114" operator="greaterThan">
      <formula>0</formula>
    </cfRule>
  </conditionalFormatting>
  <conditionalFormatting sqref="I153">
    <cfRule type="cellIs" dxfId="145" priority="109" operator="equal">
      <formula>"annual"</formula>
    </cfRule>
    <cfRule type="cellIs" dxfId="144" priority="110" operator="equal">
      <formula>"monthly"</formula>
    </cfRule>
    <cfRule type="cellIs" dxfId="143" priority="111" operator="greaterThan">
      <formula>0</formula>
    </cfRule>
  </conditionalFormatting>
  <conditionalFormatting sqref="I142">
    <cfRule type="cellIs" dxfId="142" priority="106" operator="equal">
      <formula>"annual"</formula>
    </cfRule>
    <cfRule type="cellIs" dxfId="141" priority="107" operator="equal">
      <formula>"monthly"</formula>
    </cfRule>
    <cfRule type="cellIs" dxfId="140" priority="108" operator="greaterThan">
      <formula>0</formula>
    </cfRule>
  </conditionalFormatting>
  <conditionalFormatting sqref="I146">
    <cfRule type="cellIs" dxfId="139" priority="102" operator="equal">
      <formula>"annual"</formula>
    </cfRule>
    <cfRule type="cellIs" dxfId="138" priority="103" operator="equal">
      <formula>"monthly"</formula>
    </cfRule>
    <cfRule type="cellIs" dxfId="137" priority="105" operator="greaterThan">
      <formula>0</formula>
    </cfRule>
  </conditionalFormatting>
  <conditionalFormatting sqref="I112">
    <cfRule type="cellIs" dxfId="136" priority="98" operator="equal">
      <formula>"annual"</formula>
    </cfRule>
    <cfRule type="cellIs" dxfId="135" priority="99" operator="equal">
      <formula>"monthly"</formula>
    </cfRule>
    <cfRule type="cellIs" dxfId="134" priority="101" operator="greaterThan">
      <formula>0</formula>
    </cfRule>
  </conditionalFormatting>
  <conditionalFormatting sqref="I104">
    <cfRule type="cellIs" dxfId="133" priority="95" operator="equal">
      <formula>"annual"</formula>
    </cfRule>
    <cfRule type="cellIs" dxfId="132" priority="96" operator="equal">
      <formula>"monthly"</formula>
    </cfRule>
    <cfRule type="cellIs" dxfId="131" priority="97" operator="greaterThan">
      <formula>0</formula>
    </cfRule>
  </conditionalFormatting>
  <conditionalFormatting sqref="I122">
    <cfRule type="cellIs" dxfId="130" priority="91" operator="equal">
      <formula>"annual"</formula>
    </cfRule>
    <cfRule type="cellIs" dxfId="129" priority="92" operator="equal">
      <formula>"monthly"</formula>
    </cfRule>
    <cfRule type="cellIs" dxfId="128" priority="94" operator="greaterThan">
      <formula>0</formula>
    </cfRule>
  </conditionalFormatting>
  <conditionalFormatting sqref="I107">
    <cfRule type="cellIs" dxfId="127" priority="87" operator="equal">
      <formula>"annual"</formula>
    </cfRule>
    <cfRule type="cellIs" dxfId="126" priority="88" operator="equal">
      <formula>"monthly"</formula>
    </cfRule>
    <cfRule type="cellIs" dxfId="125" priority="90" operator="greaterThan">
      <formula>0</formula>
    </cfRule>
  </conditionalFormatting>
  <conditionalFormatting sqref="I117">
    <cfRule type="cellIs" dxfId="124" priority="84" operator="equal">
      <formula>"annual"</formula>
    </cfRule>
    <cfRule type="cellIs" dxfId="123" priority="85" operator="equal">
      <formula>"monthly"</formula>
    </cfRule>
    <cfRule type="cellIs" dxfId="122" priority="86" operator="greaterThan">
      <formula>0</formula>
    </cfRule>
  </conditionalFormatting>
  <conditionalFormatting sqref="I136">
    <cfRule type="cellIs" dxfId="121" priority="81" operator="equal">
      <formula>"annual"</formula>
    </cfRule>
    <cfRule type="cellIs" dxfId="120" priority="82" operator="equal">
      <formula>"monthly"</formula>
    </cfRule>
    <cfRule type="cellIs" dxfId="119" priority="83" operator="greaterThan">
      <formula>0</formula>
    </cfRule>
  </conditionalFormatting>
  <conditionalFormatting sqref="I126">
    <cfRule type="cellIs" dxfId="118" priority="78" operator="equal">
      <formula>"annual"</formula>
    </cfRule>
    <cfRule type="cellIs" dxfId="117" priority="79" operator="equal">
      <formula>"monthly"</formula>
    </cfRule>
    <cfRule type="cellIs" dxfId="116" priority="80" operator="greaterThan">
      <formula>0</formula>
    </cfRule>
  </conditionalFormatting>
  <conditionalFormatting sqref="I118">
    <cfRule type="cellIs" dxfId="115" priority="75" operator="equal">
      <formula>"annual"</formula>
    </cfRule>
    <cfRule type="cellIs" dxfId="114" priority="76" operator="equal">
      <formula>"monthly"</formula>
    </cfRule>
    <cfRule type="cellIs" dxfId="113" priority="77" operator="greaterThan">
      <formula>0</formula>
    </cfRule>
  </conditionalFormatting>
  <conditionalFormatting sqref="J159">
    <cfRule type="cellIs" dxfId="112" priority="71" operator="equal">
      <formula>"annual"</formula>
    </cfRule>
    <cfRule type="cellIs" dxfId="111" priority="72" operator="equal">
      <formula>"monthly"</formula>
    </cfRule>
    <cfRule type="cellIs" dxfId="110" priority="74" operator="greaterThan">
      <formula>0</formula>
    </cfRule>
  </conditionalFormatting>
  <conditionalFormatting sqref="I123">
    <cfRule type="cellIs" dxfId="109" priority="68" operator="equal">
      <formula>"annual"</formula>
    </cfRule>
    <cfRule type="cellIs" dxfId="108" priority="69" operator="equal">
      <formula>"monthly"</formula>
    </cfRule>
    <cfRule type="cellIs" dxfId="107" priority="70" operator="greaterThan">
      <formula>0</formula>
    </cfRule>
  </conditionalFormatting>
  <conditionalFormatting sqref="I132">
    <cfRule type="cellIs" dxfId="106" priority="65" operator="equal">
      <formula>"annual"</formula>
    </cfRule>
    <cfRule type="cellIs" dxfId="105" priority="66" operator="equal">
      <formula>"monthly"</formula>
    </cfRule>
    <cfRule type="cellIs" dxfId="104" priority="67" operator="greaterThan">
      <formula>0</formula>
    </cfRule>
  </conditionalFormatting>
  <conditionalFormatting sqref="I114">
    <cfRule type="cellIs" dxfId="103" priority="62" operator="equal">
      <formula>"annual"</formula>
    </cfRule>
    <cfRule type="cellIs" dxfId="102" priority="63" operator="equal">
      <formula>"monthly"</formula>
    </cfRule>
    <cfRule type="cellIs" dxfId="101" priority="64" operator="greaterThan">
      <formula>0</formula>
    </cfRule>
  </conditionalFormatting>
  <conditionalFormatting sqref="I127">
    <cfRule type="cellIs" dxfId="100" priority="59" operator="equal">
      <formula>"annual"</formula>
    </cfRule>
    <cfRule type="cellIs" dxfId="99" priority="60" operator="equal">
      <formula>"monthly"</formula>
    </cfRule>
    <cfRule type="cellIs" dxfId="98" priority="61" operator="greaterThan">
      <formula>0</formula>
    </cfRule>
  </conditionalFormatting>
  <conditionalFormatting sqref="I125">
    <cfRule type="cellIs" dxfId="97" priority="56" operator="equal">
      <formula>"annual"</formula>
    </cfRule>
    <cfRule type="cellIs" dxfId="96" priority="57" operator="equal">
      <formula>"monthly"</formula>
    </cfRule>
    <cfRule type="cellIs" dxfId="95" priority="58" operator="greaterThan">
      <formula>0</formula>
    </cfRule>
  </conditionalFormatting>
  <conditionalFormatting sqref="I130">
    <cfRule type="cellIs" dxfId="94" priority="53" operator="equal">
      <formula>"annual"</formula>
    </cfRule>
    <cfRule type="cellIs" dxfId="93" priority="54" operator="equal">
      <formula>"monthly"</formula>
    </cfRule>
    <cfRule type="cellIs" dxfId="92" priority="55" operator="greaterThan">
      <formula>0</formula>
    </cfRule>
  </conditionalFormatting>
  <conditionalFormatting sqref="I131">
    <cfRule type="cellIs" dxfId="91" priority="50" operator="equal">
      <formula>"annual"</formula>
    </cfRule>
    <cfRule type="cellIs" dxfId="90" priority="51" operator="equal">
      <formula>"monthly"</formula>
    </cfRule>
    <cfRule type="cellIs" dxfId="89" priority="52" operator="greaterThan">
      <formula>0</formula>
    </cfRule>
  </conditionalFormatting>
  <conditionalFormatting sqref="I119">
    <cfRule type="cellIs" dxfId="88" priority="46" operator="equal">
      <formula>"annual"</formula>
    </cfRule>
    <cfRule type="cellIs" dxfId="87" priority="47" operator="equal">
      <formula>"monthly"</formula>
    </cfRule>
    <cfRule type="cellIs" dxfId="86" priority="49" operator="greaterThan">
      <formula>0</formula>
    </cfRule>
  </conditionalFormatting>
  <conditionalFormatting sqref="I121">
    <cfRule type="cellIs" dxfId="85" priority="43" operator="equal">
      <formula>"annual"</formula>
    </cfRule>
    <cfRule type="cellIs" dxfId="84" priority="44" operator="equal">
      <formula>"monthly"</formula>
    </cfRule>
    <cfRule type="cellIs" dxfId="83" priority="45" operator="greaterThan">
      <formula>0</formula>
    </cfRule>
  </conditionalFormatting>
  <conditionalFormatting sqref="I115">
    <cfRule type="cellIs" dxfId="82" priority="40" operator="equal">
      <formula>"annual"</formula>
    </cfRule>
    <cfRule type="cellIs" dxfId="81" priority="41" operator="equal">
      <formula>"monthly"</formula>
    </cfRule>
    <cfRule type="cellIs" dxfId="80" priority="42" operator="greaterThan">
      <formula>0</formula>
    </cfRule>
  </conditionalFormatting>
  <conditionalFormatting sqref="I110">
    <cfRule type="cellIs" dxfId="79" priority="37" operator="equal">
      <formula>"annual"</formula>
    </cfRule>
    <cfRule type="cellIs" dxfId="78" priority="38" operator="equal">
      <formula>"monthly"</formula>
    </cfRule>
    <cfRule type="cellIs" dxfId="77" priority="39" operator="greaterThan">
      <formula>0</formula>
    </cfRule>
  </conditionalFormatting>
  <conditionalFormatting sqref="I111">
    <cfRule type="cellIs" dxfId="76" priority="34" operator="equal">
      <formula>"annual"</formula>
    </cfRule>
    <cfRule type="cellIs" dxfId="75" priority="35" operator="equal">
      <formula>"monthly"</formula>
    </cfRule>
    <cfRule type="cellIs" dxfId="74" priority="36" operator="greaterThan">
      <formula>0</formula>
    </cfRule>
  </conditionalFormatting>
  <conditionalFormatting sqref="I108">
    <cfRule type="cellIs" dxfId="73" priority="31" operator="equal">
      <formula>"annual"</formula>
    </cfRule>
    <cfRule type="cellIs" dxfId="72" priority="32" operator="equal">
      <formula>"monthly"</formula>
    </cfRule>
    <cfRule type="cellIs" dxfId="71" priority="33" operator="greaterThan">
      <formula>0</formula>
    </cfRule>
  </conditionalFormatting>
  <conditionalFormatting sqref="I109">
    <cfRule type="cellIs" dxfId="70" priority="28" operator="equal">
      <formula>"annual"</formula>
    </cfRule>
    <cfRule type="cellIs" dxfId="69" priority="29" operator="equal">
      <formula>"monthly"</formula>
    </cfRule>
    <cfRule type="cellIs" dxfId="68" priority="30" operator="greaterThan">
      <formula>0</formula>
    </cfRule>
  </conditionalFormatting>
  <conditionalFormatting sqref="I156">
    <cfRule type="cellIs" dxfId="67" priority="24" operator="equal">
      <formula>"annual"</formula>
    </cfRule>
    <cfRule type="cellIs" dxfId="66" priority="25" operator="equal">
      <formula>"monthly"</formula>
    </cfRule>
    <cfRule type="cellIs" dxfId="65" priority="27" operator="greaterThan">
      <formula>0</formula>
    </cfRule>
  </conditionalFormatting>
  <conditionalFormatting sqref="I158">
    <cfRule type="cellIs" dxfId="64" priority="20" operator="equal">
      <formula>"annual"</formula>
    </cfRule>
    <cfRule type="cellIs" dxfId="63" priority="21" operator="equal">
      <formula>"monthly"</formula>
    </cfRule>
    <cfRule type="cellIs" dxfId="62" priority="23" operator="greaterThan">
      <formula>0</formula>
    </cfRule>
  </conditionalFormatting>
  <conditionalFormatting sqref="I157">
    <cfRule type="cellIs" dxfId="61" priority="16" operator="equal">
      <formula>"annual"</formula>
    </cfRule>
    <cfRule type="cellIs" dxfId="60" priority="17" operator="equal">
      <formula>"monthly"</formula>
    </cfRule>
    <cfRule type="cellIs" dxfId="59" priority="19" operator="greaterThan">
      <formula>0</formula>
    </cfRule>
  </conditionalFormatting>
  <conditionalFormatting sqref="I105">
    <cfRule type="cellIs" dxfId="58" priority="12" operator="equal">
      <formula>"annual"</formula>
    </cfRule>
    <cfRule type="cellIs" dxfId="57" priority="13" operator="equal">
      <formula>"monthly"</formula>
    </cfRule>
    <cfRule type="cellIs" dxfId="56" priority="15" operator="greaterThan">
      <formula>0</formula>
    </cfRule>
  </conditionalFormatting>
  <conditionalFormatting sqref="I103">
    <cfRule type="cellIs" dxfId="55" priority="9" operator="equal">
      <formula>"annual"</formula>
    </cfRule>
    <cfRule type="cellIs" dxfId="54" priority="10" operator="equal">
      <formula>"monthly"</formula>
    </cfRule>
    <cfRule type="cellIs" dxfId="53" priority="11" operator="greaterThan">
      <formula>0</formula>
    </cfRule>
  </conditionalFormatting>
  <conditionalFormatting sqref="I98">
    <cfRule type="cellIs" dxfId="52" priority="5" operator="equal">
      <formula>"annual"</formula>
    </cfRule>
    <cfRule type="cellIs" dxfId="51" priority="6" operator="equal">
      <formula>"monthly"</formula>
    </cfRule>
    <cfRule type="cellIs" dxfId="50" priority="8" operator="greaterThan">
      <formula>0</formula>
    </cfRule>
  </conditionalFormatting>
  <conditionalFormatting sqref="I99">
    <cfRule type="cellIs" dxfId="49" priority="1" operator="equal">
      <formula>"annual"</formula>
    </cfRule>
    <cfRule type="cellIs" dxfId="48" priority="2" operator="equal">
      <formula>"monthly"</formula>
    </cfRule>
    <cfRule type="cellIs" dxfId="47" priority="4" operator="greaterThan">
      <formula>0</formula>
    </cfRule>
  </conditionalFormatting>
  <hyperlinks>
    <hyperlink ref="B6" r:id="rId1" xr:uid="{00000000-0004-0000-1900-000000000000}"/>
    <hyperlink ref="B7" r:id="rId2" xr:uid="{00000000-0004-0000-1900-000001000000}"/>
    <hyperlink ref="B10" r:id="rId3" xr:uid="{00000000-0004-0000-1900-000002000000}"/>
    <hyperlink ref="B13" r:id="rId4" xr:uid="{00000000-0004-0000-1900-000003000000}"/>
    <hyperlink ref="B14" r:id="rId5" xr:uid="{00000000-0004-0000-1900-000004000000}"/>
    <hyperlink ref="B15" r:id="rId6" xr:uid="{00000000-0004-0000-1900-000005000000}"/>
    <hyperlink ref="B16" r:id="rId7" xr:uid="{00000000-0004-0000-1900-000006000000}"/>
    <hyperlink ref="B19" r:id="rId8" display="mailto:dene.caple@googlemail.com" xr:uid="{00000000-0004-0000-1900-000007000000}"/>
    <hyperlink ref="B21" r:id="rId9" xr:uid="{00000000-0004-0000-1900-000008000000}"/>
    <hyperlink ref="B22" r:id="rId10" xr:uid="{00000000-0004-0000-1900-000009000000}"/>
    <hyperlink ref="B23" r:id="rId11" xr:uid="{00000000-0004-0000-1900-00000A000000}"/>
    <hyperlink ref="B24" r:id="rId12" xr:uid="{00000000-0004-0000-1900-00000B000000}"/>
    <hyperlink ref="B28" r:id="rId13" xr:uid="{00000000-0004-0000-1900-00000C000000}"/>
    <hyperlink ref="B30" r:id="rId14" xr:uid="{00000000-0004-0000-1900-00000D000000}"/>
    <hyperlink ref="B31" r:id="rId15" xr:uid="{00000000-0004-0000-1900-00000E000000}"/>
    <hyperlink ref="B33" r:id="rId16" xr:uid="{00000000-0004-0000-1900-00000F000000}"/>
    <hyperlink ref="B34" r:id="rId17" xr:uid="{00000000-0004-0000-1900-000010000000}"/>
    <hyperlink ref="B35" r:id="rId18" xr:uid="{00000000-0004-0000-1900-000011000000}"/>
    <hyperlink ref="B39" r:id="rId19" xr:uid="{00000000-0004-0000-1900-000012000000}"/>
    <hyperlink ref="B40" r:id="rId20" xr:uid="{00000000-0004-0000-1900-000013000000}"/>
    <hyperlink ref="B41" r:id="rId21" display="mailto:ickaohman@gmail.com" xr:uid="{00000000-0004-0000-1900-000014000000}"/>
    <hyperlink ref="B42" r:id="rId22" xr:uid="{00000000-0004-0000-1900-000015000000}"/>
    <hyperlink ref="B43" r:id="rId23" display="mailto:i.yorgov@gmail.com" xr:uid="{00000000-0004-0000-1900-000016000000}"/>
    <hyperlink ref="B44" r:id="rId24" xr:uid="{00000000-0004-0000-1900-000017000000}"/>
    <hyperlink ref="B45" r:id="rId25" xr:uid="{00000000-0004-0000-1900-000018000000}"/>
    <hyperlink ref="B46" r:id="rId26" xr:uid="{00000000-0004-0000-1900-000019000000}"/>
    <hyperlink ref="B47" r:id="rId27" xr:uid="{00000000-0004-0000-1900-00001A000000}"/>
    <hyperlink ref="B48" r:id="rId28" xr:uid="{00000000-0004-0000-1900-00001B000000}"/>
    <hyperlink ref="B81" r:id="rId29" xr:uid="{00000000-0004-0000-1900-00001C000000}"/>
    <hyperlink ref="B84" r:id="rId30" xr:uid="{00000000-0004-0000-1900-00001D000000}"/>
    <hyperlink ref="B85" r:id="rId31" xr:uid="{00000000-0004-0000-1900-00001E000000}"/>
    <hyperlink ref="B86" r:id="rId32" xr:uid="{00000000-0004-0000-1900-00001F000000}"/>
    <hyperlink ref="B87" r:id="rId33" xr:uid="{00000000-0004-0000-1900-000020000000}"/>
    <hyperlink ref="B89" r:id="rId34" xr:uid="{00000000-0004-0000-1900-000021000000}"/>
    <hyperlink ref="B92" r:id="rId35" xr:uid="{00000000-0004-0000-1900-000022000000}"/>
    <hyperlink ref="B93" r:id="rId36" xr:uid="{00000000-0004-0000-1900-000023000000}"/>
    <hyperlink ref="B95" r:id="rId37" xr:uid="{00000000-0004-0000-1900-000024000000}"/>
    <hyperlink ref="B100" r:id="rId38" xr:uid="{00000000-0004-0000-1900-000025000000}"/>
    <hyperlink ref="B101" r:id="rId39" xr:uid="{00000000-0004-0000-1900-000026000000}"/>
    <hyperlink ref="B104" r:id="rId40" xr:uid="{00000000-0004-0000-1900-000027000000}"/>
    <hyperlink ref="B105" r:id="rId41" xr:uid="{00000000-0004-0000-1900-000028000000}"/>
    <hyperlink ref="B107" r:id="rId42" xr:uid="{00000000-0004-0000-1900-000029000000}"/>
    <hyperlink ref="B108" r:id="rId43" xr:uid="{00000000-0004-0000-1900-00002A000000}"/>
    <hyperlink ref="B109" r:id="rId44" display="mailto:philseymour77@gmail.com" xr:uid="{00000000-0004-0000-1900-00002B000000}"/>
    <hyperlink ref="B111" r:id="rId45" xr:uid="{00000000-0004-0000-1900-00002C000000}"/>
    <hyperlink ref="B112" r:id="rId46" display="mailto:jeandance007@gmail.com" xr:uid="{00000000-0004-0000-1900-00002D000000}"/>
    <hyperlink ref="B115" r:id="rId47" xr:uid="{00000000-0004-0000-1900-00002E000000}"/>
    <hyperlink ref="B118" r:id="rId48" xr:uid="{00000000-0004-0000-1900-00002F000000}"/>
    <hyperlink ref="B121" r:id="rId49" xr:uid="{00000000-0004-0000-1900-000030000000}"/>
    <hyperlink ref="B125" r:id="rId50" display="mailto:Alannewbold@hotmail.co.uk" xr:uid="{00000000-0004-0000-1900-000031000000}"/>
    <hyperlink ref="B126" r:id="rId51" xr:uid="{00000000-0004-0000-1900-000032000000}"/>
    <hyperlink ref="B127" r:id="rId52" xr:uid="{00000000-0004-0000-1900-000033000000}"/>
    <hyperlink ref="B129" r:id="rId53" xr:uid="{00000000-0004-0000-1900-000034000000}"/>
    <hyperlink ref="B131" r:id="rId54" xr:uid="{00000000-0004-0000-1900-000035000000}"/>
    <hyperlink ref="B134" r:id="rId55" display="mailto:vezukbabe@hotmail.com" xr:uid="{00000000-0004-0000-1900-000036000000}"/>
    <hyperlink ref="B136" r:id="rId56" xr:uid="{00000000-0004-0000-1900-000037000000}"/>
    <hyperlink ref="B137" r:id="rId57" xr:uid="{00000000-0004-0000-1900-000038000000}"/>
    <hyperlink ref="B138" r:id="rId58" xr:uid="{00000000-0004-0000-1900-000039000000}"/>
    <hyperlink ref="B142" r:id="rId59" xr:uid="{00000000-0004-0000-1900-00003A000000}"/>
    <hyperlink ref="B152" r:id="rId60" xr:uid="{00000000-0004-0000-1900-00003B000000}"/>
    <hyperlink ref="B160" r:id="rId61" xr:uid="{00000000-0004-0000-1900-00003C000000}"/>
    <hyperlink ref="B166" r:id="rId62" display="Rachelakerman1@yahoo.co.uk" xr:uid="{00000000-0004-0000-1900-00003D000000}"/>
    <hyperlink ref="B169" r:id="rId63" display="georgina.catalinotto@googlemail.com" xr:uid="{00000000-0004-0000-1900-00003E000000}"/>
    <hyperlink ref="B174" r:id="rId64" xr:uid="{00000000-0004-0000-1900-00003F000000}"/>
    <hyperlink ref="B175" r:id="rId65" xr:uid="{00000000-0004-0000-1900-000040000000}"/>
    <hyperlink ref="B177" r:id="rId66" xr:uid="{00000000-0004-0000-1900-000041000000}"/>
    <hyperlink ref="B178" r:id="rId67" xr:uid="{00000000-0004-0000-1900-000042000000}"/>
    <hyperlink ref="B179" r:id="rId68" xr:uid="{00000000-0004-0000-1900-000043000000}"/>
    <hyperlink ref="B180" r:id="rId69" xr:uid="{00000000-0004-0000-1900-000044000000}"/>
    <hyperlink ref="B181" r:id="rId70" xr:uid="{00000000-0004-0000-1900-000045000000}"/>
    <hyperlink ref="B182" r:id="rId71" xr:uid="{00000000-0004-0000-1900-000046000000}"/>
    <hyperlink ref="B183" r:id="rId72" xr:uid="{00000000-0004-0000-1900-000047000000}"/>
    <hyperlink ref="B184" r:id="rId73" xr:uid="{00000000-0004-0000-1900-000048000000}"/>
    <hyperlink ref="B185" r:id="rId74" xr:uid="{00000000-0004-0000-1900-000049000000}"/>
  </hyperlinks>
  <pageMargins left="0.23622047244094491" right="0.23622047244094491" top="0.74803149606299213" bottom="0.74803149606299213" header="0.31496062992125978" footer="0.31496062992125978"/>
  <pageSetup paperSize="9" scale="18" orientation="landscape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F5EF7B"/>
    <pageSetUpPr fitToPage="1"/>
  </sheetPr>
  <dimension ref="B1:X193"/>
  <sheetViews>
    <sheetView workbookViewId="0">
      <pane ySplit="1" topLeftCell="A152" activePane="bottomLeft" state="frozen"/>
      <selection activeCell="V27" sqref="V27"/>
      <selection pane="bottomLeft" activeCell="J188" sqref="J188"/>
    </sheetView>
  </sheetViews>
  <sheetFormatPr defaultColWidth="9.1328125" defaultRowHeight="14.65" x14ac:dyDescent="0.35"/>
  <cols>
    <col min="1" max="1" width="4.796875" style="45" customWidth="1"/>
    <col min="2" max="2" width="15.86328125" style="45" bestFit="1" customWidth="1"/>
    <col min="3" max="3" width="36" style="45" customWidth="1"/>
    <col min="4" max="4" width="11.19921875" style="45" customWidth="1"/>
    <col min="5" max="5" width="25.796875" style="45" customWidth="1"/>
    <col min="6" max="6" width="12.19921875" style="85" customWidth="1"/>
    <col min="7" max="7" width="28.86328125" style="1068" customWidth="1"/>
    <col min="8" max="9" width="13.86328125" style="52" customWidth="1"/>
    <col min="10" max="10" width="15.1328125" style="45" customWidth="1"/>
    <col min="11" max="11" width="37" style="84" bestFit="1" customWidth="1"/>
    <col min="12" max="12" width="8.19921875" style="45" customWidth="1"/>
    <col min="13" max="13" width="11.1328125" style="45" bestFit="1" customWidth="1"/>
    <col min="14" max="14" width="15.796875" style="45" bestFit="1" customWidth="1"/>
    <col min="15" max="15" width="5.86328125" style="45" customWidth="1"/>
    <col min="16" max="16" width="20.796875" style="45" bestFit="1" customWidth="1"/>
    <col min="17" max="17" width="13.53125" style="45" bestFit="1" customWidth="1"/>
    <col min="18" max="18" width="26.46484375" style="45" customWidth="1"/>
    <col min="19" max="19" width="16.19921875" style="45" customWidth="1"/>
    <col min="20" max="20" width="19.1328125" style="45" bestFit="1" customWidth="1"/>
    <col min="21" max="21" width="13.1328125" style="45" bestFit="1" customWidth="1"/>
    <col min="22" max="22" width="88.46484375" style="45" bestFit="1" customWidth="1"/>
    <col min="23" max="23" width="69.1328125" style="45" bestFit="1" customWidth="1"/>
    <col min="24" max="24" width="69.796875" style="45" bestFit="1" customWidth="1"/>
    <col min="25" max="25" width="9.1328125" style="45" customWidth="1"/>
    <col min="26" max="16384" width="9.1328125" style="45"/>
  </cols>
  <sheetData>
    <row r="1" spans="2:24" ht="29.25" customHeight="1" x14ac:dyDescent="0.35">
      <c r="B1" s="237" t="s">
        <v>4506</v>
      </c>
      <c r="C1" s="236" t="s">
        <v>4933</v>
      </c>
      <c r="D1" s="107" t="s">
        <v>4934</v>
      </c>
      <c r="E1" s="107" t="s">
        <v>4935</v>
      </c>
      <c r="F1" s="109" t="s">
        <v>4936</v>
      </c>
      <c r="G1" s="1065" t="s">
        <v>4504</v>
      </c>
      <c r="H1" s="108" t="s">
        <v>129</v>
      </c>
      <c r="I1" s="108" t="s">
        <v>4937</v>
      </c>
      <c r="J1" s="107"/>
      <c r="K1" s="106" t="s">
        <v>4502</v>
      </c>
      <c r="L1" s="106" t="s">
        <v>4938</v>
      </c>
      <c r="M1" s="106" t="s">
        <v>4939</v>
      </c>
      <c r="N1" s="106" t="s">
        <v>4940</v>
      </c>
      <c r="O1" s="235" t="s">
        <v>4941</v>
      </c>
      <c r="P1" s="110" t="s">
        <v>4942</v>
      </c>
      <c r="Q1" s="106" t="s">
        <v>4943</v>
      </c>
      <c r="R1" s="110" t="s">
        <v>4944</v>
      </c>
      <c r="S1" s="106" t="s">
        <v>4945</v>
      </c>
      <c r="T1" s="107" t="s">
        <v>4946</v>
      </c>
      <c r="U1" s="106" t="s">
        <v>4947</v>
      </c>
      <c r="V1" s="234" t="s">
        <v>4948</v>
      </c>
      <c r="W1" s="234" t="s">
        <v>4949</v>
      </c>
      <c r="X1" s="233" t="s">
        <v>4950</v>
      </c>
    </row>
    <row r="2" spans="2:24" x14ac:dyDescent="0.35">
      <c r="B2" s="232"/>
      <c r="C2" s="231"/>
      <c r="D2" s="100"/>
      <c r="E2" s="100"/>
      <c r="F2" s="103"/>
      <c r="G2" s="1066" t="s">
        <v>120</v>
      </c>
      <c r="H2" s="101"/>
      <c r="I2" s="101"/>
      <c r="J2" s="101"/>
      <c r="K2" s="105"/>
      <c r="L2" s="100"/>
      <c r="M2" s="100"/>
      <c r="N2" s="100"/>
      <c r="O2" s="230"/>
      <c r="P2" s="104"/>
      <c r="Q2" s="100"/>
      <c r="R2" s="104"/>
      <c r="S2" s="100"/>
      <c r="T2" s="100"/>
      <c r="U2" s="100"/>
      <c r="V2" s="100"/>
      <c r="W2" s="100"/>
      <c r="X2" s="100"/>
    </row>
    <row r="3" spans="2:24" ht="10.5" customHeight="1" x14ac:dyDescent="0.35">
      <c r="B3" s="142"/>
      <c r="C3" s="198"/>
      <c r="D3" s="84"/>
      <c r="E3" s="84"/>
      <c r="F3" s="87"/>
      <c r="G3" s="1067"/>
      <c r="H3" s="4"/>
      <c r="I3" s="4"/>
      <c r="J3" s="4"/>
      <c r="K3" s="5"/>
      <c r="L3" s="84"/>
      <c r="M3" s="84"/>
      <c r="N3" s="84"/>
      <c r="O3" s="197"/>
      <c r="P3" s="88"/>
      <c r="Q3" s="84"/>
      <c r="R3" s="88"/>
      <c r="S3" s="84"/>
      <c r="T3" s="84"/>
      <c r="U3" s="84"/>
      <c r="V3" s="84"/>
      <c r="W3" s="84"/>
      <c r="X3" s="84"/>
    </row>
    <row r="4" spans="2:24" ht="15.75" customHeight="1" x14ac:dyDescent="0.35">
      <c r="B4" s="229"/>
      <c r="C4" s="228"/>
      <c r="D4" s="84"/>
      <c r="E4" s="84"/>
      <c r="F4" s="87"/>
      <c r="G4" s="1067"/>
      <c r="H4" s="4"/>
      <c r="I4" s="4"/>
      <c r="J4" s="4"/>
      <c r="L4" s="84"/>
      <c r="M4" s="84"/>
      <c r="N4" s="84"/>
      <c r="O4" s="197"/>
      <c r="P4" s="88"/>
      <c r="Q4" s="84"/>
      <c r="R4" s="88"/>
      <c r="S4" s="84"/>
      <c r="T4" s="84"/>
      <c r="U4" s="84"/>
      <c r="V4" s="84"/>
      <c r="W4" s="84"/>
      <c r="X4" s="84"/>
    </row>
    <row r="5" spans="2:24" ht="15.75" customHeight="1" x14ac:dyDescent="0.35">
      <c r="B5" s="227"/>
      <c r="C5" s="226" t="s">
        <v>2873</v>
      </c>
      <c r="D5" s="84"/>
      <c r="E5" s="84"/>
      <c r="F5" s="87"/>
      <c r="G5" s="1067"/>
      <c r="H5" s="4"/>
      <c r="I5" s="4"/>
      <c r="J5" s="4"/>
      <c r="L5" s="84"/>
      <c r="M5" s="84"/>
      <c r="N5" s="84"/>
      <c r="O5" s="202"/>
      <c r="P5" s="88"/>
      <c r="Q5" s="84"/>
      <c r="R5" s="88"/>
      <c r="S5" s="84"/>
      <c r="T5" s="84"/>
      <c r="U5" s="84"/>
      <c r="V5" s="84"/>
      <c r="W5" s="84"/>
      <c r="X5" s="84"/>
    </row>
    <row r="6" spans="2:24" ht="15.75" customHeight="1" x14ac:dyDescent="0.35">
      <c r="B6" s="91"/>
      <c r="C6" s="93"/>
      <c r="D6" s="91"/>
      <c r="E6" s="91"/>
      <c r="W6" s="93"/>
      <c r="X6" s="91"/>
    </row>
    <row r="7" spans="2:24" ht="15.75" customHeight="1" x14ac:dyDescent="0.35">
      <c r="B7" s="91"/>
      <c r="X7" s="91"/>
    </row>
    <row r="8" spans="2:24" ht="15.75" customHeight="1" x14ac:dyDescent="0.35">
      <c r="B8" s="199" t="s">
        <v>1141</v>
      </c>
      <c r="C8" s="93" t="s">
        <v>4951</v>
      </c>
      <c r="D8" s="84" t="s">
        <v>1141</v>
      </c>
      <c r="E8" s="84" t="s">
        <v>4952</v>
      </c>
      <c r="F8" s="87" t="s">
        <v>4953</v>
      </c>
      <c r="G8" s="1069">
        <v>42484</v>
      </c>
      <c r="H8" s="4">
        <v>350</v>
      </c>
      <c r="I8" s="4"/>
      <c r="J8" s="4">
        <v>0</v>
      </c>
      <c r="K8" s="3" t="s">
        <v>4954</v>
      </c>
      <c r="L8" s="84" t="s">
        <v>4955</v>
      </c>
      <c r="M8" s="84" t="s">
        <v>4956</v>
      </c>
      <c r="N8" s="84" t="s">
        <v>4957</v>
      </c>
      <c r="O8" s="197" t="s">
        <v>4749</v>
      </c>
      <c r="P8" s="88" t="s">
        <v>4958</v>
      </c>
      <c r="Q8" s="84" t="s">
        <v>4959</v>
      </c>
      <c r="R8" s="88" t="s">
        <v>4960</v>
      </c>
      <c r="S8" s="84" t="s">
        <v>4961</v>
      </c>
      <c r="T8" s="84"/>
      <c r="U8" s="84"/>
      <c r="V8" s="84"/>
      <c r="W8" s="84"/>
      <c r="X8" s="84"/>
    </row>
    <row r="9" spans="2:24" ht="15.75" customHeight="1" x14ac:dyDescent="0.4">
      <c r="B9" s="218">
        <v>42631</v>
      </c>
      <c r="C9" s="211" t="s">
        <v>4962</v>
      </c>
      <c r="D9" s="206" t="s">
        <v>1141</v>
      </c>
      <c r="E9" s="206" t="s">
        <v>175</v>
      </c>
      <c r="F9" s="210" t="s">
        <v>4963</v>
      </c>
      <c r="G9" s="1070">
        <v>42534</v>
      </c>
      <c r="H9" s="208">
        <v>100</v>
      </c>
      <c r="I9" s="208"/>
      <c r="J9" s="208">
        <v>0</v>
      </c>
      <c r="K9" s="225" t="s">
        <v>4964</v>
      </c>
      <c r="L9" s="209" t="s">
        <v>4664</v>
      </c>
      <c r="M9" s="211" t="s">
        <v>4145</v>
      </c>
      <c r="N9" s="209" t="s">
        <v>4965</v>
      </c>
      <c r="O9" s="224" t="s">
        <v>4966</v>
      </c>
      <c r="P9" s="223" t="s">
        <v>4967</v>
      </c>
      <c r="Q9" s="211" t="s">
        <v>4968</v>
      </c>
      <c r="R9" s="209" t="s">
        <v>4969</v>
      </c>
      <c r="S9" s="211" t="s">
        <v>4970</v>
      </c>
      <c r="T9" s="206"/>
      <c r="U9" s="206"/>
      <c r="V9" s="206"/>
      <c r="W9" s="84"/>
      <c r="X9" s="84"/>
    </row>
    <row r="10" spans="2:24" ht="15.75" customHeight="1" x14ac:dyDescent="0.4">
      <c r="B10" s="218">
        <v>42751</v>
      </c>
      <c r="C10" s="211" t="s">
        <v>4971</v>
      </c>
      <c r="D10" s="206" t="s">
        <v>1141</v>
      </c>
      <c r="E10" s="206" t="s">
        <v>174</v>
      </c>
      <c r="F10" s="210" t="s">
        <v>4963</v>
      </c>
      <c r="G10" s="1070">
        <v>42591</v>
      </c>
      <c r="H10" s="208">
        <v>95</v>
      </c>
      <c r="I10" s="208"/>
      <c r="J10" s="208">
        <v>0</v>
      </c>
      <c r="K10" s="207" t="s">
        <v>4972</v>
      </c>
      <c r="L10" s="206" t="s">
        <v>4664</v>
      </c>
      <c r="M10" s="206" t="s">
        <v>518</v>
      </c>
      <c r="N10" s="206" t="s">
        <v>4173</v>
      </c>
      <c r="O10" s="221"/>
      <c r="P10" s="222" t="s">
        <v>4973</v>
      </c>
      <c r="Q10" s="206"/>
      <c r="R10" s="204" t="s">
        <v>4974</v>
      </c>
      <c r="S10" s="206"/>
      <c r="T10" s="206"/>
      <c r="U10" s="84"/>
      <c r="V10" s="84"/>
      <c r="W10" s="84"/>
      <c r="X10" s="84"/>
    </row>
    <row r="11" spans="2:24" ht="15.75" customHeight="1" x14ac:dyDescent="0.4">
      <c r="B11" s="218">
        <v>42741</v>
      </c>
      <c r="C11" s="211" t="s">
        <v>4975</v>
      </c>
      <c r="D11" s="206" t="s">
        <v>1141</v>
      </c>
      <c r="E11" s="206" t="s">
        <v>4976</v>
      </c>
      <c r="F11" s="210" t="s">
        <v>4977</v>
      </c>
      <c r="G11" s="1070">
        <v>42681</v>
      </c>
      <c r="H11" s="208">
        <v>50</v>
      </c>
      <c r="I11" s="208"/>
      <c r="J11" s="208">
        <v>0</v>
      </c>
      <c r="K11" s="3" t="s">
        <v>4978</v>
      </c>
      <c r="L11" s="206" t="s">
        <v>4664</v>
      </c>
      <c r="M11" s="206" t="s">
        <v>4979</v>
      </c>
      <c r="N11" s="206" t="s">
        <v>4980</v>
      </c>
      <c r="O11" s="221"/>
      <c r="P11" s="204" t="s">
        <v>4981</v>
      </c>
      <c r="Q11" s="206" t="s">
        <v>4982</v>
      </c>
      <c r="R11" s="204" t="s">
        <v>4983</v>
      </c>
      <c r="S11" s="206" t="s">
        <v>4376</v>
      </c>
      <c r="T11" s="206"/>
      <c r="U11" s="206"/>
      <c r="V11" s="84"/>
      <c r="W11" s="84"/>
      <c r="X11" s="84"/>
    </row>
    <row r="12" spans="2:24" ht="15.75" customHeight="1" x14ac:dyDescent="0.35">
      <c r="B12" s="217">
        <v>42789</v>
      </c>
      <c r="C12" s="216" t="s">
        <v>4984</v>
      </c>
      <c r="D12" s="215" t="s">
        <v>1141</v>
      </c>
      <c r="E12" s="215" t="s">
        <v>174</v>
      </c>
      <c r="F12" s="214" t="s">
        <v>4985</v>
      </c>
      <c r="G12" s="1071">
        <v>42687</v>
      </c>
      <c r="H12" s="213">
        <v>25</v>
      </c>
      <c r="I12" s="213"/>
      <c r="J12" s="213"/>
      <c r="K12" s="215" t="s">
        <v>4986</v>
      </c>
      <c r="L12" s="215" t="s">
        <v>4955</v>
      </c>
      <c r="M12" s="215" t="s">
        <v>4987</v>
      </c>
      <c r="N12" s="215" t="s">
        <v>4988</v>
      </c>
      <c r="O12" s="220" t="s">
        <v>4788</v>
      </c>
      <c r="P12" s="219" t="s">
        <v>4989</v>
      </c>
      <c r="Q12" s="215" t="s">
        <v>4990</v>
      </c>
      <c r="R12" s="219" t="s">
        <v>4991</v>
      </c>
      <c r="S12" s="215" t="s">
        <v>4992</v>
      </c>
      <c r="T12" s="215"/>
      <c r="U12" s="84"/>
      <c r="V12" s="84"/>
      <c r="W12" s="84"/>
      <c r="X12" s="84"/>
    </row>
    <row r="13" spans="2:24" ht="15.75" customHeight="1" x14ac:dyDescent="0.35">
      <c r="B13" s="199" t="s">
        <v>1141</v>
      </c>
      <c r="C13" s="93" t="s">
        <v>4993</v>
      </c>
      <c r="D13" s="84" t="s">
        <v>1141</v>
      </c>
      <c r="E13" s="84" t="s">
        <v>175</v>
      </c>
      <c r="F13" s="87" t="s">
        <v>4994</v>
      </c>
      <c r="G13" s="1069">
        <v>42704</v>
      </c>
      <c r="H13" s="4">
        <v>100</v>
      </c>
      <c r="I13" s="4"/>
      <c r="J13" s="4">
        <v>0</v>
      </c>
      <c r="K13" s="3" t="s">
        <v>4995</v>
      </c>
      <c r="L13" s="84" t="s">
        <v>4955</v>
      </c>
      <c r="M13" s="84" t="s">
        <v>4996</v>
      </c>
      <c r="N13" s="84" t="s">
        <v>4997</v>
      </c>
      <c r="O13" s="202" t="s">
        <v>4849</v>
      </c>
      <c r="P13" s="88" t="s">
        <v>4998</v>
      </c>
      <c r="Q13" s="84" t="s">
        <v>4999</v>
      </c>
      <c r="R13" s="88" t="s">
        <v>5000</v>
      </c>
      <c r="S13" s="84" t="s">
        <v>5001</v>
      </c>
      <c r="T13" s="84" t="s">
        <v>5002</v>
      </c>
      <c r="U13" s="84"/>
      <c r="V13" s="84"/>
      <c r="W13" s="84"/>
      <c r="X13" s="84"/>
    </row>
    <row r="14" spans="2:24" ht="15.75" customHeight="1" x14ac:dyDescent="0.4">
      <c r="B14" s="218" t="s">
        <v>1141</v>
      </c>
      <c r="C14" s="211" t="s">
        <v>5003</v>
      </c>
      <c r="D14" s="206" t="s">
        <v>1141</v>
      </c>
      <c r="E14" s="206" t="s">
        <v>176</v>
      </c>
      <c r="F14" s="210" t="s">
        <v>5004</v>
      </c>
      <c r="G14" s="1070">
        <v>42718</v>
      </c>
      <c r="H14" s="208">
        <v>100</v>
      </c>
      <c r="I14" s="208"/>
      <c r="J14" s="208">
        <v>0</v>
      </c>
      <c r="K14" s="207" t="s">
        <v>5005</v>
      </c>
      <c r="L14" s="206" t="s">
        <v>4955</v>
      </c>
      <c r="M14" s="206" t="s">
        <v>5006</v>
      </c>
      <c r="N14" s="206" t="s">
        <v>5007</v>
      </c>
      <c r="O14" s="205" t="s">
        <v>5008</v>
      </c>
      <c r="P14" s="204" t="s">
        <v>5009</v>
      </c>
      <c r="Q14" s="206" t="s">
        <v>5010</v>
      </c>
      <c r="R14" s="204" t="s">
        <v>5011</v>
      </c>
      <c r="S14" s="206" t="s">
        <v>5012</v>
      </c>
      <c r="T14" s="84"/>
      <c r="U14" s="84"/>
      <c r="V14" s="84"/>
      <c r="W14" s="84"/>
      <c r="X14" s="84"/>
    </row>
    <row r="15" spans="2:24" ht="15.75" customHeight="1" x14ac:dyDescent="0.4">
      <c r="B15" s="218" t="s">
        <v>1141</v>
      </c>
      <c r="C15" s="211" t="s">
        <v>5003</v>
      </c>
      <c r="D15" s="206" t="s">
        <v>1141</v>
      </c>
      <c r="E15" s="206" t="s">
        <v>176</v>
      </c>
      <c r="F15" s="210" t="s">
        <v>5013</v>
      </c>
      <c r="G15" s="1070">
        <v>42719</v>
      </c>
      <c r="H15" s="208">
        <v>200</v>
      </c>
      <c r="I15" s="208"/>
      <c r="J15" s="208">
        <v>0</v>
      </c>
      <c r="K15" s="207" t="s">
        <v>4667</v>
      </c>
      <c r="L15" s="206" t="s">
        <v>4955</v>
      </c>
      <c r="M15" s="206" t="s">
        <v>2623</v>
      </c>
      <c r="N15" s="206" t="s">
        <v>4045</v>
      </c>
      <c r="O15" s="205" t="s">
        <v>5014</v>
      </c>
      <c r="P15" s="204" t="s">
        <v>4668</v>
      </c>
      <c r="Q15" s="206" t="s">
        <v>5015</v>
      </c>
      <c r="R15" s="204" t="s">
        <v>5016</v>
      </c>
      <c r="S15" s="206" t="s">
        <v>316</v>
      </c>
      <c r="T15" s="206"/>
      <c r="U15" s="206"/>
      <c r="V15" s="206"/>
      <c r="W15" s="84"/>
      <c r="X15" s="84"/>
    </row>
    <row r="16" spans="2:24" ht="15.75" customHeight="1" x14ac:dyDescent="0.4">
      <c r="B16" s="218">
        <v>42907</v>
      </c>
      <c r="C16" s="211" t="s">
        <v>5017</v>
      </c>
      <c r="D16" s="206" t="s">
        <v>1141</v>
      </c>
      <c r="E16" s="206" t="s">
        <v>174</v>
      </c>
      <c r="F16" s="210" t="s">
        <v>5018</v>
      </c>
      <c r="G16" s="1070">
        <v>42711</v>
      </c>
      <c r="H16" s="208">
        <v>60</v>
      </c>
      <c r="I16" s="208"/>
      <c r="J16" s="208">
        <v>0</v>
      </c>
      <c r="K16" s="207" t="s">
        <v>5019</v>
      </c>
      <c r="L16" s="206" t="s">
        <v>4664</v>
      </c>
      <c r="M16" s="206" t="s">
        <v>5020</v>
      </c>
      <c r="N16" s="206" t="s">
        <v>5021</v>
      </c>
      <c r="O16" s="205" t="s">
        <v>4692</v>
      </c>
      <c r="P16" s="204" t="s">
        <v>5022</v>
      </c>
      <c r="Q16" s="206" t="s">
        <v>5023</v>
      </c>
      <c r="R16" s="204" t="s">
        <v>5024</v>
      </c>
      <c r="S16" s="206" t="s">
        <v>5025</v>
      </c>
      <c r="T16" s="84"/>
      <c r="U16" s="84"/>
      <c r="V16" s="84"/>
      <c r="W16" s="84"/>
      <c r="X16" s="84"/>
    </row>
    <row r="17" spans="2:20" ht="15.75" customHeight="1" x14ac:dyDescent="0.4">
      <c r="B17" s="218" t="s">
        <v>1141</v>
      </c>
      <c r="C17" s="211" t="s">
        <v>5026</v>
      </c>
      <c r="D17" s="206" t="s">
        <v>1141</v>
      </c>
      <c r="E17" s="206" t="s">
        <v>174</v>
      </c>
      <c r="F17" s="210" t="s">
        <v>5027</v>
      </c>
      <c r="G17" s="1070">
        <v>42719</v>
      </c>
      <c r="H17" s="208">
        <v>50</v>
      </c>
      <c r="I17" s="208"/>
      <c r="J17" s="208">
        <v>0</v>
      </c>
      <c r="K17" s="207" t="s">
        <v>4191</v>
      </c>
      <c r="L17" s="206" t="s">
        <v>4664</v>
      </c>
      <c r="M17" s="206" t="s">
        <v>4031</v>
      </c>
      <c r="N17" s="206" t="s">
        <v>4193</v>
      </c>
      <c r="O17" s="205" t="s">
        <v>5028</v>
      </c>
      <c r="P17" s="204" t="s">
        <v>5029</v>
      </c>
      <c r="Q17" s="206" t="s">
        <v>5030</v>
      </c>
      <c r="R17" s="204" t="s">
        <v>5031</v>
      </c>
      <c r="S17" s="206" t="s">
        <v>5032</v>
      </c>
      <c r="T17" s="84"/>
    </row>
    <row r="18" spans="2:20" ht="15.75" customHeight="1" x14ac:dyDescent="0.35">
      <c r="B18" s="199" t="s">
        <v>1141</v>
      </c>
      <c r="C18" s="93" t="s">
        <v>5033</v>
      </c>
      <c r="D18" s="84" t="s">
        <v>1141</v>
      </c>
      <c r="E18" s="84" t="s">
        <v>174</v>
      </c>
      <c r="F18" s="87" t="s">
        <v>5034</v>
      </c>
      <c r="G18" s="1069">
        <v>42724</v>
      </c>
      <c r="H18" s="4">
        <v>60</v>
      </c>
      <c r="I18" s="4"/>
      <c r="J18" s="4">
        <v>0</v>
      </c>
      <c r="K18" s="3" t="s">
        <v>5035</v>
      </c>
      <c r="L18" s="84" t="s">
        <v>4664</v>
      </c>
      <c r="M18" s="84" t="s">
        <v>5036</v>
      </c>
      <c r="N18" s="84" t="s">
        <v>4146</v>
      </c>
      <c r="O18" s="202" t="s">
        <v>5037</v>
      </c>
      <c r="P18" s="88" t="s">
        <v>5038</v>
      </c>
      <c r="Q18" s="84" t="s">
        <v>5039</v>
      </c>
      <c r="R18" s="88" t="s">
        <v>5040</v>
      </c>
      <c r="S18" s="84" t="s">
        <v>5041</v>
      </c>
      <c r="T18" s="84"/>
    </row>
    <row r="19" spans="2:20" ht="15.75" customHeight="1" x14ac:dyDescent="0.35">
      <c r="B19" s="217" t="s">
        <v>1141</v>
      </c>
      <c r="C19" s="216" t="s">
        <v>5042</v>
      </c>
      <c r="D19" s="215" t="s">
        <v>1141</v>
      </c>
      <c r="E19" s="215" t="s">
        <v>174</v>
      </c>
      <c r="F19" s="214" t="s">
        <v>5043</v>
      </c>
      <c r="G19" s="1071">
        <v>42723</v>
      </c>
      <c r="H19" s="213">
        <v>25</v>
      </c>
      <c r="I19" s="213"/>
      <c r="J19" s="213">
        <v>0</v>
      </c>
      <c r="K19" s="3" t="s">
        <v>5044</v>
      </c>
      <c r="L19" s="84" t="s">
        <v>5045</v>
      </c>
      <c r="M19" s="84" t="s">
        <v>5046</v>
      </c>
      <c r="N19" s="84" t="s">
        <v>5047</v>
      </c>
      <c r="O19" s="202" t="s">
        <v>5008</v>
      </c>
      <c r="P19" s="88" t="s">
        <v>5048</v>
      </c>
      <c r="Q19" s="84" t="s">
        <v>5049</v>
      </c>
      <c r="R19" s="88"/>
      <c r="S19" s="84"/>
      <c r="T19" s="84"/>
    </row>
    <row r="20" spans="2:20" ht="15.75" customHeight="1" x14ac:dyDescent="0.35">
      <c r="B20" s="199"/>
      <c r="C20" s="93" t="s">
        <v>5050</v>
      </c>
      <c r="D20" s="84" t="s">
        <v>1141</v>
      </c>
      <c r="E20" s="84" t="s">
        <v>174</v>
      </c>
      <c r="F20" s="87" t="s">
        <v>5051</v>
      </c>
      <c r="G20" s="1069">
        <v>42811</v>
      </c>
      <c r="H20" s="4">
        <v>130</v>
      </c>
      <c r="I20" s="4"/>
      <c r="J20" s="4">
        <v>0</v>
      </c>
      <c r="K20" s="3" t="s">
        <v>5052</v>
      </c>
      <c r="L20" s="84" t="s">
        <v>1291</v>
      </c>
      <c r="M20" s="84" t="s">
        <v>1291</v>
      </c>
      <c r="N20" s="84" t="s">
        <v>1291</v>
      </c>
      <c r="O20" s="202"/>
      <c r="P20" s="88"/>
      <c r="Q20" s="84"/>
      <c r="R20" s="88"/>
      <c r="S20" s="84"/>
      <c r="T20" s="84"/>
    </row>
    <row r="21" spans="2:20" ht="15.75" customHeight="1" x14ac:dyDescent="0.4">
      <c r="B21" s="212" t="s">
        <v>941</v>
      </c>
      <c r="C21" s="211" t="s">
        <v>5053</v>
      </c>
      <c r="D21" s="206" t="s">
        <v>1141</v>
      </c>
      <c r="E21" s="206" t="s">
        <v>174</v>
      </c>
      <c r="F21" s="210" t="s">
        <v>5054</v>
      </c>
      <c r="G21" s="1070">
        <v>42822</v>
      </c>
      <c r="H21" s="208">
        <v>195</v>
      </c>
      <c r="I21" s="208"/>
      <c r="J21" s="208">
        <v>0</v>
      </c>
      <c r="K21" s="207" t="s">
        <v>5055</v>
      </c>
      <c r="L21" s="206" t="s">
        <v>4664</v>
      </c>
      <c r="M21" s="206" t="s">
        <v>5056</v>
      </c>
      <c r="N21" s="206" t="s">
        <v>5057</v>
      </c>
      <c r="O21" s="205"/>
      <c r="P21" s="204" t="s">
        <v>5058</v>
      </c>
      <c r="Q21" s="206"/>
      <c r="R21" s="204"/>
      <c r="S21" s="84"/>
      <c r="T21" s="84"/>
    </row>
    <row r="22" spans="2:20" ht="15.75" customHeight="1" x14ac:dyDescent="0.35">
      <c r="B22" s="203"/>
      <c r="C22" s="216" t="s">
        <v>5059</v>
      </c>
      <c r="D22" s="215" t="s">
        <v>1141</v>
      </c>
      <c r="E22" s="215" t="s">
        <v>176</v>
      </c>
      <c r="F22" s="214" t="s">
        <v>5060</v>
      </c>
      <c r="G22" s="1071">
        <v>42834</v>
      </c>
      <c r="H22" s="213">
        <v>20</v>
      </c>
      <c r="I22" s="213"/>
      <c r="J22" s="213">
        <v>0</v>
      </c>
      <c r="K22" s="215" t="s">
        <v>5061</v>
      </c>
      <c r="L22" s="215" t="s">
        <v>4664</v>
      </c>
      <c r="M22" s="215" t="s">
        <v>4379</v>
      </c>
      <c r="N22" s="215" t="s">
        <v>5062</v>
      </c>
      <c r="O22" s="220"/>
      <c r="P22" s="219"/>
      <c r="Q22" s="84"/>
      <c r="R22" s="88"/>
      <c r="S22" s="84"/>
      <c r="T22" s="84"/>
    </row>
    <row r="23" spans="2:20" ht="15.75" customHeight="1" x14ac:dyDescent="0.4">
      <c r="B23" s="203">
        <v>42947</v>
      </c>
      <c r="C23" s="211" t="s">
        <v>5063</v>
      </c>
      <c r="D23" s="206"/>
      <c r="E23" s="206"/>
      <c r="F23" s="210" t="s">
        <v>5064</v>
      </c>
      <c r="G23" s="1070">
        <v>42855</v>
      </c>
      <c r="H23" s="208">
        <v>20</v>
      </c>
      <c r="I23" s="208"/>
      <c r="J23" s="208">
        <v>0</v>
      </c>
      <c r="K23" s="207" t="s">
        <v>5065</v>
      </c>
      <c r="L23" s="209" t="s">
        <v>4664</v>
      </c>
      <c r="M23" s="209" t="s">
        <v>5066</v>
      </c>
      <c r="N23" s="209" t="s">
        <v>5067</v>
      </c>
      <c r="O23" s="202"/>
      <c r="P23" s="88"/>
      <c r="Q23" s="84"/>
      <c r="R23" s="88"/>
      <c r="S23" s="84"/>
      <c r="T23" s="84"/>
    </row>
    <row r="24" spans="2:20" ht="15.75" customHeight="1" x14ac:dyDescent="0.4">
      <c r="B24" s="212"/>
      <c r="C24" s="211" t="s">
        <v>5063</v>
      </c>
      <c r="D24" s="206"/>
      <c r="E24" s="206"/>
      <c r="F24" s="210" t="s">
        <v>5064</v>
      </c>
      <c r="G24" s="1070">
        <v>42855</v>
      </c>
      <c r="H24" s="208">
        <v>60</v>
      </c>
      <c r="I24" s="208"/>
      <c r="J24" s="208">
        <v>0</v>
      </c>
      <c r="K24" s="207" t="s">
        <v>5065</v>
      </c>
      <c r="L24" s="206" t="s">
        <v>5045</v>
      </c>
      <c r="M24" s="206" t="s">
        <v>5068</v>
      </c>
      <c r="N24" s="206" t="s">
        <v>5069</v>
      </c>
      <c r="O24" s="202"/>
      <c r="P24" s="88"/>
      <c r="Q24" s="84"/>
      <c r="R24" s="88"/>
      <c r="S24" s="84"/>
      <c r="T24" s="84"/>
    </row>
    <row r="25" spans="2:20" ht="15.75" customHeight="1" x14ac:dyDescent="0.4">
      <c r="B25" s="203">
        <v>43218</v>
      </c>
      <c r="C25" s="211" t="s">
        <v>5070</v>
      </c>
      <c r="D25" s="206"/>
      <c r="E25" s="206"/>
      <c r="F25" s="210" t="s">
        <v>5071</v>
      </c>
      <c r="G25" s="1070">
        <v>42898</v>
      </c>
      <c r="H25" s="208">
        <v>60</v>
      </c>
      <c r="I25" s="208"/>
      <c r="J25" s="208">
        <v>0</v>
      </c>
      <c r="K25" s="207" t="s">
        <v>5072</v>
      </c>
      <c r="L25" s="206"/>
      <c r="M25" s="206" t="s">
        <v>5073</v>
      </c>
      <c r="N25" s="206" t="s">
        <v>5074</v>
      </c>
      <c r="O25" s="205"/>
      <c r="P25" s="204"/>
      <c r="Q25" s="206"/>
      <c r="R25" s="88"/>
      <c r="S25" s="84"/>
      <c r="T25" s="84"/>
    </row>
    <row r="26" spans="2:20" ht="15.75" customHeight="1" x14ac:dyDescent="0.4">
      <c r="B26" s="203"/>
      <c r="C26" s="211" t="s">
        <v>5075</v>
      </c>
      <c r="D26" s="206"/>
      <c r="E26" s="206" t="s">
        <v>174</v>
      </c>
      <c r="F26" s="210" t="s">
        <v>5076</v>
      </c>
      <c r="G26" s="1070">
        <v>42909</v>
      </c>
      <c r="H26" s="208">
        <v>100</v>
      </c>
      <c r="I26" s="208"/>
      <c r="J26" s="208">
        <v>0</v>
      </c>
      <c r="K26" s="207" t="s">
        <v>5077</v>
      </c>
      <c r="L26" s="206" t="s">
        <v>4664</v>
      </c>
      <c r="M26" s="206" t="s">
        <v>5078</v>
      </c>
      <c r="N26" s="206" t="s">
        <v>5079</v>
      </c>
      <c r="O26" s="205"/>
      <c r="P26" s="204" t="s">
        <v>5080</v>
      </c>
      <c r="Q26" s="84"/>
      <c r="R26" s="88"/>
      <c r="S26" s="84"/>
      <c r="T26" s="84"/>
    </row>
    <row r="27" spans="2:20" ht="15.75" customHeight="1" x14ac:dyDescent="0.35">
      <c r="B27" s="203"/>
      <c r="C27" s="93" t="s">
        <v>5081</v>
      </c>
      <c r="D27" s="84"/>
      <c r="E27" s="84"/>
      <c r="F27" s="87" t="s">
        <v>5082</v>
      </c>
      <c r="G27" s="1069">
        <v>42989</v>
      </c>
      <c r="H27" s="4">
        <v>20</v>
      </c>
      <c r="I27" s="4"/>
      <c r="J27" s="4">
        <v>0</v>
      </c>
      <c r="K27" s="3" t="s">
        <v>4134</v>
      </c>
      <c r="L27" s="84"/>
      <c r="M27" s="84" t="s">
        <v>4494</v>
      </c>
      <c r="N27" s="84" t="s">
        <v>5083</v>
      </c>
      <c r="O27" s="202"/>
      <c r="P27" s="88"/>
      <c r="Q27" s="84"/>
      <c r="R27" s="88"/>
      <c r="S27" s="84"/>
      <c r="T27" s="84"/>
    </row>
    <row r="28" spans="2:20" ht="15.75" customHeight="1" x14ac:dyDescent="0.4">
      <c r="B28" s="203">
        <v>43269</v>
      </c>
      <c r="C28" s="211" t="s">
        <v>5084</v>
      </c>
      <c r="D28" s="206"/>
      <c r="E28" s="206"/>
      <c r="F28" s="210" t="s">
        <v>5085</v>
      </c>
      <c r="G28" s="1070">
        <v>43054</v>
      </c>
      <c r="H28" s="208">
        <v>40</v>
      </c>
      <c r="I28" s="208"/>
      <c r="J28" s="208">
        <v>0</v>
      </c>
      <c r="K28" s="207" t="s">
        <v>5086</v>
      </c>
      <c r="L28" s="206" t="s">
        <v>4664</v>
      </c>
      <c r="M28" s="206" t="s">
        <v>4065</v>
      </c>
      <c r="N28" s="206" t="s">
        <v>5087</v>
      </c>
      <c r="O28" s="205"/>
      <c r="P28" s="204"/>
      <c r="Q28" s="84"/>
      <c r="R28" s="88"/>
      <c r="S28" s="84"/>
      <c r="T28" s="84"/>
    </row>
    <row r="29" spans="2:20" ht="15.75" customHeight="1" x14ac:dyDescent="0.4">
      <c r="B29" s="203">
        <v>43473</v>
      </c>
      <c r="C29" s="211" t="s">
        <v>5088</v>
      </c>
      <c r="D29" s="206"/>
      <c r="E29" s="206"/>
      <c r="F29" s="210" t="s">
        <v>5089</v>
      </c>
      <c r="G29" s="1070">
        <v>43067</v>
      </c>
      <c r="H29" s="208">
        <v>40</v>
      </c>
      <c r="I29" s="208"/>
      <c r="J29" s="208">
        <v>0</v>
      </c>
      <c r="K29" s="207" t="s">
        <v>5090</v>
      </c>
      <c r="L29" s="206" t="s">
        <v>4664</v>
      </c>
      <c r="M29" s="206" t="s">
        <v>4047</v>
      </c>
      <c r="N29" s="206" t="s">
        <v>5091</v>
      </c>
      <c r="O29" s="205"/>
      <c r="P29" s="204" t="s">
        <v>5092</v>
      </c>
      <c r="Q29" s="84"/>
      <c r="R29" s="88"/>
      <c r="S29" s="84"/>
      <c r="T29" s="84"/>
    </row>
    <row r="30" spans="2:20" ht="15.75" customHeight="1" x14ac:dyDescent="0.35">
      <c r="B30" s="203"/>
      <c r="C30" s="240" t="s">
        <v>5088</v>
      </c>
      <c r="D30" s="607"/>
      <c r="E30" s="607" t="s">
        <v>5093</v>
      </c>
      <c r="F30" s="608" t="s">
        <v>2297</v>
      </c>
      <c r="G30" s="1072">
        <v>43068</v>
      </c>
      <c r="H30" s="609">
        <f>50+85</f>
        <v>135</v>
      </c>
      <c r="I30" s="609"/>
      <c r="J30" s="4">
        <v>0</v>
      </c>
      <c r="K30" s="287" t="s">
        <v>5094</v>
      </c>
      <c r="L30" s="45" t="s">
        <v>5045</v>
      </c>
      <c r="M30" s="45" t="s">
        <v>3985</v>
      </c>
      <c r="N30" s="45" t="s">
        <v>5095</v>
      </c>
      <c r="P30" s="48" t="s">
        <v>5096</v>
      </c>
      <c r="Q30" s="45" t="s">
        <v>5097</v>
      </c>
      <c r="R30" s="45" t="s">
        <v>5098</v>
      </c>
      <c r="S30" s="45" t="s">
        <v>4376</v>
      </c>
    </row>
    <row r="31" spans="2:20" ht="15.75" customHeight="1" x14ac:dyDescent="0.35">
      <c r="B31" s="203"/>
      <c r="C31" s="240"/>
      <c r="D31" s="607"/>
      <c r="E31" s="607" t="s">
        <v>5099</v>
      </c>
      <c r="F31" s="608"/>
      <c r="G31" s="1072"/>
      <c r="H31" s="609"/>
      <c r="I31" s="609"/>
      <c r="J31" s="4"/>
      <c r="K31" s="287"/>
      <c r="P31" s="48"/>
    </row>
    <row r="33" spans="2:16" ht="15.75" customHeight="1" x14ac:dyDescent="0.35">
      <c r="B33" s="203" t="s">
        <v>1141</v>
      </c>
      <c r="C33" s="93" t="s">
        <v>5100</v>
      </c>
      <c r="D33" s="607"/>
      <c r="E33" s="96"/>
      <c r="F33" s="637" t="s">
        <v>5101</v>
      </c>
      <c r="G33" s="1069">
        <v>43429</v>
      </c>
      <c r="H33" s="6">
        <v>120</v>
      </c>
      <c r="I33" s="6"/>
      <c r="J33" s="6">
        <v>0</v>
      </c>
      <c r="K33" s="638" t="s">
        <v>5102</v>
      </c>
      <c r="L33" s="45" t="s">
        <v>4664</v>
      </c>
      <c r="M33" s="45" t="s">
        <v>4165</v>
      </c>
      <c r="N33" s="45" t="s">
        <v>5103</v>
      </c>
      <c r="O33" s="48" t="s">
        <v>5104</v>
      </c>
      <c r="P33" s="48" t="s">
        <v>5105</v>
      </c>
    </row>
    <row r="34" spans="2:16" ht="15.75" customHeight="1" x14ac:dyDescent="0.35">
      <c r="B34" s="203"/>
      <c r="C34" s="240"/>
      <c r="D34" s="607"/>
      <c r="E34" s="607"/>
      <c r="F34" s="608"/>
      <c r="G34" s="1072"/>
      <c r="H34" s="609"/>
      <c r="I34" s="609"/>
      <c r="J34" s="4"/>
      <c r="K34" s="287"/>
      <c r="P34" s="48"/>
    </row>
    <row r="35" spans="2:16" ht="15.75" customHeight="1" x14ac:dyDescent="0.35">
      <c r="B35" s="203"/>
      <c r="C35" s="240"/>
      <c r="D35" s="607"/>
      <c r="E35" s="607"/>
      <c r="F35" s="608"/>
      <c r="G35" s="1072"/>
      <c r="H35" s="609"/>
      <c r="I35" s="609"/>
      <c r="J35" s="4"/>
      <c r="K35" s="287"/>
      <c r="P35" s="48"/>
    </row>
    <row r="36" spans="2:16" ht="15.75" customHeight="1" x14ac:dyDescent="0.35">
      <c r="B36" s="203"/>
      <c r="C36" s="93" t="s">
        <v>209</v>
      </c>
      <c r="D36" s="96"/>
      <c r="E36" s="96" t="s">
        <v>174</v>
      </c>
      <c r="F36" s="637" t="s">
        <v>5106</v>
      </c>
      <c r="G36" s="1069">
        <v>43143</v>
      </c>
      <c r="H36" s="6">
        <v>30</v>
      </c>
      <c r="I36" s="6"/>
      <c r="J36" s="6">
        <v>0</v>
      </c>
      <c r="K36" s="638" t="s">
        <v>5107</v>
      </c>
      <c r="L36" s="49" t="s">
        <v>4664</v>
      </c>
      <c r="M36" s="49" t="s">
        <v>4467</v>
      </c>
      <c r="N36" s="49" t="s">
        <v>4264</v>
      </c>
      <c r="O36" s="639" t="s">
        <v>4895</v>
      </c>
      <c r="P36" s="48" t="s">
        <v>5108</v>
      </c>
    </row>
    <row r="37" spans="2:16" ht="15.75" customHeight="1" x14ac:dyDescent="0.35">
      <c r="B37" s="203"/>
      <c r="C37" s="93" t="s">
        <v>209</v>
      </c>
      <c r="D37" s="607"/>
      <c r="E37" s="607" t="s">
        <v>174</v>
      </c>
      <c r="F37" s="608" t="s">
        <v>5109</v>
      </c>
      <c r="G37" s="1072">
        <v>43380</v>
      </c>
      <c r="H37" s="609">
        <v>75</v>
      </c>
      <c r="I37" s="609"/>
      <c r="J37" s="4">
        <v>0</v>
      </c>
      <c r="K37" s="287" t="s">
        <v>5110</v>
      </c>
      <c r="L37" s="45" t="s">
        <v>5045</v>
      </c>
      <c r="M37" s="45" t="s">
        <v>4443</v>
      </c>
      <c r="N37" s="45" t="s">
        <v>5111</v>
      </c>
      <c r="O37" s="48" t="s">
        <v>4749</v>
      </c>
      <c r="P37" s="48"/>
    </row>
    <row r="38" spans="2:16" ht="15.75" customHeight="1" x14ac:dyDescent="0.35">
      <c r="B38" s="203"/>
      <c r="C38" s="240"/>
      <c r="D38" s="607"/>
      <c r="E38" s="607"/>
      <c r="F38" s="608"/>
      <c r="G38" s="1072"/>
      <c r="H38" s="609"/>
      <c r="I38" s="609"/>
      <c r="J38" s="4"/>
      <c r="K38" s="287"/>
      <c r="P38" s="48"/>
    </row>
    <row r="39" spans="2:16" ht="15.75" customHeight="1" x14ac:dyDescent="0.35">
      <c r="B39" s="203"/>
      <c r="C39" s="240"/>
      <c r="D39" s="607"/>
      <c r="E39" s="607"/>
      <c r="F39" s="608"/>
      <c r="G39" s="1072"/>
      <c r="H39" s="609"/>
      <c r="I39" s="609"/>
      <c r="J39" s="4"/>
      <c r="K39" s="287"/>
      <c r="P39" s="48"/>
    </row>
    <row r="40" spans="2:16" ht="15.75" customHeight="1" x14ac:dyDescent="0.35">
      <c r="B40" s="203"/>
      <c r="C40" s="216" t="s">
        <v>734</v>
      </c>
      <c r="D40" s="215"/>
      <c r="E40" s="215" t="s">
        <v>3272</v>
      </c>
      <c r="F40" s="214" t="s">
        <v>5112</v>
      </c>
      <c r="G40" s="1071">
        <v>43080</v>
      </c>
      <c r="H40" s="213">
        <v>50</v>
      </c>
      <c r="I40" s="213"/>
      <c r="J40" s="4" t="s">
        <v>5113</v>
      </c>
      <c r="K40" s="287" t="s">
        <v>5114</v>
      </c>
      <c r="P40" s="48"/>
    </row>
    <row r="41" spans="2:16" ht="15.75" customHeight="1" x14ac:dyDescent="0.35">
      <c r="B41" s="203"/>
      <c r="C41" s="93" t="s">
        <v>734</v>
      </c>
      <c r="D41" s="84"/>
      <c r="E41" s="84" t="s">
        <v>3267</v>
      </c>
      <c r="F41" s="87" t="s">
        <v>5115</v>
      </c>
      <c r="G41" s="1069">
        <v>43085</v>
      </c>
      <c r="H41" s="4">
        <v>50</v>
      </c>
      <c r="I41" s="4">
        <v>50</v>
      </c>
      <c r="J41" s="4" t="s">
        <v>5116</v>
      </c>
      <c r="K41" s="287" t="s">
        <v>3136</v>
      </c>
      <c r="L41" s="45" t="s">
        <v>5117</v>
      </c>
      <c r="P41" s="48"/>
    </row>
    <row r="42" spans="2:16" ht="15.75" customHeight="1" x14ac:dyDescent="0.35">
      <c r="B42" s="203"/>
      <c r="C42" s="93"/>
      <c r="D42" s="84"/>
      <c r="E42" s="84"/>
      <c r="F42" s="87"/>
      <c r="G42" s="1069"/>
      <c r="H42" s="4"/>
      <c r="I42" s="4"/>
      <c r="J42" s="4"/>
      <c r="K42" s="287"/>
      <c r="P42" s="48"/>
    </row>
    <row r="43" spans="2:16" ht="15.75" customHeight="1" x14ac:dyDescent="0.35">
      <c r="B43" s="203"/>
      <c r="C43" s="216" t="s">
        <v>734</v>
      </c>
      <c r="D43" s="215"/>
      <c r="E43" s="215" t="s">
        <v>3266</v>
      </c>
      <c r="F43" s="214" t="s">
        <v>5118</v>
      </c>
      <c r="G43" s="1071">
        <v>43085</v>
      </c>
      <c r="H43" s="213">
        <v>50</v>
      </c>
      <c r="I43" s="213"/>
      <c r="J43" s="4" t="s">
        <v>5119</v>
      </c>
      <c r="K43" s="45" t="s">
        <v>3177</v>
      </c>
      <c r="P43" s="48"/>
    </row>
    <row r="44" spans="2:16" ht="15.75" customHeight="1" x14ac:dyDescent="0.35">
      <c r="B44" s="203"/>
      <c r="C44" s="216" t="s">
        <v>734</v>
      </c>
      <c r="D44" s="215"/>
      <c r="E44" s="215" t="s">
        <v>3268</v>
      </c>
      <c r="F44" s="214" t="s">
        <v>5120</v>
      </c>
      <c r="G44" s="1071">
        <v>43083</v>
      </c>
      <c r="H44" s="213">
        <v>50</v>
      </c>
      <c r="I44" s="213"/>
      <c r="J44" s="4" t="s">
        <v>5121</v>
      </c>
      <c r="K44" s="287" t="s">
        <v>5122</v>
      </c>
      <c r="P44" s="48"/>
    </row>
    <row r="45" spans="2:16" ht="15.75" customHeight="1" x14ac:dyDescent="0.35">
      <c r="B45" s="203"/>
      <c r="C45" s="93" t="s">
        <v>734</v>
      </c>
      <c r="D45" s="84"/>
      <c r="E45" s="215" t="s">
        <v>2933</v>
      </c>
      <c r="F45" s="214" t="s">
        <v>5123</v>
      </c>
      <c r="G45" s="1071">
        <v>43090</v>
      </c>
      <c r="H45" s="213">
        <v>50</v>
      </c>
      <c r="I45" s="213"/>
      <c r="J45" s="4" t="s">
        <v>5124</v>
      </c>
      <c r="K45" s="287" t="s">
        <v>5125</v>
      </c>
      <c r="P45" s="48"/>
    </row>
    <row r="46" spans="2:16" ht="15.75" customHeight="1" x14ac:dyDescent="0.35">
      <c r="B46" s="203"/>
      <c r="C46" s="216" t="s">
        <v>734</v>
      </c>
      <c r="D46" s="215"/>
      <c r="E46" s="215" t="s">
        <v>3258</v>
      </c>
      <c r="F46" s="214" t="s">
        <v>5126</v>
      </c>
      <c r="G46" s="1071">
        <v>43093</v>
      </c>
      <c r="H46" s="213">
        <v>50</v>
      </c>
      <c r="I46" s="213"/>
      <c r="J46" s="4" t="s">
        <v>5127</v>
      </c>
      <c r="K46" s="287" t="s">
        <v>3023</v>
      </c>
      <c r="P46" s="48"/>
    </row>
    <row r="47" spans="2:16" ht="15.75" customHeight="1" x14ac:dyDescent="0.35">
      <c r="B47" s="203"/>
      <c r="C47" s="216" t="s">
        <v>734</v>
      </c>
      <c r="D47" s="215"/>
      <c r="E47" s="215" t="s">
        <v>3255</v>
      </c>
      <c r="F47" s="214" t="s">
        <v>5128</v>
      </c>
      <c r="G47" s="1071">
        <v>43096</v>
      </c>
      <c r="H47" s="213">
        <v>150</v>
      </c>
      <c r="I47" s="213"/>
      <c r="J47" s="4" t="s">
        <v>5129</v>
      </c>
      <c r="K47" s="287" t="s">
        <v>3162</v>
      </c>
      <c r="P47" s="48"/>
    </row>
    <row r="48" spans="2:16" ht="15.75" customHeight="1" x14ac:dyDescent="0.35">
      <c r="B48" s="203"/>
      <c r="C48" s="216" t="s">
        <v>734</v>
      </c>
      <c r="D48" s="215"/>
      <c r="E48" s="215" t="s">
        <v>3215</v>
      </c>
      <c r="F48" s="214" t="s">
        <v>5130</v>
      </c>
      <c r="G48" s="1071">
        <v>43105</v>
      </c>
      <c r="H48" s="213">
        <v>150</v>
      </c>
      <c r="I48" s="213"/>
      <c r="J48" s="4" t="s">
        <v>5131</v>
      </c>
      <c r="K48" s="45" t="s">
        <v>5132</v>
      </c>
      <c r="P48" s="48"/>
    </row>
    <row r="49" spans="3:11" ht="15.75" customHeight="1" x14ac:dyDescent="0.35">
      <c r="C49" s="93" t="s">
        <v>734</v>
      </c>
      <c r="D49" s="84"/>
      <c r="E49" s="84" t="s">
        <v>3129</v>
      </c>
      <c r="F49" s="87" t="s">
        <v>5133</v>
      </c>
      <c r="G49" s="1069">
        <v>43166</v>
      </c>
      <c r="H49" s="4">
        <v>150</v>
      </c>
      <c r="I49" s="4">
        <v>150</v>
      </c>
      <c r="J49" s="4"/>
      <c r="K49" s="287"/>
    </row>
    <row r="50" spans="3:11" x14ac:dyDescent="0.35">
      <c r="C50" s="93" t="s">
        <v>734</v>
      </c>
      <c r="D50" s="84"/>
      <c r="E50" s="84" t="s">
        <v>3121</v>
      </c>
      <c r="F50" s="87" t="s">
        <v>5134</v>
      </c>
      <c r="G50" s="1069">
        <v>43171</v>
      </c>
      <c r="H50" s="4">
        <v>50</v>
      </c>
      <c r="I50" s="4">
        <v>50</v>
      </c>
      <c r="J50" s="4"/>
    </row>
    <row r="51" spans="3:11" x14ac:dyDescent="0.35">
      <c r="C51" s="93" t="s">
        <v>734</v>
      </c>
      <c r="D51" s="84"/>
      <c r="E51" s="84" t="s">
        <v>3105</v>
      </c>
      <c r="F51" s="87" t="s">
        <v>5135</v>
      </c>
      <c r="G51" s="1069">
        <v>43186</v>
      </c>
      <c r="H51" s="4">
        <v>300</v>
      </c>
      <c r="I51" s="4">
        <v>300</v>
      </c>
      <c r="J51" s="4"/>
    </row>
    <row r="52" spans="3:11" x14ac:dyDescent="0.35">
      <c r="C52" s="216" t="s">
        <v>734</v>
      </c>
      <c r="D52" s="215"/>
      <c r="E52" s="215" t="s">
        <v>784</v>
      </c>
      <c r="F52" s="214" t="s">
        <v>5136</v>
      </c>
      <c r="G52" s="1071">
        <v>43269</v>
      </c>
      <c r="H52" s="213">
        <v>50</v>
      </c>
      <c r="I52" s="213"/>
      <c r="J52" s="4" t="s">
        <v>5137</v>
      </c>
    </row>
    <row r="53" spans="3:11" x14ac:dyDescent="0.35">
      <c r="C53" s="216" t="s">
        <v>734</v>
      </c>
      <c r="D53" s="215"/>
      <c r="E53" s="215" t="s">
        <v>2999</v>
      </c>
      <c r="F53" s="214" t="s">
        <v>5138</v>
      </c>
      <c r="G53" s="1071">
        <v>43318</v>
      </c>
      <c r="H53" s="213">
        <v>50</v>
      </c>
      <c r="I53" s="213"/>
      <c r="J53" s="4" t="s">
        <v>5139</v>
      </c>
      <c r="K53" s="84" t="s">
        <v>5140</v>
      </c>
    </row>
    <row r="54" spans="3:11" x14ac:dyDescent="0.35">
      <c r="C54" s="93" t="s">
        <v>734</v>
      </c>
      <c r="D54" s="84"/>
      <c r="E54" s="84" t="s">
        <v>2904</v>
      </c>
      <c r="F54" s="87" t="s">
        <v>5141</v>
      </c>
      <c r="G54" s="1069">
        <v>43430</v>
      </c>
      <c r="H54" s="4">
        <v>200</v>
      </c>
      <c r="I54" s="4">
        <v>200</v>
      </c>
      <c r="J54" s="4"/>
    </row>
    <row r="55" spans="3:11" x14ac:dyDescent="0.35">
      <c r="C55" s="216" t="s">
        <v>734</v>
      </c>
      <c r="D55" s="215"/>
      <c r="E55" s="215" t="s">
        <v>2896</v>
      </c>
      <c r="F55" s="214" t="s">
        <v>5142</v>
      </c>
      <c r="G55" s="1071">
        <v>43444</v>
      </c>
      <c r="H55" s="213">
        <v>30</v>
      </c>
      <c r="I55" s="213"/>
      <c r="J55" s="4" t="s">
        <v>5143</v>
      </c>
      <c r="K55" s="84" t="s">
        <v>5144</v>
      </c>
    </row>
    <row r="56" spans="3:11" x14ac:dyDescent="0.35">
      <c r="C56" s="216" t="s">
        <v>734</v>
      </c>
      <c r="D56" s="215"/>
      <c r="E56" s="215" t="s">
        <v>2888</v>
      </c>
      <c r="F56" s="214" t="s">
        <v>5145</v>
      </c>
      <c r="G56" s="1071">
        <v>43447</v>
      </c>
      <c r="H56" s="213">
        <v>100</v>
      </c>
      <c r="I56" s="213"/>
      <c r="J56" s="213" t="s">
        <v>5146</v>
      </c>
      <c r="K56" s="215" t="s">
        <v>5147</v>
      </c>
    </row>
    <row r="57" spans="3:11" x14ac:dyDescent="0.35">
      <c r="C57" s="216" t="s">
        <v>734</v>
      </c>
      <c r="D57" s="215"/>
      <c r="E57" s="215" t="s">
        <v>2886</v>
      </c>
      <c r="F57" s="214" t="s">
        <v>5148</v>
      </c>
      <c r="G57" s="1071">
        <v>43449</v>
      </c>
      <c r="H57" s="213">
        <v>250</v>
      </c>
      <c r="I57" s="213"/>
      <c r="J57" s="213"/>
      <c r="K57" s="215" t="s">
        <v>5149</v>
      </c>
    </row>
    <row r="58" spans="3:11" x14ac:dyDescent="0.35">
      <c r="C58" s="216" t="s">
        <v>734</v>
      </c>
      <c r="D58" s="215"/>
      <c r="E58" s="215" t="s">
        <v>2885</v>
      </c>
      <c r="F58" s="214" t="s">
        <v>5150</v>
      </c>
      <c r="G58" s="1071">
        <v>43449</v>
      </c>
      <c r="H58" s="213">
        <v>50</v>
      </c>
      <c r="I58" s="213"/>
      <c r="J58" s="4" t="s">
        <v>5151</v>
      </c>
      <c r="K58" s="84" t="s">
        <v>5152</v>
      </c>
    </row>
    <row r="59" spans="3:11" x14ac:dyDescent="0.35">
      <c r="C59" s="93" t="s">
        <v>734</v>
      </c>
      <c r="D59" s="84"/>
      <c r="E59" s="84" t="s">
        <v>2883</v>
      </c>
      <c r="F59" s="87" t="s">
        <v>5153</v>
      </c>
      <c r="G59" s="1069">
        <v>43450</v>
      </c>
      <c r="H59" s="4">
        <v>25</v>
      </c>
      <c r="I59" s="4">
        <v>25</v>
      </c>
      <c r="J59" s="4"/>
    </row>
    <row r="60" spans="3:11" x14ac:dyDescent="0.35">
      <c r="C60" s="93" t="s">
        <v>734</v>
      </c>
      <c r="D60" s="84"/>
      <c r="E60" s="84" t="s">
        <v>2883</v>
      </c>
      <c r="F60" s="87" t="s">
        <v>5154</v>
      </c>
      <c r="G60" s="1069">
        <v>43450</v>
      </c>
      <c r="H60" s="4">
        <v>50</v>
      </c>
      <c r="I60" s="4">
        <v>50</v>
      </c>
      <c r="J60" s="4"/>
    </row>
    <row r="61" spans="3:11" x14ac:dyDescent="0.35">
      <c r="C61" s="93" t="s">
        <v>734</v>
      </c>
      <c r="D61" s="84"/>
      <c r="E61" s="84" t="s">
        <v>2880</v>
      </c>
      <c r="F61" s="87" t="s">
        <v>5155</v>
      </c>
      <c r="G61" s="1069">
        <v>43453</v>
      </c>
      <c r="H61" s="4">
        <v>50</v>
      </c>
      <c r="I61" s="4">
        <v>50</v>
      </c>
      <c r="J61" s="4"/>
    </row>
    <row r="62" spans="3:11" x14ac:dyDescent="0.35">
      <c r="C62" s="93" t="s">
        <v>734</v>
      </c>
      <c r="D62" s="84"/>
      <c r="E62" s="84" t="s">
        <v>2880</v>
      </c>
      <c r="F62" s="87" t="s">
        <v>5156</v>
      </c>
      <c r="G62" s="1069">
        <v>43453</v>
      </c>
      <c r="H62" s="4">
        <v>25</v>
      </c>
      <c r="I62" s="4">
        <v>25</v>
      </c>
      <c r="J62" s="4"/>
    </row>
    <row r="63" spans="3:11" x14ac:dyDescent="0.35">
      <c r="C63" s="216" t="s">
        <v>734</v>
      </c>
      <c r="D63" s="215"/>
      <c r="E63" s="215" t="s">
        <v>2879</v>
      </c>
      <c r="F63" s="214" t="s">
        <v>5157</v>
      </c>
      <c r="G63" s="1071">
        <v>43453</v>
      </c>
      <c r="H63" s="213">
        <v>30</v>
      </c>
      <c r="I63" s="213"/>
      <c r="J63" s="4" t="s">
        <v>5158</v>
      </c>
      <c r="K63" s="84" t="s">
        <v>2818</v>
      </c>
    </row>
    <row r="64" spans="3:11" x14ac:dyDescent="0.35">
      <c r="C64" s="93" t="s">
        <v>734</v>
      </c>
      <c r="D64" s="84"/>
      <c r="E64" s="84" t="s">
        <v>2876</v>
      </c>
      <c r="F64" s="87" t="s">
        <v>5159</v>
      </c>
      <c r="G64" s="1069">
        <v>43455</v>
      </c>
      <c r="H64" s="4">
        <v>100</v>
      </c>
      <c r="I64" s="4">
        <v>100</v>
      </c>
      <c r="J64" s="4"/>
    </row>
    <row r="65" spans="3:11" x14ac:dyDescent="0.35">
      <c r="C65" s="216" t="s">
        <v>734</v>
      </c>
      <c r="D65" s="215"/>
      <c r="E65" s="215" t="s">
        <v>2872</v>
      </c>
      <c r="F65" s="214" t="s">
        <v>5160</v>
      </c>
      <c r="G65" s="1071">
        <v>43459</v>
      </c>
      <c r="H65" s="213">
        <v>30</v>
      </c>
      <c r="I65" s="213"/>
      <c r="J65" s="4" t="s">
        <v>5161</v>
      </c>
      <c r="K65" s="84" t="s">
        <v>2840</v>
      </c>
    </row>
    <row r="66" spans="3:11" x14ac:dyDescent="0.35">
      <c r="C66" s="216" t="s">
        <v>734</v>
      </c>
      <c r="D66" s="215"/>
      <c r="E66" s="215" t="s">
        <v>2216</v>
      </c>
      <c r="F66" s="214" t="s">
        <v>5162</v>
      </c>
      <c r="G66" s="1071">
        <v>43558</v>
      </c>
      <c r="H66" s="213">
        <v>50</v>
      </c>
      <c r="I66" s="213"/>
      <c r="J66" s="213" t="s">
        <v>5163</v>
      </c>
      <c r="K66" s="215" t="s">
        <v>2433</v>
      </c>
    </row>
    <row r="67" spans="3:11" x14ac:dyDescent="0.35">
      <c r="C67" s="216" t="s">
        <v>734</v>
      </c>
      <c r="D67" s="215"/>
      <c r="E67" s="215" t="s">
        <v>2760</v>
      </c>
      <c r="F67" s="214" t="s">
        <v>5164</v>
      </c>
      <c r="G67" s="1071">
        <v>43565</v>
      </c>
      <c r="H67" s="213">
        <v>100</v>
      </c>
      <c r="I67" s="213"/>
      <c r="J67" s="4" t="s">
        <v>5165</v>
      </c>
      <c r="K67" s="84" t="s">
        <v>2497</v>
      </c>
    </row>
    <row r="68" spans="3:11" x14ac:dyDescent="0.35">
      <c r="C68" s="216" t="s">
        <v>734</v>
      </c>
      <c r="D68" s="215"/>
      <c r="E68" s="215" t="s">
        <v>2739</v>
      </c>
      <c r="F68" s="214" t="s">
        <v>5166</v>
      </c>
      <c r="G68" s="1071">
        <v>43584</v>
      </c>
      <c r="H68" s="213">
        <v>30</v>
      </c>
      <c r="I68" s="213"/>
      <c r="J68" s="4" t="s">
        <v>5167</v>
      </c>
      <c r="K68" s="84" t="s">
        <v>2662</v>
      </c>
    </row>
    <row r="69" spans="3:11" x14ac:dyDescent="0.35">
      <c r="C69" s="93" t="s">
        <v>734</v>
      </c>
      <c r="D69" s="84"/>
      <c r="E69" s="84" t="s">
        <v>2720</v>
      </c>
      <c r="F69" s="87" t="s">
        <v>5168</v>
      </c>
      <c r="G69" s="1069">
        <v>43607</v>
      </c>
      <c r="H69" s="4">
        <v>30</v>
      </c>
      <c r="I69" s="4">
        <v>30</v>
      </c>
      <c r="J69" s="4"/>
    </row>
    <row r="70" spans="3:11" x14ac:dyDescent="0.35">
      <c r="C70" s="216" t="s">
        <v>734</v>
      </c>
      <c r="D70" s="215"/>
      <c r="E70" s="215" t="s">
        <v>2633</v>
      </c>
      <c r="F70" s="214" t="s">
        <v>5169</v>
      </c>
      <c r="G70" s="1071">
        <v>43715</v>
      </c>
      <c r="H70" s="213">
        <v>425</v>
      </c>
      <c r="I70" s="213"/>
      <c r="J70" s="4" t="s">
        <v>5170</v>
      </c>
      <c r="K70" s="84" t="s">
        <v>2616</v>
      </c>
    </row>
    <row r="71" spans="3:11" x14ac:dyDescent="0.35">
      <c r="C71" s="93" t="s">
        <v>734</v>
      </c>
      <c r="D71" s="84"/>
      <c r="E71" s="84" t="s">
        <v>2628</v>
      </c>
      <c r="F71" s="87" t="s">
        <v>5171</v>
      </c>
      <c r="G71" s="1069">
        <v>43719</v>
      </c>
      <c r="H71" s="4">
        <v>250</v>
      </c>
      <c r="I71" s="4">
        <v>250</v>
      </c>
      <c r="J71" s="4"/>
      <c r="K71" s="84" t="s">
        <v>2095</v>
      </c>
    </row>
    <row r="72" spans="3:11" x14ac:dyDescent="0.35">
      <c r="C72" s="216" t="s">
        <v>734</v>
      </c>
      <c r="D72" s="215"/>
      <c r="E72" s="215" t="s">
        <v>2592</v>
      </c>
      <c r="F72" s="214" t="s">
        <v>5172</v>
      </c>
      <c r="G72" s="1071">
        <v>43773</v>
      </c>
      <c r="H72" s="213">
        <v>50</v>
      </c>
      <c r="I72" s="4">
        <v>0</v>
      </c>
      <c r="J72" s="4" t="s">
        <v>5173</v>
      </c>
      <c r="K72" s="84" t="s">
        <v>1187</v>
      </c>
    </row>
    <row r="73" spans="3:11" x14ac:dyDescent="0.35">
      <c r="C73" s="216" t="s">
        <v>734</v>
      </c>
      <c r="D73" s="215"/>
      <c r="E73" s="215" t="s">
        <v>2555</v>
      </c>
      <c r="F73" s="214" t="s">
        <v>5174</v>
      </c>
      <c r="G73" s="1071">
        <v>43809</v>
      </c>
      <c r="H73" s="213">
        <v>350</v>
      </c>
      <c r="I73" s="213">
        <v>0</v>
      </c>
      <c r="J73" s="4" t="s">
        <v>5175</v>
      </c>
      <c r="K73" s="84" t="s">
        <v>2167</v>
      </c>
    </row>
    <row r="74" spans="3:11" x14ac:dyDescent="0.35">
      <c r="C74" s="216" t="s">
        <v>734</v>
      </c>
      <c r="D74" s="215"/>
      <c r="E74" s="215" t="s">
        <v>2549</v>
      </c>
      <c r="F74" s="214" t="s">
        <v>5176</v>
      </c>
      <c r="G74" s="1071">
        <v>43816</v>
      </c>
      <c r="H74" s="213">
        <v>75</v>
      </c>
      <c r="I74" s="213">
        <v>0</v>
      </c>
      <c r="J74" s="4" t="s">
        <v>5177</v>
      </c>
      <c r="K74" s="84" t="s">
        <v>351</v>
      </c>
    </row>
    <row r="75" spans="3:11" x14ac:dyDescent="0.35">
      <c r="C75" s="93" t="s">
        <v>734</v>
      </c>
      <c r="D75" s="84"/>
      <c r="E75" s="84" t="s">
        <v>2548</v>
      </c>
      <c r="F75" s="87" t="s">
        <v>5178</v>
      </c>
      <c r="G75" s="1069">
        <v>43816</v>
      </c>
      <c r="H75" s="4">
        <v>100</v>
      </c>
      <c r="I75" s="4">
        <v>100</v>
      </c>
      <c r="J75" s="4"/>
    </row>
    <row r="76" spans="3:11" x14ac:dyDescent="0.35">
      <c r="C76" s="93" t="s">
        <v>734</v>
      </c>
      <c r="D76" s="84"/>
      <c r="E76" s="84" t="s">
        <v>2546</v>
      </c>
      <c r="F76" s="87" t="s">
        <v>5179</v>
      </c>
      <c r="G76" s="1069">
        <v>43817</v>
      </c>
      <c r="H76" s="4">
        <v>150</v>
      </c>
      <c r="I76" s="4"/>
      <c r="J76" s="4"/>
    </row>
    <row r="77" spans="3:11" x14ac:dyDescent="0.35">
      <c r="C77" s="216" t="s">
        <v>734</v>
      </c>
      <c r="D77" s="215"/>
      <c r="E77" s="215" t="s">
        <v>2545</v>
      </c>
      <c r="F77" s="214" t="s">
        <v>5180</v>
      </c>
      <c r="G77" s="1071">
        <v>43817</v>
      </c>
      <c r="H77" s="213">
        <v>50</v>
      </c>
      <c r="I77" s="213">
        <v>0</v>
      </c>
      <c r="J77" s="4" t="s">
        <v>5181</v>
      </c>
      <c r="K77" s="84" t="s">
        <v>1187</v>
      </c>
    </row>
    <row r="78" spans="3:11" x14ac:dyDescent="0.35">
      <c r="C78" s="93" t="s">
        <v>734</v>
      </c>
      <c r="D78" s="84"/>
      <c r="E78" s="84" t="s">
        <v>2543</v>
      </c>
      <c r="F78" s="87" t="s">
        <v>5182</v>
      </c>
      <c r="G78" s="1069">
        <v>43818</v>
      </c>
      <c r="H78" s="4">
        <v>50</v>
      </c>
      <c r="I78" s="4">
        <v>50</v>
      </c>
      <c r="J78" s="4"/>
    </row>
    <row r="79" spans="3:11" x14ac:dyDescent="0.35">
      <c r="C79" s="93" t="s">
        <v>734</v>
      </c>
      <c r="D79" s="84"/>
      <c r="E79" s="84" t="s">
        <v>2542</v>
      </c>
      <c r="F79" s="87" t="s">
        <v>5183</v>
      </c>
      <c r="G79" s="1069">
        <v>43819</v>
      </c>
      <c r="H79" s="4">
        <v>100</v>
      </c>
      <c r="I79" s="4">
        <v>100</v>
      </c>
      <c r="J79" s="4"/>
    </row>
    <row r="80" spans="3:11" x14ac:dyDescent="0.35">
      <c r="C80" s="93" t="s">
        <v>734</v>
      </c>
      <c r="D80" s="84"/>
      <c r="E80" s="84" t="s">
        <v>2534</v>
      </c>
      <c r="F80" s="87" t="s">
        <v>5184</v>
      </c>
      <c r="G80" s="1069">
        <v>43822</v>
      </c>
      <c r="H80" s="4">
        <v>200</v>
      </c>
      <c r="I80" s="4">
        <v>200</v>
      </c>
      <c r="J80" s="4"/>
    </row>
    <row r="82" spans="3:11" x14ac:dyDescent="0.35">
      <c r="C82" s="216" t="s">
        <v>734</v>
      </c>
      <c r="D82" s="215"/>
      <c r="E82" s="215" t="s">
        <v>2484</v>
      </c>
      <c r="F82" s="214" t="s">
        <v>5185</v>
      </c>
      <c r="G82" s="1071">
        <v>43856</v>
      </c>
      <c r="H82" s="213">
        <v>200</v>
      </c>
      <c r="I82" s="4">
        <v>90</v>
      </c>
      <c r="J82" s="4" t="s">
        <v>5186</v>
      </c>
      <c r="K82" s="84" t="s">
        <v>2392</v>
      </c>
    </row>
    <row r="83" spans="3:11" x14ac:dyDescent="0.35">
      <c r="C83" s="216" t="s">
        <v>734</v>
      </c>
      <c r="D83" s="215"/>
      <c r="E83" s="215" t="s">
        <v>2471</v>
      </c>
      <c r="F83" s="214" t="s">
        <v>5187</v>
      </c>
      <c r="G83" s="1071">
        <v>43874</v>
      </c>
      <c r="H83" s="213">
        <v>475</v>
      </c>
      <c r="I83" s="213">
        <v>0</v>
      </c>
      <c r="J83" s="4" t="s">
        <v>5188</v>
      </c>
      <c r="K83" s="84" t="s">
        <v>5189</v>
      </c>
    </row>
    <row r="84" spans="3:11" x14ac:dyDescent="0.35">
      <c r="C84" s="93" t="s">
        <v>734</v>
      </c>
      <c r="D84" s="84"/>
      <c r="E84" s="84" t="s">
        <v>2458</v>
      </c>
      <c r="F84" s="87" t="s">
        <v>5190</v>
      </c>
      <c r="G84" s="1069">
        <v>43892</v>
      </c>
      <c r="H84" s="4">
        <v>25</v>
      </c>
      <c r="I84" s="4">
        <v>25</v>
      </c>
      <c r="J84" s="4"/>
    </row>
    <row r="85" spans="3:11" x14ac:dyDescent="0.35">
      <c r="C85" s="216" t="s">
        <v>734</v>
      </c>
      <c r="D85" s="215"/>
      <c r="E85" s="215" t="s">
        <v>2456</v>
      </c>
      <c r="F85" s="214" t="s">
        <v>5191</v>
      </c>
      <c r="G85" s="1071">
        <v>43893</v>
      </c>
      <c r="H85" s="213">
        <v>150</v>
      </c>
      <c r="I85" s="213"/>
      <c r="J85" s="4" t="s">
        <v>5192</v>
      </c>
      <c r="K85" s="84" t="s">
        <v>5193</v>
      </c>
    </row>
    <row r="86" spans="3:11" x14ac:dyDescent="0.35">
      <c r="C86" s="93" t="s">
        <v>734</v>
      </c>
      <c r="D86" s="84"/>
      <c r="E86" s="84" t="s">
        <v>2424</v>
      </c>
      <c r="F86" s="87" t="s">
        <v>5194</v>
      </c>
      <c r="G86" s="1069">
        <v>43915</v>
      </c>
      <c r="H86" s="4">
        <v>30</v>
      </c>
      <c r="I86" s="4">
        <v>30</v>
      </c>
      <c r="J86" s="4"/>
    </row>
    <row r="87" spans="3:11" x14ac:dyDescent="0.35">
      <c r="C87" s="93" t="s">
        <v>734</v>
      </c>
      <c r="D87" s="84"/>
      <c r="E87" s="84" t="s">
        <v>2445</v>
      </c>
      <c r="F87" s="87" t="s">
        <v>5195</v>
      </c>
      <c r="G87" s="1069">
        <v>43918</v>
      </c>
      <c r="H87" s="4">
        <v>100</v>
      </c>
      <c r="I87" s="4">
        <v>100</v>
      </c>
      <c r="J87" s="4"/>
    </row>
    <row r="88" spans="3:11" x14ac:dyDescent="0.35">
      <c r="C88" s="93" t="s">
        <v>734</v>
      </c>
      <c r="D88" s="84"/>
      <c r="E88" s="84" t="s">
        <v>2433</v>
      </c>
      <c r="F88" s="87" t="s">
        <v>5196</v>
      </c>
      <c r="G88" s="1069">
        <v>43918</v>
      </c>
      <c r="H88" s="4">
        <v>200</v>
      </c>
      <c r="I88" s="4">
        <v>200</v>
      </c>
      <c r="J88" s="4"/>
    </row>
    <row r="89" spans="3:11" x14ac:dyDescent="0.35">
      <c r="C89" s="93" t="s">
        <v>734</v>
      </c>
      <c r="D89" s="84"/>
      <c r="E89" s="84" t="s">
        <v>1854</v>
      </c>
      <c r="F89" s="87" t="s">
        <v>5197</v>
      </c>
      <c r="G89" s="1069">
        <v>43918</v>
      </c>
      <c r="H89" s="4">
        <v>100</v>
      </c>
      <c r="I89" s="4">
        <v>100</v>
      </c>
      <c r="J89" s="4"/>
    </row>
    <row r="90" spans="3:11" x14ac:dyDescent="0.35">
      <c r="C90" s="93" t="s">
        <v>734</v>
      </c>
      <c r="D90" s="84"/>
      <c r="E90" s="84" t="s">
        <v>2231</v>
      </c>
      <c r="F90" s="87" t="s">
        <v>5198</v>
      </c>
      <c r="G90" s="1069">
        <v>43919</v>
      </c>
      <c r="H90" s="4">
        <v>50</v>
      </c>
      <c r="I90" s="4">
        <v>50</v>
      </c>
      <c r="J90" s="4"/>
    </row>
    <row r="91" spans="3:11" x14ac:dyDescent="0.35">
      <c r="C91" s="93" t="s">
        <v>734</v>
      </c>
      <c r="D91" s="84"/>
      <c r="E91" s="84" t="s">
        <v>2437</v>
      </c>
      <c r="F91" s="87" t="s">
        <v>5199</v>
      </c>
      <c r="G91" s="1069">
        <v>43935</v>
      </c>
      <c r="H91" s="4">
        <v>125</v>
      </c>
      <c r="I91" s="4">
        <v>0</v>
      </c>
      <c r="J91" s="4" t="s">
        <v>5200</v>
      </c>
      <c r="K91" s="84" t="s">
        <v>2103</v>
      </c>
    </row>
    <row r="92" spans="3:11" x14ac:dyDescent="0.35">
      <c r="C92" s="93" t="s">
        <v>734</v>
      </c>
      <c r="D92" s="84"/>
      <c r="E92" s="84" t="s">
        <v>2427</v>
      </c>
      <c r="F92" s="87" t="s">
        <v>5201</v>
      </c>
      <c r="G92" s="1069">
        <v>43952</v>
      </c>
      <c r="H92" s="4">
        <v>125</v>
      </c>
      <c r="I92" s="4">
        <v>125</v>
      </c>
      <c r="J92" s="4"/>
    </row>
    <row r="93" spans="3:11" x14ac:dyDescent="0.35">
      <c r="C93" s="93" t="s">
        <v>734</v>
      </c>
      <c r="D93" s="84"/>
      <c r="E93" s="84" t="s">
        <v>2337</v>
      </c>
      <c r="F93" s="87" t="s">
        <v>5202</v>
      </c>
      <c r="G93" s="1069">
        <v>44141</v>
      </c>
      <c r="H93" s="4">
        <v>30</v>
      </c>
      <c r="I93" s="4">
        <v>30</v>
      </c>
      <c r="J93" s="4"/>
    </row>
    <row r="94" spans="3:11" x14ac:dyDescent="0.35">
      <c r="C94" s="93" t="s">
        <v>734</v>
      </c>
      <c r="D94" s="84"/>
      <c r="E94" s="84" t="s">
        <v>2337</v>
      </c>
      <c r="F94" s="87" t="s">
        <v>5203</v>
      </c>
      <c r="G94" s="1069">
        <v>44141</v>
      </c>
      <c r="H94" s="4">
        <v>5</v>
      </c>
      <c r="I94" s="4">
        <v>5</v>
      </c>
      <c r="J94" s="4"/>
    </row>
    <row r="95" spans="3:11" x14ac:dyDescent="0.35">
      <c r="C95" s="93" t="s">
        <v>734</v>
      </c>
      <c r="D95" s="84"/>
      <c r="E95" s="84" t="s">
        <v>2333</v>
      </c>
      <c r="F95" s="87" t="s">
        <v>5204</v>
      </c>
      <c r="G95" s="1069">
        <v>44145</v>
      </c>
      <c r="H95" s="4">
        <v>75</v>
      </c>
      <c r="I95" s="4">
        <v>75</v>
      </c>
      <c r="J95" s="4"/>
    </row>
    <row r="96" spans="3:11" x14ac:dyDescent="0.35">
      <c r="C96" s="93" t="s">
        <v>734</v>
      </c>
      <c r="D96" s="84"/>
      <c r="E96" s="84" t="s">
        <v>2330</v>
      </c>
      <c r="F96" s="87" t="s">
        <v>5205</v>
      </c>
      <c r="G96" s="1069">
        <v>44150</v>
      </c>
      <c r="H96" s="4">
        <v>100</v>
      </c>
      <c r="I96" s="4">
        <v>100</v>
      </c>
      <c r="J96" s="4"/>
    </row>
    <row r="97" spans="3:11" x14ac:dyDescent="0.35">
      <c r="C97" s="93" t="s">
        <v>734</v>
      </c>
      <c r="D97" s="84"/>
      <c r="E97" s="84" t="s">
        <v>2330</v>
      </c>
      <c r="F97" s="87" t="s">
        <v>5206</v>
      </c>
      <c r="G97" s="1069">
        <v>44150</v>
      </c>
      <c r="H97" s="4">
        <v>250</v>
      </c>
      <c r="I97" s="4">
        <v>100</v>
      </c>
      <c r="J97" s="4" t="s">
        <v>5207</v>
      </c>
      <c r="K97" s="84" t="s">
        <v>5208</v>
      </c>
    </row>
    <row r="98" spans="3:11" x14ac:dyDescent="0.35">
      <c r="C98" s="93" t="s">
        <v>734</v>
      </c>
      <c r="D98" s="84"/>
      <c r="E98" s="84" t="s">
        <v>2330</v>
      </c>
      <c r="F98" s="87" t="s">
        <v>5209</v>
      </c>
      <c r="G98" s="1069">
        <v>44158</v>
      </c>
      <c r="H98" s="4">
        <v>150</v>
      </c>
      <c r="I98" s="4">
        <v>0</v>
      </c>
      <c r="J98" s="4" t="s">
        <v>5210</v>
      </c>
      <c r="K98" s="84" t="s">
        <v>5208</v>
      </c>
    </row>
    <row r="99" spans="3:11" x14ac:dyDescent="0.35">
      <c r="C99" s="216" t="s">
        <v>734</v>
      </c>
      <c r="D99" s="215"/>
      <c r="E99" s="215" t="s">
        <v>2108</v>
      </c>
      <c r="F99" s="214" t="s">
        <v>5211</v>
      </c>
      <c r="G99" s="1071">
        <v>44167</v>
      </c>
      <c r="H99" s="213">
        <v>150</v>
      </c>
      <c r="I99" s="213">
        <v>0</v>
      </c>
      <c r="J99" s="4" t="s">
        <v>5212</v>
      </c>
    </row>
    <row r="100" spans="3:11" x14ac:dyDescent="0.35">
      <c r="C100" s="93" t="s">
        <v>734</v>
      </c>
      <c r="D100" s="84"/>
      <c r="E100" s="84" t="s">
        <v>2322</v>
      </c>
      <c r="F100" s="87" t="s">
        <v>5213</v>
      </c>
      <c r="G100" s="1069">
        <v>44167</v>
      </c>
      <c r="H100" s="4">
        <v>50</v>
      </c>
      <c r="I100" s="4">
        <v>0</v>
      </c>
      <c r="J100" s="4" t="s">
        <v>5214</v>
      </c>
      <c r="K100" s="84" t="s">
        <v>5215</v>
      </c>
    </row>
    <row r="101" spans="3:11" x14ac:dyDescent="0.35">
      <c r="C101" s="216" t="s">
        <v>734</v>
      </c>
      <c r="D101" s="215"/>
      <c r="E101" s="215" t="s">
        <v>2318</v>
      </c>
      <c r="F101" s="214" t="s">
        <v>5216</v>
      </c>
      <c r="G101" s="1071">
        <v>44176</v>
      </c>
      <c r="H101" s="213">
        <v>500</v>
      </c>
      <c r="I101" s="213"/>
      <c r="J101" s="4" t="s">
        <v>5217</v>
      </c>
    </row>
    <row r="102" spans="3:11" x14ac:dyDescent="0.35">
      <c r="C102" s="216" t="s">
        <v>734</v>
      </c>
      <c r="D102" s="215"/>
      <c r="E102" s="215" t="s">
        <v>2319</v>
      </c>
      <c r="F102" s="214" t="s">
        <v>5218</v>
      </c>
      <c r="G102" s="1071">
        <v>44175</v>
      </c>
      <c r="H102" s="213">
        <v>300</v>
      </c>
      <c r="I102" s="213"/>
      <c r="J102" s="4" t="s">
        <v>5219</v>
      </c>
      <c r="K102" s="84" t="s">
        <v>5220</v>
      </c>
    </row>
    <row r="103" spans="3:11" x14ac:dyDescent="0.35">
      <c r="C103" s="216" t="s">
        <v>734</v>
      </c>
      <c r="D103" s="215"/>
      <c r="E103" s="215" t="s">
        <v>2320</v>
      </c>
      <c r="F103" s="214" t="s">
        <v>5221</v>
      </c>
      <c r="G103" s="1071">
        <v>44173</v>
      </c>
      <c r="H103" s="213">
        <v>150</v>
      </c>
      <c r="I103" s="213"/>
      <c r="J103" s="4" t="s">
        <v>5222</v>
      </c>
    </row>
    <row r="104" spans="3:11" x14ac:dyDescent="0.35">
      <c r="C104" s="93" t="s">
        <v>734</v>
      </c>
      <c r="D104" s="84"/>
      <c r="E104" s="84" t="s">
        <v>2306</v>
      </c>
      <c r="F104" s="87" t="s">
        <v>5223</v>
      </c>
      <c r="G104" s="1069">
        <v>44185</v>
      </c>
      <c r="H104" s="4">
        <v>375</v>
      </c>
      <c r="I104" s="4">
        <v>375</v>
      </c>
      <c r="J104" s="4"/>
    </row>
    <row r="105" spans="3:11" x14ac:dyDescent="0.35">
      <c r="C105" s="216" t="s">
        <v>734</v>
      </c>
      <c r="D105" s="215"/>
      <c r="E105" s="215" t="s">
        <v>2305</v>
      </c>
      <c r="F105" s="214" t="s">
        <v>5224</v>
      </c>
      <c r="G105" s="1071">
        <v>44186</v>
      </c>
      <c r="H105" s="213">
        <v>100</v>
      </c>
      <c r="I105" s="4"/>
      <c r="J105" s="4" t="s">
        <v>5225</v>
      </c>
      <c r="K105" s="84" t="s">
        <v>1231</v>
      </c>
    </row>
    <row r="106" spans="3:11" x14ac:dyDescent="0.35">
      <c r="C106" s="93" t="s">
        <v>734</v>
      </c>
      <c r="D106" s="84"/>
      <c r="E106" s="84" t="s">
        <v>2303</v>
      </c>
      <c r="F106" s="87" t="s">
        <v>5226</v>
      </c>
      <c r="G106" s="1069">
        <v>44189</v>
      </c>
      <c r="H106" s="4">
        <v>150</v>
      </c>
      <c r="I106" s="4">
        <v>20</v>
      </c>
      <c r="J106" s="4" t="s">
        <v>5227</v>
      </c>
    </row>
    <row r="107" spans="3:11" x14ac:dyDescent="0.35">
      <c r="C107" s="93" t="s">
        <v>734</v>
      </c>
      <c r="D107" s="84"/>
      <c r="E107" s="84" t="s">
        <v>2273</v>
      </c>
      <c r="F107" s="87" t="s">
        <v>5228</v>
      </c>
      <c r="G107" s="1069">
        <v>44215</v>
      </c>
      <c r="H107" s="4">
        <v>100</v>
      </c>
      <c r="I107" s="4">
        <v>5</v>
      </c>
      <c r="J107" s="4" t="s">
        <v>5229</v>
      </c>
    </row>
    <row r="108" spans="3:11" x14ac:dyDescent="0.35">
      <c r="C108" s="93" t="s">
        <v>734</v>
      </c>
      <c r="D108" s="84"/>
      <c r="E108" s="84" t="s">
        <v>2248</v>
      </c>
      <c r="F108" s="87" t="s">
        <v>5230</v>
      </c>
      <c r="G108" s="1069">
        <v>44252</v>
      </c>
      <c r="H108" s="4">
        <v>50</v>
      </c>
      <c r="I108" s="4">
        <v>50</v>
      </c>
      <c r="J108" s="4"/>
    </row>
    <row r="109" spans="3:11" x14ac:dyDescent="0.35">
      <c r="C109" s="93" t="s">
        <v>734</v>
      </c>
      <c r="D109" s="84"/>
      <c r="E109" s="84" t="s">
        <v>2216</v>
      </c>
      <c r="F109" s="87" t="s">
        <v>5231</v>
      </c>
      <c r="G109" s="1069">
        <v>44284</v>
      </c>
      <c r="H109" s="4">
        <v>50</v>
      </c>
      <c r="I109" s="4">
        <v>50</v>
      </c>
      <c r="J109" s="4"/>
    </row>
    <row r="110" spans="3:11" x14ac:dyDescent="0.35">
      <c r="C110" s="93" t="s">
        <v>734</v>
      </c>
      <c r="D110" s="84"/>
      <c r="E110" s="84" t="s">
        <v>2213</v>
      </c>
      <c r="F110" s="87" t="s">
        <v>5232</v>
      </c>
      <c r="G110" s="1069">
        <v>44287</v>
      </c>
      <c r="H110" s="4">
        <v>25</v>
      </c>
      <c r="I110" s="4">
        <v>25</v>
      </c>
      <c r="J110" s="4"/>
    </row>
    <row r="111" spans="3:11" x14ac:dyDescent="0.35">
      <c r="C111" s="93" t="s">
        <v>734</v>
      </c>
      <c r="D111" s="84"/>
      <c r="E111" s="84" t="s">
        <v>2159</v>
      </c>
      <c r="F111" s="87" t="s">
        <v>5233</v>
      </c>
      <c r="G111" s="1069">
        <v>44353</v>
      </c>
      <c r="H111" s="4">
        <v>50</v>
      </c>
      <c r="I111" s="4">
        <v>50</v>
      </c>
      <c r="J111" s="4"/>
    </row>
    <row r="112" spans="3:11" x14ac:dyDescent="0.35">
      <c r="C112" s="93" t="s">
        <v>734</v>
      </c>
      <c r="D112" s="84"/>
      <c r="E112" s="84" t="s">
        <v>2073</v>
      </c>
      <c r="F112" s="87" t="s">
        <v>5234</v>
      </c>
      <c r="G112" s="1069">
        <v>44449</v>
      </c>
      <c r="H112" s="4">
        <v>75</v>
      </c>
      <c r="I112" s="4">
        <v>75</v>
      </c>
      <c r="J112" s="4"/>
    </row>
    <row r="113" spans="3:10" x14ac:dyDescent="0.35">
      <c r="C113" s="93" t="s">
        <v>734</v>
      </c>
      <c r="D113" s="84"/>
      <c r="E113" s="84" t="s">
        <v>2048</v>
      </c>
      <c r="F113" s="87" t="s">
        <v>5235</v>
      </c>
      <c r="G113" s="1069">
        <v>44476</v>
      </c>
      <c r="H113" s="4">
        <v>50</v>
      </c>
      <c r="I113" s="4">
        <v>50</v>
      </c>
      <c r="J113" s="4"/>
    </row>
    <row r="114" spans="3:10" x14ac:dyDescent="0.35">
      <c r="C114" s="93" t="s">
        <v>734</v>
      </c>
      <c r="D114" s="84"/>
      <c r="E114" s="84" t="s">
        <v>2015</v>
      </c>
      <c r="F114" s="87" t="s">
        <v>5236</v>
      </c>
      <c r="G114" s="1069">
        <v>44521</v>
      </c>
      <c r="H114" s="4">
        <v>30</v>
      </c>
      <c r="I114" s="4">
        <v>30</v>
      </c>
      <c r="J114" s="4"/>
    </row>
    <row r="115" spans="3:10" x14ac:dyDescent="0.35">
      <c r="C115" s="216" t="s">
        <v>734</v>
      </c>
      <c r="D115" s="215"/>
      <c r="E115" s="215" t="s">
        <v>2001</v>
      </c>
      <c r="F115" s="214" t="s">
        <v>5237</v>
      </c>
      <c r="G115" s="1071">
        <v>44538</v>
      </c>
      <c r="H115" s="213">
        <v>100</v>
      </c>
      <c r="I115" s="4">
        <v>0</v>
      </c>
      <c r="J115" s="4" t="s">
        <v>5238</v>
      </c>
    </row>
    <row r="116" spans="3:10" x14ac:dyDescent="0.35">
      <c r="C116" s="216" t="s">
        <v>734</v>
      </c>
      <c r="D116" s="215"/>
      <c r="E116" s="215" t="s">
        <v>2001</v>
      </c>
      <c r="F116" s="214" t="s">
        <v>5239</v>
      </c>
      <c r="G116" s="1071">
        <v>44538</v>
      </c>
      <c r="H116" s="213">
        <v>100</v>
      </c>
      <c r="I116" s="4">
        <v>10</v>
      </c>
      <c r="J116" s="4" t="s">
        <v>5238</v>
      </c>
    </row>
    <row r="117" spans="3:10" x14ac:dyDescent="0.35">
      <c r="C117" s="93" t="s">
        <v>734</v>
      </c>
      <c r="D117" s="84"/>
      <c r="E117" s="84" t="s">
        <v>1987</v>
      </c>
      <c r="F117" s="87" t="s">
        <v>5240</v>
      </c>
      <c r="G117" s="1069">
        <v>44547</v>
      </c>
      <c r="H117" s="4">
        <v>600</v>
      </c>
      <c r="I117" s="4">
        <v>600</v>
      </c>
      <c r="J117" s="4"/>
    </row>
    <row r="118" spans="3:10" x14ac:dyDescent="0.35">
      <c r="C118" s="216" t="s">
        <v>734</v>
      </c>
      <c r="D118" s="215"/>
      <c r="E118" s="215" t="s">
        <v>1985</v>
      </c>
      <c r="F118" s="214" t="s">
        <v>5241</v>
      </c>
      <c r="G118" s="1071">
        <v>44548</v>
      </c>
      <c r="H118" s="213">
        <v>50</v>
      </c>
      <c r="I118" s="213">
        <v>0</v>
      </c>
      <c r="J118" s="4" t="s">
        <v>5242</v>
      </c>
    </row>
    <row r="119" spans="3:10" x14ac:dyDescent="0.35">
      <c r="C119" s="93" t="s">
        <v>734</v>
      </c>
      <c r="D119" s="84"/>
      <c r="E119" s="84" t="s">
        <v>1981</v>
      </c>
      <c r="F119" s="87" t="s">
        <v>5243</v>
      </c>
      <c r="G119" s="1069">
        <v>44550</v>
      </c>
      <c r="H119" s="4">
        <v>75</v>
      </c>
      <c r="I119" s="4">
        <v>75</v>
      </c>
      <c r="J119" s="4"/>
    </row>
    <row r="120" spans="3:10" x14ac:dyDescent="0.35">
      <c r="C120" s="216" t="s">
        <v>734</v>
      </c>
      <c r="D120" s="215"/>
      <c r="E120" s="215" t="s">
        <v>1977</v>
      </c>
      <c r="F120" s="214" t="s">
        <v>5244</v>
      </c>
      <c r="G120" s="1071">
        <v>44553</v>
      </c>
      <c r="H120" s="213">
        <v>30</v>
      </c>
      <c r="I120" s="213"/>
      <c r="J120" s="4" t="s">
        <v>5245</v>
      </c>
    </row>
    <row r="121" spans="3:10" x14ac:dyDescent="0.35">
      <c r="C121" s="216" t="s">
        <v>734</v>
      </c>
      <c r="D121" s="215"/>
      <c r="E121" s="215" t="s">
        <v>1778</v>
      </c>
      <c r="F121" s="214" t="s">
        <v>5246</v>
      </c>
      <c r="G121" s="1071">
        <v>44618</v>
      </c>
      <c r="H121" s="213">
        <v>200</v>
      </c>
      <c r="I121" s="213">
        <v>0</v>
      </c>
      <c r="J121" s="4" t="s">
        <v>5247</v>
      </c>
    </row>
    <row r="122" spans="3:10" x14ac:dyDescent="0.35">
      <c r="C122" s="216" t="s">
        <v>734</v>
      </c>
      <c r="D122" s="215"/>
      <c r="E122" s="215" t="s">
        <v>1750</v>
      </c>
      <c r="F122" s="214" t="s">
        <v>5248</v>
      </c>
      <c r="G122" s="1071">
        <v>44669</v>
      </c>
      <c r="H122" s="213">
        <v>100</v>
      </c>
      <c r="I122" s="213">
        <v>0</v>
      </c>
      <c r="J122" s="4" t="s">
        <v>5249</v>
      </c>
    </row>
    <row r="123" spans="3:10" x14ac:dyDescent="0.35">
      <c r="C123" s="93" t="s">
        <v>734</v>
      </c>
      <c r="D123" s="84"/>
      <c r="E123" s="84" t="s">
        <v>1742</v>
      </c>
      <c r="F123" s="87" t="s">
        <v>5250</v>
      </c>
      <c r="G123" s="1069">
        <v>44675</v>
      </c>
      <c r="H123" s="4">
        <v>500</v>
      </c>
      <c r="I123" s="4">
        <v>500</v>
      </c>
      <c r="J123" s="4"/>
    </row>
    <row r="124" spans="3:10" x14ac:dyDescent="0.35">
      <c r="C124" s="216" t="s">
        <v>734</v>
      </c>
      <c r="D124" s="215"/>
      <c r="E124" s="215" t="s">
        <v>1733</v>
      </c>
      <c r="F124" s="214" t="s">
        <v>5251</v>
      </c>
      <c r="G124" s="1071">
        <v>44687</v>
      </c>
      <c r="H124" s="213">
        <v>150</v>
      </c>
      <c r="I124" s="4">
        <v>0</v>
      </c>
      <c r="J124" s="4" t="s">
        <v>5252</v>
      </c>
    </row>
    <row r="125" spans="3:10" x14ac:dyDescent="0.35">
      <c r="C125" s="93" t="s">
        <v>734</v>
      </c>
      <c r="D125" s="84"/>
      <c r="E125" s="84" t="s">
        <v>1706</v>
      </c>
      <c r="F125" s="87" t="s">
        <v>5253</v>
      </c>
      <c r="G125" s="1069">
        <v>44718</v>
      </c>
      <c r="H125" s="4">
        <v>75</v>
      </c>
      <c r="I125" s="4">
        <v>75</v>
      </c>
      <c r="J125" s="4"/>
    </row>
    <row r="126" spans="3:10" x14ac:dyDescent="0.35">
      <c r="C126" s="93" t="s">
        <v>734</v>
      </c>
      <c r="D126" s="84"/>
      <c r="E126" s="84" t="s">
        <v>1702</v>
      </c>
      <c r="F126" s="87" t="s">
        <v>5254</v>
      </c>
      <c r="G126" s="1069">
        <v>44722</v>
      </c>
      <c r="H126" s="4">
        <v>275</v>
      </c>
      <c r="I126" s="4">
        <v>275</v>
      </c>
      <c r="J126" s="4"/>
    </row>
    <row r="127" spans="3:10" x14ac:dyDescent="0.35">
      <c r="C127" s="216" t="s">
        <v>734</v>
      </c>
      <c r="D127" s="215"/>
      <c r="E127" s="215" t="s">
        <v>1022</v>
      </c>
      <c r="F127" s="214" t="s">
        <v>5255</v>
      </c>
      <c r="G127" s="1071">
        <v>44761</v>
      </c>
      <c r="H127" s="213">
        <v>500</v>
      </c>
      <c r="I127" s="213">
        <v>11</v>
      </c>
      <c r="J127" s="4" t="s">
        <v>5256</v>
      </c>
    </row>
    <row r="128" spans="3:10" x14ac:dyDescent="0.35">
      <c r="C128" s="216" t="s">
        <v>734</v>
      </c>
      <c r="D128" s="215"/>
      <c r="E128" s="215" t="s">
        <v>1679</v>
      </c>
      <c r="F128" s="214" t="s">
        <v>5257</v>
      </c>
      <c r="G128" s="1071">
        <v>44796</v>
      </c>
      <c r="H128" s="213">
        <v>125</v>
      </c>
      <c r="I128" s="4">
        <v>5</v>
      </c>
      <c r="J128" s="4" t="s">
        <v>5258</v>
      </c>
    </row>
    <row r="129" spans="3:10" x14ac:dyDescent="0.35">
      <c r="C129" s="216" t="s">
        <v>734</v>
      </c>
      <c r="D129" s="215"/>
      <c r="E129" s="215" t="s">
        <v>1658</v>
      </c>
      <c r="F129" s="214" t="s">
        <v>5259</v>
      </c>
      <c r="G129" s="1071">
        <v>44828</v>
      </c>
      <c r="H129" s="213">
        <v>150</v>
      </c>
      <c r="I129" s="4">
        <v>150</v>
      </c>
      <c r="J129" s="4" t="s">
        <v>5260</v>
      </c>
    </row>
    <row r="130" spans="3:10" x14ac:dyDescent="0.35">
      <c r="C130" s="93" t="s">
        <v>734</v>
      </c>
      <c r="D130" s="84"/>
      <c r="E130" s="84" t="s">
        <v>1626</v>
      </c>
      <c r="F130" s="87" t="s">
        <v>5261</v>
      </c>
      <c r="G130" s="1069">
        <v>44879</v>
      </c>
      <c r="H130" s="4">
        <v>100</v>
      </c>
      <c r="I130" s="4">
        <v>100</v>
      </c>
      <c r="J130" s="4"/>
    </row>
    <row r="131" spans="3:10" x14ac:dyDescent="0.35">
      <c r="C131" s="216" t="s">
        <v>734</v>
      </c>
      <c r="D131" s="215"/>
      <c r="E131" s="215" t="s">
        <v>1618</v>
      </c>
      <c r="F131" s="214" t="s">
        <v>5262</v>
      </c>
      <c r="G131" s="1071">
        <v>44890</v>
      </c>
      <c r="H131" s="213">
        <v>100</v>
      </c>
      <c r="I131" s="213">
        <v>0</v>
      </c>
      <c r="J131" s="4" t="s">
        <v>5263</v>
      </c>
    </row>
    <row r="132" spans="3:10" x14ac:dyDescent="0.35">
      <c r="C132" s="216" t="s">
        <v>734</v>
      </c>
      <c r="D132" s="215"/>
      <c r="E132" s="215" t="s">
        <v>1604</v>
      </c>
      <c r="F132" s="214" t="s">
        <v>5264</v>
      </c>
      <c r="G132" s="1071">
        <v>44907</v>
      </c>
      <c r="H132" s="213">
        <v>100</v>
      </c>
      <c r="I132" s="213">
        <v>0</v>
      </c>
      <c r="J132" s="4" t="s">
        <v>5265</v>
      </c>
    </row>
    <row r="133" spans="3:10" x14ac:dyDescent="0.35">
      <c r="C133" s="93" t="s">
        <v>734</v>
      </c>
      <c r="D133" s="84"/>
      <c r="E133" s="215" t="s">
        <v>1602</v>
      </c>
      <c r="F133" s="214" t="s">
        <v>5266</v>
      </c>
      <c r="G133" s="1071">
        <v>44909</v>
      </c>
      <c r="H133" s="213">
        <v>250</v>
      </c>
      <c r="I133" s="4"/>
      <c r="J133" s="4" t="s">
        <v>5267</v>
      </c>
    </row>
    <row r="134" spans="3:10" x14ac:dyDescent="0.35">
      <c r="C134" s="93" t="s">
        <v>734</v>
      </c>
      <c r="D134" s="84"/>
      <c r="E134" s="215" t="s">
        <v>1543</v>
      </c>
      <c r="F134" s="214" t="s">
        <v>5268</v>
      </c>
      <c r="G134" s="1071">
        <v>44913</v>
      </c>
      <c r="H134" s="213">
        <v>50</v>
      </c>
      <c r="I134" s="213"/>
      <c r="J134" s="4" t="s">
        <v>5269</v>
      </c>
    </row>
    <row r="135" spans="3:10" x14ac:dyDescent="0.35">
      <c r="C135" s="93" t="s">
        <v>734</v>
      </c>
      <c r="D135" s="84"/>
      <c r="E135" s="215" t="s">
        <v>1503</v>
      </c>
      <c r="F135" s="214" t="s">
        <v>5270</v>
      </c>
      <c r="G135" s="1071">
        <v>44994</v>
      </c>
      <c r="H135" s="213">
        <v>100</v>
      </c>
      <c r="I135" s="213">
        <v>0</v>
      </c>
      <c r="J135" s="4" t="s">
        <v>5271</v>
      </c>
    </row>
    <row r="136" spans="3:10" x14ac:dyDescent="0.35">
      <c r="C136" s="216" t="s">
        <v>734</v>
      </c>
      <c r="D136" s="215"/>
      <c r="E136" s="215" t="s">
        <v>1499</v>
      </c>
      <c r="F136" s="214" t="s">
        <v>5272</v>
      </c>
      <c r="G136" s="1071">
        <v>44995</v>
      </c>
      <c r="H136" s="213">
        <v>100</v>
      </c>
      <c r="I136" s="213">
        <v>0</v>
      </c>
      <c r="J136" s="4" t="s">
        <v>5273</v>
      </c>
    </row>
    <row r="137" spans="3:10" x14ac:dyDescent="0.35">
      <c r="C137" s="93" t="s">
        <v>734</v>
      </c>
      <c r="D137" s="84"/>
      <c r="E137" s="84" t="s">
        <v>1496</v>
      </c>
      <c r="F137" s="87" t="s">
        <v>5274</v>
      </c>
      <c r="G137" s="1069">
        <v>44999</v>
      </c>
      <c r="H137" s="4">
        <v>350</v>
      </c>
      <c r="I137" s="4">
        <v>100</v>
      </c>
      <c r="J137" s="4" t="s">
        <v>5275</v>
      </c>
    </row>
    <row r="138" spans="3:10" x14ac:dyDescent="0.35">
      <c r="C138" s="93" t="s">
        <v>734</v>
      </c>
      <c r="D138" s="84"/>
      <c r="E138" s="215" t="s">
        <v>1487</v>
      </c>
      <c r="F138" s="214" t="s">
        <v>5276</v>
      </c>
      <c r="G138" s="1071">
        <v>45009</v>
      </c>
      <c r="H138" s="213">
        <v>100</v>
      </c>
      <c r="I138" s="213">
        <v>10</v>
      </c>
      <c r="J138" s="4" t="s">
        <v>5271</v>
      </c>
    </row>
    <row r="139" spans="3:10" x14ac:dyDescent="0.35">
      <c r="C139" s="93" t="s">
        <v>734</v>
      </c>
      <c r="D139" s="84"/>
      <c r="E139" s="84" t="s">
        <v>1486</v>
      </c>
      <c r="F139" s="87" t="s">
        <v>5277</v>
      </c>
      <c r="G139" s="1069">
        <v>45010</v>
      </c>
      <c r="H139" s="4">
        <v>400</v>
      </c>
      <c r="I139" s="4">
        <v>301</v>
      </c>
      <c r="J139" s="4" t="s">
        <v>5278</v>
      </c>
    </row>
    <row r="140" spans="3:10" x14ac:dyDescent="0.35">
      <c r="C140" s="93" t="s">
        <v>734</v>
      </c>
      <c r="D140" s="84"/>
      <c r="E140" s="215" t="s">
        <v>1472</v>
      </c>
      <c r="F140" s="214" t="s">
        <v>5279</v>
      </c>
      <c r="G140" s="1071">
        <v>45027</v>
      </c>
      <c r="H140" s="213">
        <v>100</v>
      </c>
      <c r="I140" s="213">
        <v>0</v>
      </c>
      <c r="J140" s="4" t="s">
        <v>5280</v>
      </c>
    </row>
    <row r="141" spans="3:10" x14ac:dyDescent="0.35">
      <c r="C141" s="93" t="s">
        <v>734</v>
      </c>
      <c r="D141" s="84"/>
      <c r="E141" s="84" t="s">
        <v>1469</v>
      </c>
      <c r="F141" s="87" t="s">
        <v>5281</v>
      </c>
      <c r="G141" s="1069">
        <v>45037</v>
      </c>
      <c r="H141" s="4">
        <v>75</v>
      </c>
      <c r="I141" s="4">
        <v>75</v>
      </c>
      <c r="J141" s="4"/>
    </row>
    <row r="142" spans="3:10" x14ac:dyDescent="0.35">
      <c r="C142" s="93" t="s">
        <v>734</v>
      </c>
      <c r="D142" s="84"/>
      <c r="E142" s="215" t="s">
        <v>1465</v>
      </c>
      <c r="F142" s="214" t="s">
        <v>5282</v>
      </c>
      <c r="G142" s="1071">
        <v>45048</v>
      </c>
      <c r="H142" s="213">
        <v>125</v>
      </c>
      <c r="I142" s="213">
        <v>0</v>
      </c>
      <c r="J142" s="4" t="s">
        <v>5283</v>
      </c>
    </row>
    <row r="143" spans="3:10" x14ac:dyDescent="0.35">
      <c r="C143" s="93" t="s">
        <v>734</v>
      </c>
      <c r="D143" s="84"/>
      <c r="E143" s="84" t="s">
        <v>1461</v>
      </c>
      <c r="F143" s="87" t="s">
        <v>5284</v>
      </c>
      <c r="G143" s="1069">
        <v>45054</v>
      </c>
      <c r="H143" s="4">
        <v>300</v>
      </c>
      <c r="I143" s="4">
        <v>300</v>
      </c>
      <c r="J143" s="4"/>
    </row>
    <row r="144" spans="3:10" x14ac:dyDescent="0.35">
      <c r="C144" s="216" t="s">
        <v>734</v>
      </c>
      <c r="D144" s="215"/>
      <c r="E144" s="215" t="s">
        <v>1411</v>
      </c>
      <c r="F144" s="214" t="s">
        <v>5285</v>
      </c>
      <c r="G144" s="1071">
        <v>45126</v>
      </c>
      <c r="H144" s="213">
        <v>125</v>
      </c>
      <c r="I144" s="4">
        <v>0</v>
      </c>
      <c r="J144" s="4" t="s">
        <v>5286</v>
      </c>
    </row>
    <row r="145" spans="3:16" x14ac:dyDescent="0.35">
      <c r="C145" s="93" t="s">
        <v>734</v>
      </c>
      <c r="D145" s="84"/>
      <c r="E145" s="84" t="s">
        <v>1408</v>
      </c>
      <c r="F145" s="87" t="s">
        <v>5287</v>
      </c>
      <c r="G145" s="1069">
        <v>45133</v>
      </c>
      <c r="H145" s="4">
        <v>100</v>
      </c>
      <c r="I145" s="4">
        <v>100</v>
      </c>
      <c r="J145" s="4"/>
    </row>
    <row r="146" spans="3:16" x14ac:dyDescent="0.35">
      <c r="C146" s="216" t="s">
        <v>734</v>
      </c>
      <c r="D146" s="215"/>
      <c r="E146" s="215" t="s">
        <v>1390</v>
      </c>
      <c r="F146" s="214" t="s">
        <v>5288</v>
      </c>
      <c r="G146" s="1071">
        <v>45161</v>
      </c>
      <c r="H146" s="213">
        <v>100</v>
      </c>
      <c r="I146" s="213">
        <v>0</v>
      </c>
      <c r="J146" s="4" t="s">
        <v>5289</v>
      </c>
    </row>
    <row r="147" spans="3:16" x14ac:dyDescent="0.35">
      <c r="C147" s="93" t="s">
        <v>734</v>
      </c>
      <c r="D147" s="84"/>
      <c r="E147" s="215" t="s">
        <v>1379</v>
      </c>
      <c r="F147" s="214" t="s">
        <v>5290</v>
      </c>
      <c r="G147" s="1071">
        <v>45180</v>
      </c>
      <c r="H147" s="213">
        <v>150</v>
      </c>
      <c r="I147" s="213">
        <v>0</v>
      </c>
      <c r="J147" s="4" t="s">
        <v>5291</v>
      </c>
    </row>
    <row r="148" spans="3:16" x14ac:dyDescent="0.35">
      <c r="C148" s="93" t="s">
        <v>734</v>
      </c>
      <c r="D148" s="84"/>
      <c r="E148" s="215" t="s">
        <v>1339</v>
      </c>
      <c r="F148" s="214" t="s">
        <v>5292</v>
      </c>
      <c r="G148" s="1071">
        <v>45231</v>
      </c>
      <c r="H148" s="213">
        <v>250</v>
      </c>
      <c r="I148" s="213">
        <v>250</v>
      </c>
      <c r="J148" s="4" t="s">
        <v>5293</v>
      </c>
    </row>
    <row r="149" spans="3:16" x14ac:dyDescent="0.35">
      <c r="C149" s="93" t="s">
        <v>734</v>
      </c>
      <c r="D149" s="84"/>
      <c r="E149" s="84" t="s">
        <v>1341</v>
      </c>
      <c r="F149" s="87" t="s">
        <v>5294</v>
      </c>
      <c r="G149" s="1069">
        <v>45244</v>
      </c>
      <c r="H149" s="4">
        <v>800</v>
      </c>
      <c r="I149" s="4">
        <v>800</v>
      </c>
      <c r="J149" s="4"/>
    </row>
    <row r="150" spans="3:16" x14ac:dyDescent="0.35">
      <c r="C150" s="93" t="s">
        <v>734</v>
      </c>
      <c r="D150" s="84"/>
      <c r="E150" s="84" t="s">
        <v>1338</v>
      </c>
      <c r="F150" s="87" t="s">
        <v>5295</v>
      </c>
      <c r="G150" s="1069">
        <v>45248</v>
      </c>
      <c r="H150" s="4">
        <v>75</v>
      </c>
      <c r="I150" s="4">
        <v>25</v>
      </c>
      <c r="J150" s="4" t="s">
        <v>5296</v>
      </c>
    </row>
    <row r="151" spans="3:16" x14ac:dyDescent="0.35">
      <c r="C151" s="93" t="s">
        <v>734</v>
      </c>
      <c r="D151" s="84"/>
      <c r="E151" s="215" t="s">
        <v>1331</v>
      </c>
      <c r="F151" s="214" t="s">
        <v>5297</v>
      </c>
      <c r="G151" s="1071">
        <v>45269</v>
      </c>
      <c r="H151" s="213">
        <v>30</v>
      </c>
      <c r="I151" s="213">
        <v>0</v>
      </c>
      <c r="J151" s="4" t="s">
        <v>5298</v>
      </c>
    </row>
    <row r="152" spans="3:16" x14ac:dyDescent="0.35">
      <c r="C152" s="93" t="s">
        <v>734</v>
      </c>
      <c r="D152" s="84"/>
      <c r="E152" s="215" t="s">
        <v>1331</v>
      </c>
      <c r="F152" s="214" t="s">
        <v>5299</v>
      </c>
      <c r="G152" s="1071">
        <v>45269</v>
      </c>
      <c r="H152" s="213">
        <v>30</v>
      </c>
      <c r="I152" s="213">
        <v>0</v>
      </c>
      <c r="J152" s="4" t="s">
        <v>5298</v>
      </c>
    </row>
    <row r="153" spans="3:16" x14ac:dyDescent="0.35">
      <c r="C153" s="93" t="s">
        <v>734</v>
      </c>
      <c r="D153" s="84"/>
      <c r="E153" s="84" t="s">
        <v>1330</v>
      </c>
      <c r="F153" s="87" t="s">
        <v>5300</v>
      </c>
      <c r="G153" s="1069">
        <v>45270</v>
      </c>
      <c r="H153" s="4">
        <v>30</v>
      </c>
      <c r="I153" s="4">
        <v>30</v>
      </c>
      <c r="J153" s="4"/>
    </row>
    <row r="154" spans="3:16" x14ac:dyDescent="0.35">
      <c r="C154" s="93" t="s">
        <v>734</v>
      </c>
      <c r="D154" s="84"/>
      <c r="E154" s="45" t="s">
        <v>1328</v>
      </c>
      <c r="F154" s="87" t="s">
        <v>5301</v>
      </c>
      <c r="G154" s="1069">
        <v>45275</v>
      </c>
      <c r="H154" s="4">
        <v>50</v>
      </c>
      <c r="I154" s="4">
        <v>50</v>
      </c>
      <c r="J154" s="4"/>
    </row>
    <row r="155" spans="3:16" x14ac:dyDescent="0.35">
      <c r="C155" s="93" t="s">
        <v>734</v>
      </c>
      <c r="D155" s="84"/>
      <c r="E155" s="84" t="s">
        <v>1326</v>
      </c>
      <c r="F155" s="87" t="s">
        <v>5302</v>
      </c>
      <c r="G155" s="1069">
        <v>45277</v>
      </c>
      <c r="H155" s="4">
        <v>50</v>
      </c>
      <c r="I155" s="4">
        <v>50</v>
      </c>
      <c r="J155" s="4"/>
    </row>
    <row r="156" spans="3:16" x14ac:dyDescent="0.35">
      <c r="C156" s="216" t="s">
        <v>734</v>
      </c>
      <c r="D156" s="215"/>
      <c r="E156" s="215" t="s">
        <v>1325</v>
      </c>
      <c r="F156" s="214" t="s">
        <v>5303</v>
      </c>
      <c r="G156" s="1071">
        <v>45279</v>
      </c>
      <c r="H156" s="213">
        <v>100</v>
      </c>
      <c r="I156" s="213">
        <v>0</v>
      </c>
      <c r="J156" s="4" t="s">
        <v>5304</v>
      </c>
      <c r="L156" s="84"/>
      <c r="M156" s="87"/>
      <c r="N156" s="1069"/>
      <c r="O156" s="4"/>
      <c r="P156" s="4"/>
    </row>
    <row r="157" spans="3:16" x14ac:dyDescent="0.35">
      <c r="C157" s="216" t="s">
        <v>734</v>
      </c>
      <c r="D157" s="215"/>
      <c r="E157" s="215" t="s">
        <v>1324</v>
      </c>
      <c r="F157" s="214" t="s">
        <v>5305</v>
      </c>
      <c r="G157" s="1071">
        <v>45279</v>
      </c>
      <c r="H157" s="213">
        <v>100</v>
      </c>
      <c r="I157" s="4">
        <v>0</v>
      </c>
      <c r="J157" s="4" t="s">
        <v>5306</v>
      </c>
    </row>
    <row r="158" spans="3:16" x14ac:dyDescent="0.35">
      <c r="C158" s="93" t="s">
        <v>734</v>
      </c>
      <c r="D158" s="84"/>
      <c r="E158" s="84" t="s">
        <v>1117</v>
      </c>
      <c r="F158" s="87" t="s">
        <v>5307</v>
      </c>
      <c r="G158" s="1069">
        <v>45283</v>
      </c>
      <c r="H158" s="4">
        <v>100</v>
      </c>
      <c r="I158" s="4">
        <v>100</v>
      </c>
      <c r="J158" s="4"/>
    </row>
    <row r="159" spans="3:16" s="559" customFormat="1" x14ac:dyDescent="0.35">
      <c r="C159" s="1074"/>
      <c r="D159" s="606"/>
      <c r="E159" s="606"/>
      <c r="F159" s="874"/>
      <c r="G159" s="1075"/>
      <c r="H159" s="876"/>
      <c r="I159" s="876"/>
      <c r="J159" s="876"/>
      <c r="K159" s="606"/>
    </row>
    <row r="160" spans="3:16" x14ac:dyDescent="0.35">
      <c r="C160" s="93" t="s">
        <v>734</v>
      </c>
      <c r="D160" s="84"/>
      <c r="E160" s="84" t="s">
        <v>1252</v>
      </c>
      <c r="F160" s="87" t="s">
        <v>5308</v>
      </c>
      <c r="G160" s="1069">
        <v>45309</v>
      </c>
      <c r="H160" s="4">
        <v>150</v>
      </c>
      <c r="I160" s="4">
        <v>150</v>
      </c>
      <c r="J160" s="4"/>
    </row>
    <row r="161" spans="3:10" x14ac:dyDescent="0.35">
      <c r="C161" s="93" t="s">
        <v>734</v>
      </c>
      <c r="D161" s="84"/>
      <c r="E161" s="84" t="s">
        <v>1250</v>
      </c>
      <c r="F161" s="87" t="s">
        <v>5309</v>
      </c>
      <c r="G161" s="1069">
        <v>45323</v>
      </c>
      <c r="H161" s="4">
        <v>100</v>
      </c>
      <c r="I161" s="4">
        <v>100</v>
      </c>
      <c r="J161" s="4"/>
    </row>
    <row r="162" spans="3:10" x14ac:dyDescent="0.35">
      <c r="C162" s="93" t="s">
        <v>734</v>
      </c>
      <c r="D162" s="84"/>
      <c r="E162" s="215" t="s">
        <v>1246</v>
      </c>
      <c r="F162" s="214" t="s">
        <v>5310</v>
      </c>
      <c r="G162" s="1071">
        <v>45329</v>
      </c>
      <c r="H162" s="213">
        <v>100</v>
      </c>
      <c r="I162" s="213"/>
      <c r="J162" s="4" t="s">
        <v>5311</v>
      </c>
    </row>
    <row r="163" spans="3:10" x14ac:dyDescent="0.35">
      <c r="C163" s="216" t="s">
        <v>734</v>
      </c>
      <c r="D163" s="215"/>
      <c r="E163" s="215" t="s">
        <v>1154</v>
      </c>
      <c r="F163" s="214" t="s">
        <v>5312</v>
      </c>
      <c r="G163" s="1071">
        <v>45458</v>
      </c>
      <c r="H163" s="213">
        <v>50</v>
      </c>
      <c r="I163" s="4">
        <v>0</v>
      </c>
      <c r="J163" s="4" t="s">
        <v>5313</v>
      </c>
    </row>
    <row r="164" spans="3:10" x14ac:dyDescent="0.35">
      <c r="C164" s="216"/>
      <c r="D164" s="215"/>
      <c r="E164" s="215" t="s">
        <v>1153</v>
      </c>
      <c r="F164" s="214"/>
      <c r="G164" s="1071">
        <v>46192</v>
      </c>
      <c r="H164" s="213">
        <v>100</v>
      </c>
      <c r="I164" s="4">
        <v>0</v>
      </c>
      <c r="J164" s="4" t="s">
        <v>5314</v>
      </c>
    </row>
    <row r="165" spans="3:10" x14ac:dyDescent="0.35">
      <c r="C165" s="216" t="s">
        <v>734</v>
      </c>
      <c r="D165" s="215"/>
      <c r="E165" s="215" t="s">
        <v>5315</v>
      </c>
      <c r="F165" s="214" t="s">
        <v>5316</v>
      </c>
      <c r="G165" s="1071">
        <v>45561</v>
      </c>
      <c r="H165" s="213">
        <v>100</v>
      </c>
      <c r="I165" s="4">
        <v>0</v>
      </c>
      <c r="J165" s="4" t="s">
        <v>5317</v>
      </c>
    </row>
    <row r="166" spans="3:10" x14ac:dyDescent="0.35">
      <c r="C166" s="93" t="s">
        <v>734</v>
      </c>
      <c r="D166" s="84"/>
      <c r="E166" s="84" t="s">
        <v>1089</v>
      </c>
      <c r="F166" s="87" t="s">
        <v>5318</v>
      </c>
      <c r="G166" s="1069">
        <v>45584</v>
      </c>
      <c r="H166" s="4">
        <v>30</v>
      </c>
      <c r="I166" s="4">
        <v>30</v>
      </c>
      <c r="J166" s="4"/>
    </row>
    <row r="167" spans="3:10" x14ac:dyDescent="0.35">
      <c r="C167" s="93" t="s">
        <v>734</v>
      </c>
      <c r="D167" s="84"/>
      <c r="E167" s="84" t="s">
        <v>1089</v>
      </c>
      <c r="F167" s="87" t="s">
        <v>5319</v>
      </c>
      <c r="G167" s="1069">
        <v>45584</v>
      </c>
      <c r="H167" s="4">
        <v>10</v>
      </c>
      <c r="I167" s="4">
        <v>10</v>
      </c>
      <c r="J167" s="4"/>
    </row>
    <row r="168" spans="3:10" x14ac:dyDescent="0.35">
      <c r="C168" s="93" t="s">
        <v>734</v>
      </c>
      <c r="D168" s="84"/>
      <c r="E168" s="84" t="s">
        <v>1073</v>
      </c>
      <c r="F168" s="87" t="s">
        <v>5320</v>
      </c>
      <c r="G168" s="1069">
        <v>45600</v>
      </c>
      <c r="H168" s="4">
        <v>200</v>
      </c>
      <c r="I168" s="4">
        <v>50</v>
      </c>
      <c r="J168" s="4" t="s">
        <v>5321</v>
      </c>
    </row>
    <row r="169" spans="3:10" x14ac:dyDescent="0.35">
      <c r="C169" s="216" t="s">
        <v>734</v>
      </c>
      <c r="D169" s="215"/>
      <c r="E169" s="215" t="s">
        <v>1064</v>
      </c>
      <c r="F169" s="214" t="s">
        <v>5322</v>
      </c>
      <c r="G169" s="1071">
        <v>45617</v>
      </c>
      <c r="H169" s="213">
        <v>100</v>
      </c>
      <c r="I169" s="4">
        <v>0</v>
      </c>
      <c r="J169" s="4" t="s">
        <v>5323</v>
      </c>
    </row>
    <row r="170" spans="3:10" x14ac:dyDescent="0.35">
      <c r="C170" s="216" t="s">
        <v>734</v>
      </c>
      <c r="D170" s="215"/>
      <c r="E170" s="215" t="s">
        <v>1055</v>
      </c>
      <c r="F170" s="214" t="s">
        <v>5324</v>
      </c>
      <c r="G170" s="1071">
        <v>45630</v>
      </c>
      <c r="H170" s="213">
        <v>50</v>
      </c>
      <c r="I170" s="4">
        <v>0</v>
      </c>
      <c r="J170" s="4" t="s">
        <v>5325</v>
      </c>
    </row>
    <row r="171" spans="3:10" x14ac:dyDescent="0.35">
      <c r="C171" s="93" t="s">
        <v>734</v>
      </c>
      <c r="D171" s="84"/>
      <c r="E171" s="84" t="s">
        <v>1050</v>
      </c>
      <c r="F171" s="87" t="s">
        <v>5326</v>
      </c>
      <c r="G171" s="1069">
        <v>45634</v>
      </c>
      <c r="H171" s="4">
        <v>150</v>
      </c>
      <c r="I171" s="4">
        <v>150</v>
      </c>
      <c r="J171" s="4"/>
    </row>
    <row r="172" spans="3:10" x14ac:dyDescent="0.35">
      <c r="C172" s="93" t="s">
        <v>734</v>
      </c>
      <c r="D172" s="84"/>
      <c r="E172" s="84" t="s">
        <v>1047</v>
      </c>
      <c r="F172" s="87" t="s">
        <v>5327</v>
      </c>
      <c r="G172" s="1069">
        <v>45644</v>
      </c>
      <c r="H172" s="4">
        <v>300</v>
      </c>
      <c r="I172" s="4">
        <v>300</v>
      </c>
      <c r="J172" s="4"/>
    </row>
    <row r="173" spans="3:10" x14ac:dyDescent="0.35">
      <c r="C173" s="216" t="s">
        <v>734</v>
      </c>
      <c r="D173" s="215"/>
      <c r="E173" s="215" t="s">
        <v>1045</v>
      </c>
      <c r="F173" s="214" t="s">
        <v>5328</v>
      </c>
      <c r="G173" s="1071">
        <v>45650</v>
      </c>
      <c r="H173" s="213">
        <v>300</v>
      </c>
      <c r="I173" s="4"/>
      <c r="J173" s="4" t="s">
        <v>5329</v>
      </c>
    </row>
    <row r="174" spans="3:10" x14ac:dyDescent="0.35">
      <c r="C174" s="93" t="s">
        <v>734</v>
      </c>
      <c r="D174" s="84"/>
      <c r="E174" s="84" t="s">
        <v>959</v>
      </c>
      <c r="F174" s="87" t="s">
        <v>5330</v>
      </c>
      <c r="G174" s="1069">
        <v>45778</v>
      </c>
      <c r="H174" s="4">
        <v>50</v>
      </c>
      <c r="I174" s="4">
        <v>50</v>
      </c>
      <c r="J174" s="4"/>
    </row>
    <row r="175" spans="3:10" x14ac:dyDescent="0.35">
      <c r="C175" s="93" t="s">
        <v>734</v>
      </c>
      <c r="D175" s="84"/>
      <c r="E175" s="84" t="s">
        <v>953</v>
      </c>
      <c r="F175" s="87" t="s">
        <v>5331</v>
      </c>
      <c r="G175" s="1069">
        <v>45781</v>
      </c>
      <c r="H175" s="4">
        <v>75</v>
      </c>
      <c r="I175" s="4">
        <v>75</v>
      </c>
      <c r="J175" s="4"/>
    </row>
    <row r="176" spans="3:10" x14ac:dyDescent="0.35">
      <c r="C176" s="93"/>
      <c r="D176" s="84"/>
      <c r="E176" s="84" t="s">
        <v>916</v>
      </c>
      <c r="F176" s="87" t="s">
        <v>5332</v>
      </c>
      <c r="G176" s="1069">
        <v>45815</v>
      </c>
      <c r="H176" s="4">
        <v>50</v>
      </c>
      <c r="I176" s="4">
        <v>50</v>
      </c>
      <c r="J176" s="4"/>
    </row>
    <row r="177" spans="3:10" x14ac:dyDescent="0.35">
      <c r="C177" s="93"/>
      <c r="D177" s="84"/>
      <c r="E177" s="215" t="s">
        <v>915</v>
      </c>
      <c r="F177" s="214" t="s">
        <v>5333</v>
      </c>
      <c r="G177" s="1071">
        <v>45817</v>
      </c>
      <c r="H177" s="213">
        <v>300</v>
      </c>
      <c r="I177" s="4"/>
      <c r="J177" s="4" t="s">
        <v>5334</v>
      </c>
    </row>
    <row r="178" spans="3:10" x14ac:dyDescent="0.35">
      <c r="C178" s="93"/>
      <c r="D178" s="84"/>
      <c r="E178" s="215" t="s">
        <v>804</v>
      </c>
      <c r="F178" s="214" t="s">
        <v>5335</v>
      </c>
      <c r="G178" s="1071">
        <v>45880</v>
      </c>
      <c r="H178" s="213">
        <v>100</v>
      </c>
      <c r="I178" s="4"/>
      <c r="J178" s="4" t="s">
        <v>5336</v>
      </c>
    </row>
    <row r="179" spans="3:10" x14ac:dyDescent="0.35">
      <c r="C179" s="93"/>
      <c r="D179" s="84"/>
      <c r="E179" s="84" t="s">
        <v>755</v>
      </c>
      <c r="F179" s="87" t="s">
        <v>5337</v>
      </c>
      <c r="G179" s="1069">
        <v>45909</v>
      </c>
      <c r="H179" s="4">
        <v>150</v>
      </c>
      <c r="I179" s="4">
        <v>150</v>
      </c>
      <c r="J179" s="4"/>
    </row>
    <row r="180" spans="3:10" x14ac:dyDescent="0.35">
      <c r="C180" s="93"/>
      <c r="D180" s="84"/>
      <c r="E180" s="84" t="s">
        <v>733</v>
      </c>
      <c r="F180" s="87" t="s">
        <v>5338</v>
      </c>
      <c r="G180" s="1069">
        <v>45931</v>
      </c>
      <c r="H180" s="4">
        <v>65</v>
      </c>
      <c r="I180" s="4">
        <v>65</v>
      </c>
      <c r="J180" s="4"/>
    </row>
    <row r="181" spans="3:10" x14ac:dyDescent="0.35">
      <c r="C181" s="93"/>
      <c r="D181" s="84"/>
      <c r="E181" s="84" t="s">
        <v>611</v>
      </c>
      <c r="F181" s="1045" t="s">
        <v>5339</v>
      </c>
      <c r="G181" s="1069">
        <v>46004</v>
      </c>
      <c r="H181" s="4">
        <v>50</v>
      </c>
      <c r="I181" s="4">
        <v>50</v>
      </c>
      <c r="J181" s="4"/>
    </row>
    <row r="182" spans="3:10" x14ac:dyDescent="0.35">
      <c r="C182" s="93"/>
      <c r="D182" s="84"/>
      <c r="E182" s="84" t="s">
        <v>608</v>
      </c>
      <c r="F182" s="87" t="s">
        <v>5340</v>
      </c>
      <c r="G182" s="1069">
        <v>46005</v>
      </c>
      <c r="H182" s="4">
        <v>50</v>
      </c>
      <c r="I182" s="4">
        <v>50</v>
      </c>
      <c r="J182" s="4"/>
    </row>
    <row r="183" spans="3:10" x14ac:dyDescent="0.35">
      <c r="C183" s="93"/>
      <c r="D183" s="84"/>
      <c r="E183" s="84" t="s">
        <v>369</v>
      </c>
      <c r="F183" s="1045" t="s">
        <v>5341</v>
      </c>
      <c r="G183" s="1069">
        <v>46057</v>
      </c>
      <c r="H183" s="4">
        <v>150</v>
      </c>
      <c r="I183" s="4">
        <v>150</v>
      </c>
      <c r="J183" s="4"/>
    </row>
    <row r="184" spans="3:10" x14ac:dyDescent="0.35">
      <c r="C184" s="93"/>
      <c r="D184" s="84"/>
      <c r="E184" s="84" t="s">
        <v>347</v>
      </c>
      <c r="F184" s="87" t="s">
        <v>5342</v>
      </c>
      <c r="G184" s="1069">
        <v>46076</v>
      </c>
      <c r="H184" s="4">
        <v>150</v>
      </c>
      <c r="I184" s="4">
        <v>150</v>
      </c>
      <c r="J184" s="4"/>
    </row>
    <row r="185" spans="3:10" x14ac:dyDescent="0.35">
      <c r="C185" s="93"/>
      <c r="D185" s="84"/>
      <c r="E185" s="84" t="s">
        <v>343</v>
      </c>
      <c r="F185" s="87" t="s">
        <v>5343</v>
      </c>
      <c r="G185" s="1069">
        <v>46077</v>
      </c>
      <c r="H185" s="4">
        <v>150</v>
      </c>
      <c r="I185" s="4">
        <v>150</v>
      </c>
      <c r="J185" s="4"/>
    </row>
    <row r="186" spans="3:10" x14ac:dyDescent="0.35">
      <c r="C186" s="93"/>
      <c r="D186" s="84"/>
      <c r="E186" s="84" t="s">
        <v>251</v>
      </c>
      <c r="F186" s="87" t="s">
        <v>5344</v>
      </c>
      <c r="G186" s="1069">
        <v>46131</v>
      </c>
      <c r="H186" s="4">
        <v>150</v>
      </c>
      <c r="I186" s="4">
        <v>25</v>
      </c>
      <c r="J186" s="4" t="s">
        <v>5345</v>
      </c>
    </row>
    <row r="187" spans="3:10" x14ac:dyDescent="0.35">
      <c r="C187" s="93"/>
      <c r="D187" s="84"/>
      <c r="E187" s="84" t="s">
        <v>227</v>
      </c>
      <c r="F187" s="87" t="s">
        <v>5346</v>
      </c>
      <c r="G187" s="1069">
        <v>46138</v>
      </c>
      <c r="H187" s="4">
        <v>50</v>
      </c>
      <c r="I187" s="4">
        <v>50</v>
      </c>
      <c r="J187" s="4"/>
    </row>
    <row r="188" spans="3:10" x14ac:dyDescent="0.35">
      <c r="C188" s="93"/>
      <c r="D188" s="84"/>
      <c r="E188" s="84" t="s">
        <v>208</v>
      </c>
      <c r="F188" s="87" t="s">
        <v>5347</v>
      </c>
      <c r="G188" s="1069">
        <v>46156</v>
      </c>
      <c r="H188" s="4">
        <v>150</v>
      </c>
      <c r="I188" s="4">
        <v>150</v>
      </c>
      <c r="J188" s="4"/>
    </row>
    <row r="189" spans="3:10" x14ac:dyDescent="0.35">
      <c r="C189" s="93"/>
      <c r="D189" s="84"/>
      <c r="E189" s="84"/>
      <c r="F189" s="87"/>
      <c r="G189" s="1069"/>
      <c r="H189" s="4"/>
      <c r="I189" s="4"/>
      <c r="J189" s="4"/>
    </row>
    <row r="190" spans="3:10" x14ac:dyDescent="0.35">
      <c r="C190" s="93"/>
      <c r="D190" s="84"/>
      <c r="E190" s="84"/>
      <c r="F190" s="87"/>
      <c r="G190" s="1069"/>
      <c r="H190" s="4"/>
      <c r="I190" s="4"/>
      <c r="J190" s="4"/>
    </row>
    <row r="191" spans="3:10" x14ac:dyDescent="0.35">
      <c r="C191" s="201" t="s">
        <v>63</v>
      </c>
      <c r="D191" s="200"/>
      <c r="E191" s="200"/>
      <c r="F191" s="90"/>
      <c r="G191" s="1073"/>
      <c r="H191" s="89">
        <f>SUM(H2:H190)</f>
        <v>21605</v>
      </c>
      <c r="I191" s="89">
        <f>SUM(I2:I190)</f>
        <v>9437</v>
      </c>
      <c r="J191" s="89"/>
    </row>
    <row r="192" spans="3:10" x14ac:dyDescent="0.35">
      <c r="C192" s="198"/>
      <c r="D192" s="84"/>
      <c r="E192" s="84"/>
      <c r="F192" s="87"/>
      <c r="G192" s="120"/>
      <c r="H192" s="4"/>
      <c r="I192" s="4"/>
      <c r="J192" s="4"/>
    </row>
    <row r="193" spans="5:7" x14ac:dyDescent="0.35">
      <c r="E193" s="45" t="s">
        <v>5348</v>
      </c>
      <c r="G193" s="120"/>
    </row>
  </sheetData>
  <autoFilter ref="B2:X192" xr:uid="{00000000-0009-0000-0000-00001A000000}"/>
  <conditionalFormatting sqref="J2:J5 J8:J14 J16:J17 J19:J49">
    <cfRule type="cellIs" dxfId="46" priority="5" operator="greaterThan">
      <formula>0</formula>
    </cfRule>
  </conditionalFormatting>
  <conditionalFormatting sqref="J15">
    <cfRule type="cellIs" dxfId="45" priority="4" operator="greaterThan">
      <formula>0</formula>
    </cfRule>
  </conditionalFormatting>
  <conditionalFormatting sqref="J18">
    <cfRule type="cellIs" dxfId="44" priority="3" operator="greaterThan">
      <formula>0</formula>
    </cfRule>
  </conditionalFormatting>
  <conditionalFormatting sqref="J50:J97 J99:J190">
    <cfRule type="cellIs" dxfId="43" priority="2" operator="greaterThan">
      <formula>0</formula>
    </cfRule>
  </conditionalFormatting>
  <conditionalFormatting sqref="J98">
    <cfRule type="cellIs" dxfId="42" priority="1" operator="greaterThan">
      <formula>0</formula>
    </cfRule>
  </conditionalFormatting>
  <hyperlinks>
    <hyperlink ref="K8" r:id="rId1" xr:uid="{00000000-0004-0000-1A00-000000000000}"/>
    <hyperlink ref="K9" r:id="rId2" xr:uid="{00000000-0004-0000-1A00-000001000000}"/>
    <hyperlink ref="K10" r:id="rId3" xr:uid="{00000000-0004-0000-1A00-000002000000}"/>
    <hyperlink ref="K11" r:id="rId4" xr:uid="{00000000-0004-0000-1A00-000003000000}"/>
    <hyperlink ref="K13" r:id="rId5" xr:uid="{00000000-0004-0000-1A00-000004000000}"/>
    <hyperlink ref="K14" r:id="rId6" xr:uid="{00000000-0004-0000-1A00-000005000000}"/>
    <hyperlink ref="K16" r:id="rId7" xr:uid="{00000000-0004-0000-1A00-000006000000}"/>
    <hyperlink ref="K17" r:id="rId8" xr:uid="{00000000-0004-0000-1A00-000007000000}"/>
    <hyperlink ref="K21" r:id="rId9" xr:uid="{00000000-0004-0000-1A00-000008000000}"/>
    <hyperlink ref="K23" r:id="rId10" xr:uid="{00000000-0004-0000-1A00-000009000000}"/>
    <hyperlink ref="K24" r:id="rId11" xr:uid="{00000000-0004-0000-1A00-00000A000000}"/>
    <hyperlink ref="K25" r:id="rId12" xr:uid="{00000000-0004-0000-1A00-00000B000000}"/>
    <hyperlink ref="K30" r:id="rId13" xr:uid="{00000000-0004-0000-1A00-00000C000000}"/>
  </hyperlinks>
  <pageMargins left="0.25" right="0.25" top="0.75" bottom="0.75" header="0.3" footer="0.3"/>
  <pageSetup paperSize="9" scale="10" fitToHeight="0" orientation="landscape" horizontalDpi="300" verticalDpi="30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>
    <tabColor theme="4" tint="-0.249977111117893"/>
    <pageSetUpPr fitToPage="1"/>
  </sheetPr>
  <dimension ref="A5:K51"/>
  <sheetViews>
    <sheetView workbookViewId="0">
      <selection activeCell="B31" sqref="B31:K52"/>
    </sheetView>
  </sheetViews>
  <sheetFormatPr defaultRowHeight="12.75" x14ac:dyDescent="0.35"/>
  <cols>
    <col min="1" max="1" width="11" style="1205" bestFit="1" customWidth="1"/>
    <col min="5" max="5" width="9.796875" style="1205" bestFit="1" customWidth="1"/>
  </cols>
  <sheetData>
    <row r="5" spans="2:9" ht="13.15" customHeight="1" x14ac:dyDescent="0.4">
      <c r="E5" s="762">
        <v>43622</v>
      </c>
      <c r="F5" s="762">
        <v>43624</v>
      </c>
      <c r="G5" s="762">
        <v>43624</v>
      </c>
      <c r="H5" s="762">
        <v>43625</v>
      </c>
      <c r="I5" s="762">
        <v>43626</v>
      </c>
    </row>
    <row r="6" spans="2:9" ht="13.15" customHeight="1" x14ac:dyDescent="0.4">
      <c r="E6" s="297" t="s">
        <v>5349</v>
      </c>
      <c r="F6" s="297" t="s">
        <v>5349</v>
      </c>
      <c r="G6" s="297" t="s">
        <v>5350</v>
      </c>
      <c r="H6" s="297" t="s">
        <v>5350</v>
      </c>
      <c r="I6" s="297" t="s">
        <v>5350</v>
      </c>
    </row>
    <row r="7" spans="2:9" x14ac:dyDescent="0.35">
      <c r="E7" s="756"/>
      <c r="F7" s="756"/>
      <c r="G7" s="756"/>
      <c r="H7" s="756"/>
      <c r="I7" s="756"/>
    </row>
    <row r="8" spans="2:9" x14ac:dyDescent="0.35">
      <c r="E8" s="756"/>
      <c r="F8" s="756"/>
      <c r="G8" s="756"/>
      <c r="H8" s="756"/>
      <c r="I8" s="756"/>
    </row>
    <row r="9" spans="2:9" x14ac:dyDescent="0.35">
      <c r="B9" t="s">
        <v>4179</v>
      </c>
      <c r="C9" t="s">
        <v>5351</v>
      </c>
      <c r="E9" s="757"/>
      <c r="F9" s="757"/>
      <c r="G9" s="757"/>
      <c r="H9" s="757"/>
      <c r="I9" s="757"/>
    </row>
    <row r="10" spans="2:9" x14ac:dyDescent="0.35">
      <c r="B10" t="s">
        <v>5352</v>
      </c>
      <c r="C10" t="s">
        <v>5353</v>
      </c>
      <c r="E10" s="757">
        <v>2</v>
      </c>
      <c r="F10" s="757">
        <v>1</v>
      </c>
      <c r="G10" s="757"/>
      <c r="H10" s="757"/>
      <c r="I10" s="757">
        <v>3</v>
      </c>
    </row>
    <row r="11" spans="2:9" x14ac:dyDescent="0.35">
      <c r="E11" s="757"/>
      <c r="F11" s="757"/>
      <c r="G11" s="757"/>
      <c r="H11" s="757"/>
      <c r="I11" s="757"/>
    </row>
    <row r="12" spans="2:9" x14ac:dyDescent="0.35">
      <c r="B12" s="752" t="s">
        <v>5354</v>
      </c>
      <c r="C12" s="752" t="s">
        <v>5355</v>
      </c>
      <c r="E12" s="757"/>
      <c r="F12" s="757"/>
      <c r="G12" s="757"/>
      <c r="H12" s="757"/>
      <c r="I12" s="757"/>
    </row>
    <row r="13" spans="2:9" x14ac:dyDescent="0.35">
      <c r="B13" s="752" t="s">
        <v>4168</v>
      </c>
      <c r="C13" s="752" t="s">
        <v>4579</v>
      </c>
      <c r="E13" s="757"/>
      <c r="F13" s="757"/>
      <c r="G13" s="757"/>
      <c r="H13" s="757"/>
      <c r="I13" s="757"/>
    </row>
    <row r="14" spans="2:9" x14ac:dyDescent="0.35">
      <c r="B14" s="752"/>
      <c r="C14" s="752"/>
      <c r="E14" s="757"/>
      <c r="F14" s="757"/>
      <c r="G14" s="757"/>
      <c r="H14" s="757"/>
      <c r="I14" s="757"/>
    </row>
    <row r="15" spans="2:9" x14ac:dyDescent="0.35">
      <c r="B15" t="s">
        <v>5356</v>
      </c>
      <c r="C15" t="s">
        <v>5357</v>
      </c>
      <c r="E15" s="757"/>
      <c r="F15" s="757"/>
      <c r="G15" s="757"/>
      <c r="H15" s="757">
        <v>1</v>
      </c>
      <c r="I15" s="757">
        <v>1</v>
      </c>
    </row>
    <row r="17" spans="2:11" x14ac:dyDescent="0.35">
      <c r="B17" s="295" t="s">
        <v>5358</v>
      </c>
      <c r="C17" t="s">
        <v>5359</v>
      </c>
      <c r="E17" s="757">
        <v>1</v>
      </c>
      <c r="F17" s="757">
        <v>1</v>
      </c>
      <c r="G17" s="757"/>
      <c r="H17" s="757"/>
      <c r="I17" s="757"/>
      <c r="J17" s="757"/>
    </row>
    <row r="18" spans="2:11" x14ac:dyDescent="0.35">
      <c r="B18" t="s">
        <v>5360</v>
      </c>
      <c r="C18" t="s">
        <v>5361</v>
      </c>
      <c r="E18" s="757"/>
      <c r="F18" s="757"/>
      <c r="G18" s="757"/>
      <c r="H18" s="757">
        <v>2</v>
      </c>
      <c r="I18" s="757">
        <v>1</v>
      </c>
      <c r="J18" s="757"/>
    </row>
    <row r="19" spans="2:11" x14ac:dyDescent="0.35">
      <c r="B19" t="s">
        <v>4046</v>
      </c>
      <c r="C19" t="s">
        <v>5362</v>
      </c>
      <c r="E19" s="757"/>
      <c r="F19" s="757">
        <v>1</v>
      </c>
      <c r="G19" s="757"/>
      <c r="H19" s="757">
        <v>2</v>
      </c>
      <c r="I19" s="757">
        <v>3</v>
      </c>
      <c r="J19" s="757"/>
    </row>
    <row r="20" spans="2:11" x14ac:dyDescent="0.35">
      <c r="B20" t="s">
        <v>4165</v>
      </c>
      <c r="C20" t="s">
        <v>5363</v>
      </c>
      <c r="E20" s="757">
        <v>1</v>
      </c>
      <c r="F20" s="757"/>
      <c r="G20" s="757">
        <v>2</v>
      </c>
      <c r="H20" s="757">
        <v>3</v>
      </c>
      <c r="I20" s="757">
        <v>4</v>
      </c>
      <c r="J20" s="757"/>
    </row>
    <row r="21" spans="2:11" x14ac:dyDescent="0.35">
      <c r="E21" s="757"/>
      <c r="F21" s="757"/>
      <c r="G21" s="757"/>
      <c r="H21" s="757"/>
      <c r="I21" s="757"/>
      <c r="J21" s="757"/>
    </row>
    <row r="22" spans="2:11" x14ac:dyDescent="0.35">
      <c r="B22" t="s">
        <v>5364</v>
      </c>
      <c r="C22" t="s">
        <v>5365</v>
      </c>
      <c r="E22" s="757">
        <v>2</v>
      </c>
      <c r="F22" s="757"/>
      <c r="G22" s="757"/>
      <c r="H22" s="757"/>
      <c r="I22" s="757">
        <v>1</v>
      </c>
      <c r="J22" s="757"/>
    </row>
    <row r="23" spans="2:11" x14ac:dyDescent="0.35">
      <c r="B23" t="s">
        <v>5366</v>
      </c>
      <c r="C23" t="s">
        <v>5367</v>
      </c>
      <c r="E23" s="757"/>
      <c r="F23" s="757"/>
      <c r="G23" s="757">
        <v>1</v>
      </c>
      <c r="H23" s="757"/>
      <c r="I23" s="757"/>
      <c r="J23" s="757"/>
    </row>
    <row r="24" spans="2:11" x14ac:dyDescent="0.35">
      <c r="B24" t="s">
        <v>5368</v>
      </c>
      <c r="C24" t="s">
        <v>5369</v>
      </c>
      <c r="E24" s="757"/>
      <c r="F24" s="757"/>
      <c r="G24" s="757">
        <v>1</v>
      </c>
      <c r="H24" s="757"/>
      <c r="I24" s="757"/>
      <c r="J24" s="757"/>
    </row>
    <row r="25" spans="2:11" x14ac:dyDescent="0.35">
      <c r="B25" t="s">
        <v>5370</v>
      </c>
      <c r="C25" t="s">
        <v>5371</v>
      </c>
      <c r="E25" s="757"/>
      <c r="F25" s="757"/>
      <c r="G25" s="757">
        <v>1</v>
      </c>
      <c r="H25" s="757">
        <v>1</v>
      </c>
      <c r="I25" s="757"/>
      <c r="J25" s="757"/>
    </row>
    <row r="27" spans="2:11" ht="13.15" customHeight="1" x14ac:dyDescent="0.35">
      <c r="E27" s="758">
        <f>COUNTA(E9:E25)</f>
        <v>4</v>
      </c>
      <c r="F27" s="758">
        <f>COUNTA(F9:F25)</f>
        <v>3</v>
      </c>
      <c r="G27" s="758">
        <f>COUNTA(G9:G25)</f>
        <v>4</v>
      </c>
      <c r="H27" s="758">
        <f>COUNTA(H9:H25)</f>
        <v>5</v>
      </c>
      <c r="I27" s="758">
        <f>COUNTA(I9:I25)</f>
        <v>6</v>
      </c>
      <c r="K27" s="759">
        <f>SUM(E27:J27)</f>
        <v>22</v>
      </c>
    </row>
    <row r="31" spans="2:11" ht="13.15" customHeight="1" x14ac:dyDescent="0.4">
      <c r="E31" s="762">
        <v>43622</v>
      </c>
      <c r="F31" s="762">
        <v>43624</v>
      </c>
      <c r="G31" s="762">
        <v>43624</v>
      </c>
      <c r="H31" s="762">
        <v>43625</v>
      </c>
      <c r="I31" s="762">
        <v>43626</v>
      </c>
      <c r="J31" s="755"/>
      <c r="K31" s="755"/>
    </row>
    <row r="32" spans="2:11" ht="13.15" customHeight="1" x14ac:dyDescent="0.4">
      <c r="E32" s="297" t="s">
        <v>5349</v>
      </c>
      <c r="F32" s="297" t="s">
        <v>5349</v>
      </c>
      <c r="G32" s="297" t="s">
        <v>5350</v>
      </c>
      <c r="H32" s="297" t="s">
        <v>5350</v>
      </c>
      <c r="I32" s="297" t="s">
        <v>5350</v>
      </c>
    </row>
    <row r="33" spans="2:8" x14ac:dyDescent="0.35">
      <c r="B33" t="s">
        <v>4179</v>
      </c>
      <c r="C33" t="s">
        <v>5351</v>
      </c>
      <c r="E33" s="757"/>
      <c r="F33" s="757"/>
      <c r="G33" s="757"/>
      <c r="H33" s="757"/>
    </row>
    <row r="34" spans="2:8" x14ac:dyDescent="0.35">
      <c r="B34" t="s">
        <v>5352</v>
      </c>
      <c r="C34" t="s">
        <v>5353</v>
      </c>
      <c r="E34" s="757">
        <v>1</v>
      </c>
      <c r="F34" s="757"/>
      <c r="G34" s="757"/>
      <c r="H34" s="757"/>
    </row>
    <row r="35" spans="2:8" x14ac:dyDescent="0.35">
      <c r="E35" s="757"/>
      <c r="F35" s="757"/>
      <c r="G35" s="757"/>
      <c r="H35" s="757"/>
    </row>
    <row r="36" spans="2:8" x14ac:dyDescent="0.35">
      <c r="B36" s="752" t="s">
        <v>5354</v>
      </c>
      <c r="C36" s="752" t="s">
        <v>5355</v>
      </c>
      <c r="E36" s="757"/>
      <c r="F36" s="757"/>
      <c r="G36" s="757"/>
      <c r="H36" s="757"/>
    </row>
    <row r="37" spans="2:8" x14ac:dyDescent="0.35">
      <c r="B37" s="752" t="s">
        <v>4168</v>
      </c>
      <c r="C37" s="752" t="s">
        <v>4579</v>
      </c>
      <c r="E37" s="757"/>
      <c r="F37" s="757"/>
      <c r="G37" s="757"/>
      <c r="H37" s="757"/>
    </row>
    <row r="38" spans="2:8" x14ac:dyDescent="0.35">
      <c r="B38" s="752"/>
      <c r="C38" s="752"/>
      <c r="E38" s="757"/>
      <c r="F38" s="757"/>
      <c r="G38" s="757"/>
      <c r="H38" s="757"/>
    </row>
    <row r="39" spans="2:8" x14ac:dyDescent="0.35">
      <c r="B39" t="s">
        <v>5356</v>
      </c>
      <c r="C39" t="s">
        <v>5357</v>
      </c>
      <c r="E39" s="757"/>
      <c r="F39" s="757"/>
      <c r="G39" s="757"/>
      <c r="H39" s="757">
        <v>1</v>
      </c>
    </row>
    <row r="40" spans="2:8" x14ac:dyDescent="0.35">
      <c r="E40" s="757"/>
      <c r="F40" s="757"/>
      <c r="G40" s="757"/>
      <c r="H40" s="757"/>
    </row>
    <row r="41" spans="2:8" x14ac:dyDescent="0.35">
      <c r="B41" s="295" t="s">
        <v>5358</v>
      </c>
      <c r="C41" t="s">
        <v>5359</v>
      </c>
      <c r="E41" s="757">
        <v>1</v>
      </c>
      <c r="F41" s="757"/>
      <c r="G41" s="757"/>
      <c r="H41" s="757"/>
    </row>
    <row r="42" spans="2:8" x14ac:dyDescent="0.35">
      <c r="B42" t="s">
        <v>5360</v>
      </c>
      <c r="C42" t="s">
        <v>5361</v>
      </c>
      <c r="E42" s="757"/>
      <c r="F42" s="757"/>
      <c r="G42" s="757"/>
      <c r="H42" s="757">
        <v>2</v>
      </c>
    </row>
    <row r="43" spans="2:8" x14ac:dyDescent="0.35">
      <c r="B43" t="s">
        <v>4046</v>
      </c>
      <c r="C43" t="s">
        <v>5362</v>
      </c>
      <c r="E43" s="757"/>
      <c r="F43" s="757"/>
      <c r="G43" s="757"/>
      <c r="H43" s="757">
        <v>2</v>
      </c>
    </row>
    <row r="44" spans="2:8" x14ac:dyDescent="0.35">
      <c r="B44" t="s">
        <v>4165</v>
      </c>
      <c r="C44" t="s">
        <v>5363</v>
      </c>
      <c r="E44" s="757">
        <v>1</v>
      </c>
      <c r="F44" s="757"/>
      <c r="G44" s="757"/>
      <c r="H44" s="757"/>
    </row>
    <row r="45" spans="2:8" x14ac:dyDescent="0.35">
      <c r="E45" s="757"/>
      <c r="F45" s="757"/>
      <c r="G45" s="757"/>
      <c r="H45" s="757"/>
    </row>
    <row r="46" spans="2:8" x14ac:dyDescent="0.35">
      <c r="B46" t="s">
        <v>5364</v>
      </c>
      <c r="C46" t="s">
        <v>5365</v>
      </c>
      <c r="E46" s="757">
        <v>2</v>
      </c>
      <c r="F46" s="757"/>
      <c r="G46" s="757"/>
      <c r="H46" s="757"/>
    </row>
    <row r="47" spans="2:8" x14ac:dyDescent="0.35">
      <c r="B47" t="s">
        <v>5366</v>
      </c>
      <c r="C47" t="s">
        <v>5367</v>
      </c>
      <c r="E47" s="757"/>
      <c r="F47" s="757"/>
      <c r="G47" s="757">
        <v>1</v>
      </c>
      <c r="H47" s="757"/>
    </row>
    <row r="48" spans="2:8" x14ac:dyDescent="0.35">
      <c r="B48" t="s">
        <v>5368</v>
      </c>
      <c r="C48" t="s">
        <v>5369</v>
      </c>
      <c r="E48" s="757"/>
      <c r="F48" s="757"/>
      <c r="G48" s="757">
        <v>1</v>
      </c>
      <c r="H48" s="757"/>
    </row>
    <row r="49" spans="2:11" x14ac:dyDescent="0.35">
      <c r="B49" t="s">
        <v>5370</v>
      </c>
      <c r="C49" t="s">
        <v>5371</v>
      </c>
      <c r="E49" s="757"/>
      <c r="F49" s="757"/>
      <c r="G49" s="757">
        <v>1</v>
      </c>
      <c r="H49" s="757"/>
      <c r="I49" s="757"/>
      <c r="J49" s="757"/>
      <c r="K49" s="718"/>
    </row>
    <row r="50" spans="2:11" x14ac:dyDescent="0.35">
      <c r="E50" s="718"/>
      <c r="F50" s="718"/>
      <c r="G50" s="718"/>
      <c r="H50" s="718"/>
      <c r="I50" s="718"/>
      <c r="J50" s="718"/>
      <c r="K50" s="718"/>
    </row>
    <row r="51" spans="2:11" ht="13.15" customHeight="1" x14ac:dyDescent="0.35">
      <c r="E51" s="760">
        <f>COUNTA(E33:E49)</f>
        <v>4</v>
      </c>
      <c r="F51" s="760">
        <f>COUNTA(F33:F49)</f>
        <v>0</v>
      </c>
      <c r="G51" s="760">
        <f>COUNTA(G33:G49)</f>
        <v>3</v>
      </c>
      <c r="H51" s="760">
        <f>COUNTA(H33:H49)</f>
        <v>3</v>
      </c>
      <c r="I51" s="760">
        <f>COUNTA(I33:I49)</f>
        <v>0</v>
      </c>
      <c r="J51" s="718"/>
      <c r="K51" s="761">
        <f>SUM(E51:J51)</f>
        <v>10</v>
      </c>
    </row>
  </sheetData>
  <pageMargins left="0.7" right="0.7" top="0.75" bottom="0.75" header="0.3" footer="0.3"/>
  <pageSetup paperSize="9" scale="87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>
    <tabColor theme="4" tint="-0.249977111117893"/>
  </sheetPr>
  <dimension ref="A1:AG67"/>
  <sheetViews>
    <sheetView topLeftCell="A55" workbookViewId="0">
      <selection activeCell="A8" sqref="A8"/>
    </sheetView>
  </sheetViews>
  <sheetFormatPr defaultRowHeight="12.75" x14ac:dyDescent="0.35"/>
  <cols>
    <col min="1" max="1" width="20.796875" style="1205" bestFit="1" customWidth="1"/>
    <col min="2" max="2" width="19.796875" style="1205" bestFit="1" customWidth="1"/>
    <col min="3" max="3" width="7.796875" style="1205" bestFit="1" customWidth="1"/>
    <col min="4" max="4" width="7.33203125" style="1205" bestFit="1" customWidth="1"/>
    <col min="5" max="5" width="7.796875" style="1205" bestFit="1" customWidth="1"/>
    <col min="6" max="6" width="5.796875" style="1205" bestFit="1" customWidth="1"/>
    <col min="7" max="7" width="7.796875" style="1205" bestFit="1" customWidth="1"/>
    <col min="8" max="8" width="7.86328125" style="1205" bestFit="1" customWidth="1"/>
    <col min="9" max="9" width="12.33203125" style="1205" bestFit="1" customWidth="1"/>
    <col min="10" max="10" width="18.19921875" style="1205" bestFit="1" customWidth="1"/>
    <col min="11" max="11" width="7.796875" style="1205" bestFit="1" customWidth="1"/>
    <col min="12" max="12" width="21.86328125" style="1205" bestFit="1" customWidth="1"/>
    <col min="13" max="13" width="15.46484375" style="1205" bestFit="1" customWidth="1"/>
    <col min="14" max="14" width="13" style="1205" bestFit="1" customWidth="1"/>
    <col min="15" max="15" width="10.1328125" style="1205" bestFit="1" customWidth="1"/>
    <col min="16" max="16" width="25.19921875" style="1205" bestFit="1" customWidth="1"/>
    <col min="17" max="17" width="8.46484375" style="1205" bestFit="1" customWidth="1"/>
    <col min="18" max="18" width="13.19921875" style="1205" bestFit="1" customWidth="1"/>
    <col min="19" max="19" width="13.1328125" style="1205" bestFit="1" customWidth="1"/>
    <col min="20" max="20" width="13.46484375" style="1205" bestFit="1" customWidth="1"/>
    <col min="21" max="21" width="13.796875" style="1205" bestFit="1" customWidth="1"/>
    <col min="22" max="22" width="15.33203125" style="1205" bestFit="1" customWidth="1"/>
    <col min="23" max="23" width="11.796875" style="1205" bestFit="1" customWidth="1"/>
    <col min="24" max="24" width="32.53125" style="1205" bestFit="1" customWidth="1"/>
    <col min="25" max="25" width="18.1328125" style="1205" bestFit="1" customWidth="1"/>
    <col min="26" max="26" width="15.796875" style="1205" bestFit="1" customWidth="1"/>
    <col min="27" max="27" width="30.19921875" style="1205" bestFit="1" customWidth="1"/>
    <col min="28" max="28" width="15.33203125" style="1205" bestFit="1" customWidth="1"/>
    <col min="29" max="29" width="22" style="1205" bestFit="1" customWidth="1"/>
    <col min="30" max="30" width="20.46484375" style="1205" bestFit="1" customWidth="1"/>
    <col min="31" max="31" width="15.86328125" style="1205" bestFit="1" customWidth="1"/>
    <col min="32" max="32" width="7.86328125" style="1205" bestFit="1" customWidth="1"/>
    <col min="33" max="33" width="12.33203125" style="1205" bestFit="1" customWidth="1"/>
  </cols>
  <sheetData>
    <row r="1" spans="1:9" x14ac:dyDescent="0.35">
      <c r="A1" s="716" t="s">
        <v>4935</v>
      </c>
      <c r="B1" t="s">
        <v>5372</v>
      </c>
    </row>
    <row r="3" spans="1:9" x14ac:dyDescent="0.35">
      <c r="A3" s="716" t="s">
        <v>5373</v>
      </c>
      <c r="B3" s="792" t="s">
        <v>2842</v>
      </c>
      <c r="C3" s="793"/>
      <c r="D3" s="793"/>
      <c r="E3" s="793"/>
      <c r="F3" s="793"/>
      <c r="G3" s="793"/>
      <c r="H3" s="793"/>
      <c r="I3" s="793"/>
    </row>
    <row r="4" spans="1:9" x14ac:dyDescent="0.35">
      <c r="A4" s="716" t="s">
        <v>2843</v>
      </c>
      <c r="B4" s="793" t="s">
        <v>3955</v>
      </c>
      <c r="C4" s="793" t="s">
        <v>4359</v>
      </c>
      <c r="D4" s="793" t="s">
        <v>5374</v>
      </c>
      <c r="E4" s="793" t="s">
        <v>528</v>
      </c>
      <c r="F4" s="793" t="s">
        <v>5375</v>
      </c>
      <c r="G4" s="793" t="s">
        <v>5376</v>
      </c>
      <c r="H4" s="793" t="s">
        <v>2846</v>
      </c>
      <c r="I4" s="793" t="s">
        <v>2845</v>
      </c>
    </row>
    <row r="5" spans="1:9" x14ac:dyDescent="0.35">
      <c r="A5" s="717" t="s">
        <v>5377</v>
      </c>
      <c r="B5" s="794"/>
      <c r="C5" s="794"/>
      <c r="D5" s="794"/>
      <c r="E5" s="794"/>
      <c r="F5" s="794"/>
      <c r="G5" s="794">
        <v>4330</v>
      </c>
      <c r="H5" s="794"/>
      <c r="I5" s="572">
        <v>4330</v>
      </c>
    </row>
    <row r="6" spans="1:9" x14ac:dyDescent="0.35">
      <c r="A6" s="717" t="s">
        <v>5378</v>
      </c>
      <c r="B6" s="794"/>
      <c r="C6" s="794"/>
      <c r="D6" s="794"/>
      <c r="E6" s="794">
        <v>1671.25</v>
      </c>
      <c r="F6" s="794"/>
      <c r="G6" s="794"/>
      <c r="H6" s="794"/>
      <c r="I6" s="572">
        <v>1671.25</v>
      </c>
    </row>
    <row r="7" spans="1:9" x14ac:dyDescent="0.35">
      <c r="A7" s="717" t="s">
        <v>495</v>
      </c>
      <c r="B7" s="794"/>
      <c r="C7" s="794">
        <v>700</v>
      </c>
      <c r="D7" s="794"/>
      <c r="E7" s="794"/>
      <c r="F7" s="794"/>
      <c r="G7" s="794"/>
      <c r="H7" s="794"/>
      <c r="I7" s="572">
        <v>700</v>
      </c>
    </row>
    <row r="8" spans="1:9" x14ac:dyDescent="0.35">
      <c r="A8" s="717" t="s">
        <v>463</v>
      </c>
      <c r="B8" s="794"/>
      <c r="C8" s="794"/>
      <c r="D8" s="794"/>
      <c r="E8" s="794">
        <v>675</v>
      </c>
      <c r="F8" s="794"/>
      <c r="G8" s="794"/>
      <c r="H8" s="794"/>
      <c r="I8" s="572">
        <v>675</v>
      </c>
    </row>
    <row r="9" spans="1:9" x14ac:dyDescent="0.35">
      <c r="A9" s="717" t="s">
        <v>5379</v>
      </c>
      <c r="B9" s="794"/>
      <c r="C9" s="794"/>
      <c r="D9" s="794"/>
      <c r="E9" s="794">
        <v>675</v>
      </c>
      <c r="F9" s="794"/>
      <c r="G9" s="794"/>
      <c r="H9" s="794"/>
      <c r="I9" s="572">
        <v>675</v>
      </c>
    </row>
    <row r="10" spans="1:9" x14ac:dyDescent="0.35">
      <c r="A10" s="717" t="s">
        <v>1467</v>
      </c>
      <c r="B10" s="794"/>
      <c r="C10" s="794"/>
      <c r="D10" s="794">
        <v>442.5</v>
      </c>
      <c r="E10" s="794"/>
      <c r="F10" s="794"/>
      <c r="G10" s="794"/>
      <c r="H10" s="794"/>
      <c r="I10" s="572">
        <v>442.5</v>
      </c>
    </row>
    <row r="11" spans="1:9" x14ac:dyDescent="0.35">
      <c r="A11" s="717" t="s">
        <v>357</v>
      </c>
      <c r="B11" s="794"/>
      <c r="C11" s="794">
        <v>425</v>
      </c>
      <c r="D11" s="794"/>
      <c r="E11" s="794"/>
      <c r="F11" s="794"/>
      <c r="G11" s="794"/>
      <c r="H11" s="794"/>
      <c r="I11" s="572">
        <v>425</v>
      </c>
    </row>
    <row r="12" spans="1:9" x14ac:dyDescent="0.35">
      <c r="A12" s="717" t="s">
        <v>5380</v>
      </c>
      <c r="B12" s="794"/>
      <c r="C12" s="794">
        <v>425</v>
      </c>
      <c r="D12" s="794"/>
      <c r="E12" s="794"/>
      <c r="F12" s="794"/>
      <c r="G12" s="794"/>
      <c r="H12" s="794"/>
      <c r="I12" s="572">
        <v>425</v>
      </c>
    </row>
    <row r="13" spans="1:9" x14ac:dyDescent="0.35">
      <c r="A13" s="717" t="s">
        <v>2486</v>
      </c>
      <c r="B13" s="794"/>
      <c r="C13" s="794"/>
      <c r="D13" s="794"/>
      <c r="E13" s="794"/>
      <c r="F13" s="794">
        <v>260.5</v>
      </c>
      <c r="G13" s="794"/>
      <c r="H13" s="794"/>
      <c r="I13" s="572">
        <v>260.5</v>
      </c>
    </row>
    <row r="14" spans="1:9" x14ac:dyDescent="0.35">
      <c r="A14" s="717" t="s">
        <v>5381</v>
      </c>
      <c r="B14" s="794"/>
      <c r="C14" s="794"/>
      <c r="D14" s="794">
        <v>190</v>
      </c>
      <c r="E14" s="794"/>
      <c r="F14" s="794"/>
      <c r="G14" s="794"/>
      <c r="H14" s="794"/>
      <c r="I14" s="572">
        <v>190</v>
      </c>
    </row>
    <row r="15" spans="1:9" x14ac:dyDescent="0.35">
      <c r="A15" s="717" t="s">
        <v>2846</v>
      </c>
      <c r="B15" s="794"/>
      <c r="C15" s="794"/>
      <c r="D15" s="794">
        <v>150</v>
      </c>
      <c r="E15" s="794"/>
      <c r="F15" s="794"/>
      <c r="G15" s="794"/>
      <c r="H15" s="794"/>
      <c r="I15" s="572">
        <v>150</v>
      </c>
    </row>
    <row r="16" spans="1:9" x14ac:dyDescent="0.35">
      <c r="A16" s="717" t="s">
        <v>235</v>
      </c>
      <c r="B16" s="794">
        <v>150</v>
      </c>
      <c r="C16" s="794"/>
      <c r="D16" s="794"/>
      <c r="E16" s="794"/>
      <c r="F16" s="794"/>
      <c r="G16" s="794"/>
      <c r="H16" s="794"/>
      <c r="I16" s="572">
        <v>150</v>
      </c>
    </row>
    <row r="17" spans="1:9" x14ac:dyDescent="0.35">
      <c r="A17" s="717" t="s">
        <v>243</v>
      </c>
      <c r="B17" s="572"/>
      <c r="C17" s="572"/>
      <c r="D17" s="572">
        <v>100</v>
      </c>
      <c r="E17" s="572"/>
      <c r="F17" s="572"/>
      <c r="G17" s="572"/>
      <c r="H17" s="572"/>
      <c r="I17" s="572">
        <v>100</v>
      </c>
    </row>
    <row r="18" spans="1:9" x14ac:dyDescent="0.35">
      <c r="A18" s="717" t="s">
        <v>5382</v>
      </c>
      <c r="B18" s="572"/>
      <c r="C18" s="572"/>
      <c r="D18" s="572">
        <v>50</v>
      </c>
      <c r="E18" s="572"/>
      <c r="F18" s="572"/>
      <c r="G18" s="572"/>
      <c r="H18" s="572"/>
      <c r="I18" s="572">
        <v>50</v>
      </c>
    </row>
    <row r="19" spans="1:9" x14ac:dyDescent="0.35">
      <c r="A19" s="717" t="s">
        <v>1513</v>
      </c>
      <c r="B19" s="572"/>
      <c r="C19" s="572"/>
      <c r="D19" s="572">
        <v>49</v>
      </c>
      <c r="E19" s="572"/>
      <c r="F19" s="572"/>
      <c r="G19" s="572"/>
      <c r="H19" s="572"/>
      <c r="I19" s="572">
        <v>49</v>
      </c>
    </row>
    <row r="20" spans="1:9" x14ac:dyDescent="0.35">
      <c r="A20" s="717" t="s">
        <v>2845</v>
      </c>
      <c r="B20" s="794">
        <v>150</v>
      </c>
      <c r="C20" s="794">
        <v>1550</v>
      </c>
      <c r="D20" s="794">
        <v>981.5</v>
      </c>
      <c r="E20" s="794">
        <v>3021.25</v>
      </c>
      <c r="F20" s="794">
        <v>260.5</v>
      </c>
      <c r="G20" s="794">
        <v>4330</v>
      </c>
      <c r="H20" s="794"/>
      <c r="I20" s="572">
        <v>10293.25</v>
      </c>
    </row>
    <row r="48" spans="1:2" x14ac:dyDescent="0.35">
      <c r="A48" s="716" t="s">
        <v>4935</v>
      </c>
      <c r="B48" t="s">
        <v>5372</v>
      </c>
    </row>
    <row r="50" spans="1:9" x14ac:dyDescent="0.35">
      <c r="A50" s="716" t="s">
        <v>5383</v>
      </c>
      <c r="B50" s="716" t="s">
        <v>2842</v>
      </c>
    </row>
    <row r="51" spans="1:9" x14ac:dyDescent="0.35">
      <c r="A51" s="716" t="s">
        <v>2843</v>
      </c>
      <c r="B51" t="s">
        <v>3955</v>
      </c>
      <c r="C51" t="s">
        <v>4359</v>
      </c>
      <c r="D51" t="s">
        <v>5374</v>
      </c>
      <c r="E51" t="s">
        <v>528</v>
      </c>
      <c r="F51" t="s">
        <v>5375</v>
      </c>
      <c r="G51" t="s">
        <v>2846</v>
      </c>
      <c r="H51" t="s">
        <v>5376</v>
      </c>
      <c r="I51" t="s">
        <v>2845</v>
      </c>
    </row>
    <row r="52" spans="1:9" x14ac:dyDescent="0.35">
      <c r="A52" s="717" t="s">
        <v>5381</v>
      </c>
      <c r="B52" s="572"/>
      <c r="C52" s="572"/>
      <c r="D52" s="572">
        <v>19</v>
      </c>
      <c r="E52" s="572"/>
      <c r="F52" s="572"/>
      <c r="G52" s="572"/>
      <c r="H52" s="572"/>
      <c r="I52" s="572">
        <v>19</v>
      </c>
    </row>
    <row r="53" spans="1:9" x14ac:dyDescent="0.35">
      <c r="A53" s="717" t="s">
        <v>1467</v>
      </c>
      <c r="B53" s="572"/>
      <c r="C53" s="572"/>
      <c r="D53" s="572">
        <v>6</v>
      </c>
      <c r="E53" s="572"/>
      <c r="F53" s="572"/>
      <c r="G53" s="572"/>
      <c r="H53" s="572"/>
      <c r="I53" s="572">
        <v>6</v>
      </c>
    </row>
    <row r="54" spans="1:9" x14ac:dyDescent="0.35">
      <c r="A54" s="717" t="s">
        <v>5377</v>
      </c>
      <c r="B54" s="572"/>
      <c r="C54" s="572"/>
      <c r="D54" s="572"/>
      <c r="E54" s="572"/>
      <c r="F54" s="572"/>
      <c r="G54" s="572"/>
      <c r="H54" s="572">
        <v>5</v>
      </c>
      <c r="I54" s="572">
        <v>5</v>
      </c>
    </row>
    <row r="55" spans="1:9" x14ac:dyDescent="0.35">
      <c r="A55" s="717" t="s">
        <v>2846</v>
      </c>
      <c r="B55" s="572"/>
      <c r="C55" s="572"/>
      <c r="D55" s="572">
        <v>3</v>
      </c>
      <c r="E55" s="572"/>
      <c r="F55" s="572"/>
      <c r="G55" s="572"/>
      <c r="H55" s="572"/>
      <c r="I55" s="572">
        <v>3</v>
      </c>
    </row>
    <row r="56" spans="1:9" x14ac:dyDescent="0.35">
      <c r="A56" s="717" t="s">
        <v>2486</v>
      </c>
      <c r="B56" s="572"/>
      <c r="C56" s="572"/>
      <c r="D56" s="572"/>
      <c r="E56" s="572"/>
      <c r="F56" s="572">
        <v>3</v>
      </c>
      <c r="G56" s="572"/>
      <c r="H56" s="572"/>
      <c r="I56" s="572">
        <v>3</v>
      </c>
    </row>
    <row r="57" spans="1:9" x14ac:dyDescent="0.35">
      <c r="A57" s="717" t="s">
        <v>5378</v>
      </c>
      <c r="B57" s="572"/>
      <c r="C57" s="572"/>
      <c r="D57" s="572"/>
      <c r="E57" s="572">
        <v>3</v>
      </c>
      <c r="F57" s="572"/>
      <c r="G57" s="572"/>
      <c r="H57" s="572"/>
      <c r="I57" s="572">
        <v>3</v>
      </c>
    </row>
    <row r="58" spans="1:9" x14ac:dyDescent="0.35">
      <c r="A58" s="717" t="s">
        <v>495</v>
      </c>
      <c r="B58" s="572"/>
      <c r="C58" s="572">
        <v>2</v>
      </c>
      <c r="D58" s="572"/>
      <c r="E58" s="572"/>
      <c r="F58" s="572"/>
      <c r="G58" s="572"/>
      <c r="H58" s="572"/>
      <c r="I58" s="572">
        <v>2</v>
      </c>
    </row>
    <row r="59" spans="1:9" x14ac:dyDescent="0.35">
      <c r="A59" s="717" t="s">
        <v>243</v>
      </c>
      <c r="B59" s="572"/>
      <c r="C59" s="572"/>
      <c r="D59" s="572">
        <v>2</v>
      </c>
      <c r="E59" s="572"/>
      <c r="F59" s="572"/>
      <c r="G59" s="572"/>
      <c r="H59" s="572"/>
      <c r="I59" s="572">
        <v>2</v>
      </c>
    </row>
    <row r="60" spans="1:9" x14ac:dyDescent="0.35">
      <c r="A60" s="717" t="s">
        <v>235</v>
      </c>
      <c r="B60" s="572">
        <v>1</v>
      </c>
      <c r="C60" s="572"/>
      <c r="D60" s="572"/>
      <c r="E60" s="572"/>
      <c r="F60" s="572"/>
      <c r="G60" s="572"/>
      <c r="H60" s="572"/>
      <c r="I60" s="572">
        <v>1</v>
      </c>
    </row>
    <row r="61" spans="1:9" x14ac:dyDescent="0.35">
      <c r="A61" s="717" t="s">
        <v>5380</v>
      </c>
      <c r="B61" s="572"/>
      <c r="C61" s="572">
        <v>1</v>
      </c>
      <c r="D61" s="572"/>
      <c r="E61" s="572"/>
      <c r="F61" s="572"/>
      <c r="G61" s="572"/>
      <c r="H61" s="572"/>
      <c r="I61" s="572">
        <v>1</v>
      </c>
    </row>
    <row r="62" spans="1:9" x14ac:dyDescent="0.35">
      <c r="A62" s="717" t="s">
        <v>1513</v>
      </c>
      <c r="B62" s="572"/>
      <c r="C62" s="572"/>
      <c r="D62" s="572">
        <v>1</v>
      </c>
      <c r="E62" s="572"/>
      <c r="F62" s="572"/>
      <c r="G62" s="572"/>
      <c r="H62" s="572"/>
      <c r="I62" s="572">
        <v>1</v>
      </c>
    </row>
    <row r="63" spans="1:9" x14ac:dyDescent="0.35">
      <c r="A63" s="717" t="s">
        <v>5379</v>
      </c>
      <c r="B63" s="572"/>
      <c r="C63" s="572"/>
      <c r="D63" s="572"/>
      <c r="E63" s="572">
        <v>1</v>
      </c>
      <c r="F63" s="572"/>
      <c r="G63" s="572"/>
      <c r="H63" s="572"/>
      <c r="I63" s="572">
        <v>1</v>
      </c>
    </row>
    <row r="64" spans="1:9" x14ac:dyDescent="0.35">
      <c r="A64" s="717" t="s">
        <v>5382</v>
      </c>
      <c r="B64" s="572"/>
      <c r="C64" s="572"/>
      <c r="D64" s="572">
        <v>1</v>
      </c>
      <c r="E64" s="572"/>
      <c r="F64" s="572"/>
      <c r="G64" s="572"/>
      <c r="H64" s="572"/>
      <c r="I64" s="572">
        <v>1</v>
      </c>
    </row>
    <row r="65" spans="1:9" x14ac:dyDescent="0.35">
      <c r="A65" s="717" t="s">
        <v>463</v>
      </c>
      <c r="B65" s="572"/>
      <c r="C65" s="572"/>
      <c r="D65" s="572"/>
      <c r="E65" s="572">
        <v>1</v>
      </c>
      <c r="F65" s="572"/>
      <c r="G65" s="572"/>
      <c r="H65" s="572"/>
      <c r="I65" s="572">
        <v>1</v>
      </c>
    </row>
    <row r="66" spans="1:9" x14ac:dyDescent="0.35">
      <c r="A66" s="717" t="s">
        <v>357</v>
      </c>
      <c r="B66" s="572"/>
      <c r="C66" s="572">
        <v>1</v>
      </c>
      <c r="D66" s="572"/>
      <c r="E66" s="572"/>
      <c r="F66" s="572"/>
      <c r="G66" s="572"/>
      <c r="H66" s="572"/>
      <c r="I66" s="572">
        <v>1</v>
      </c>
    </row>
    <row r="67" spans="1:9" x14ac:dyDescent="0.35">
      <c r="A67" s="717" t="s">
        <v>2845</v>
      </c>
      <c r="B67" s="572">
        <v>1</v>
      </c>
      <c r="C67" s="572">
        <v>4</v>
      </c>
      <c r="D67" s="572">
        <v>32</v>
      </c>
      <c r="E67" s="572">
        <v>5</v>
      </c>
      <c r="F67" s="572">
        <v>3</v>
      </c>
      <c r="G67" s="572"/>
      <c r="H67" s="572">
        <v>5</v>
      </c>
      <c r="I67" s="572">
        <v>50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>
    <tabColor theme="7" tint="0.39997558519241921"/>
    <pageSetUpPr fitToPage="1"/>
  </sheetPr>
  <dimension ref="A1:AC174"/>
  <sheetViews>
    <sheetView topLeftCell="B1" workbookViewId="0">
      <pane ySplit="5" topLeftCell="A132" activePane="bottomLeft" state="frozen"/>
      <selection pane="bottomLeft" activeCell="T164" sqref="T164"/>
    </sheetView>
  </sheetViews>
  <sheetFormatPr defaultColWidth="9.1328125" defaultRowHeight="12.4" x14ac:dyDescent="0.3"/>
  <cols>
    <col min="1" max="1" width="11.19921875" style="301" bestFit="1" customWidth="1"/>
    <col min="2" max="2" width="11.796875" style="302" customWidth="1"/>
    <col min="3" max="3" width="8.86328125" style="302" bestFit="1" customWidth="1"/>
    <col min="4" max="4" width="14.1328125" style="302" customWidth="1"/>
    <col min="5" max="5" width="8.86328125" style="302" bestFit="1" customWidth="1"/>
    <col min="6" max="6" width="9.46484375" style="302" bestFit="1" customWidth="1"/>
    <col min="7" max="7" width="19" style="302" bestFit="1" customWidth="1"/>
    <col min="8" max="8" width="14" style="302" bestFit="1" customWidth="1"/>
    <col min="9" max="9" width="8" style="302" bestFit="1" customWidth="1"/>
    <col min="10" max="10" width="15.53125" style="302" bestFit="1" customWidth="1"/>
    <col min="11" max="15" width="15.53125" style="302" customWidth="1"/>
    <col min="16" max="16" width="37.1328125" style="302" bestFit="1" customWidth="1"/>
    <col min="17" max="17" width="6.86328125" style="302" bestFit="1" customWidth="1"/>
    <col min="18" max="18" width="9" style="302" bestFit="1" customWidth="1"/>
    <col min="19" max="19" width="12.33203125" style="302" customWidth="1"/>
    <col min="20" max="20" width="4.46484375" style="368" customWidth="1"/>
    <col min="21" max="21" width="21.19921875" style="302" bestFit="1" customWidth="1"/>
    <col min="22" max="22" width="11.1328125" style="302" bestFit="1" customWidth="1"/>
    <col min="23" max="23" width="20.46484375" style="368" bestFit="1" customWidth="1"/>
    <col min="24" max="24" width="24.796875" style="302" bestFit="1" customWidth="1"/>
    <col min="25" max="25" width="21.86328125" style="302" customWidth="1"/>
    <col min="26" max="26" width="14.796875" style="302" bestFit="1" customWidth="1"/>
    <col min="27" max="27" width="14.1328125" style="302" customWidth="1"/>
    <col min="28" max="28" width="12.1328125" style="302" customWidth="1"/>
    <col min="29" max="29" width="27.19921875" style="302" customWidth="1"/>
    <col min="30" max="30" width="15.86328125" style="302" customWidth="1"/>
    <col min="31" max="31" width="14.86328125" style="302" customWidth="1"/>
    <col min="32" max="32" width="9.1328125" style="302" customWidth="1"/>
    <col min="33" max="16384" width="9.1328125" style="302"/>
  </cols>
  <sheetData>
    <row r="1" spans="1:29" ht="47.25" customHeight="1" x14ac:dyDescent="0.3">
      <c r="H1" s="303" t="s">
        <v>5384</v>
      </c>
      <c r="R1" s="304"/>
      <c r="T1" s="305" t="s">
        <v>5385</v>
      </c>
      <c r="U1" s="304"/>
      <c r="V1" s="304"/>
      <c r="W1" s="304"/>
      <c r="X1" s="304"/>
    </row>
    <row r="2" spans="1:29" ht="12.75" customHeight="1" x14ac:dyDescent="0.3">
      <c r="R2" s="304"/>
      <c r="T2" s="306"/>
      <c r="U2" s="304"/>
      <c r="V2" s="304"/>
      <c r="W2" s="304"/>
      <c r="X2" s="304"/>
    </row>
    <row r="3" spans="1:29" x14ac:dyDescent="0.3">
      <c r="A3" s="307"/>
      <c r="B3" s="308"/>
      <c r="C3" s="308"/>
      <c r="D3" s="309"/>
      <c r="E3" s="309"/>
      <c r="F3" s="309"/>
      <c r="G3" s="309"/>
      <c r="H3" s="310"/>
      <c r="I3" s="309"/>
      <c r="J3" s="309"/>
      <c r="K3" s="309"/>
      <c r="L3" s="309"/>
      <c r="M3" s="309"/>
      <c r="N3" s="309"/>
      <c r="O3" s="309"/>
      <c r="P3" s="308"/>
      <c r="Q3" s="308"/>
      <c r="R3" s="308"/>
      <c r="S3" s="308"/>
      <c r="T3" s="311"/>
      <c r="U3" s="312"/>
      <c r="V3" s="308"/>
      <c r="W3" s="308"/>
      <c r="X3" s="308"/>
      <c r="Y3" s="309"/>
      <c r="Z3" s="308"/>
      <c r="AA3" s="313"/>
      <c r="AB3" s="313"/>
      <c r="AC3" s="314"/>
    </row>
    <row r="5" spans="1:29" s="303" customFormat="1" ht="38.25" customHeight="1" x14ac:dyDescent="0.3">
      <c r="A5" s="307" t="s">
        <v>4501</v>
      </c>
      <c r="B5" s="308" t="s">
        <v>4504</v>
      </c>
      <c r="C5" s="308" t="s">
        <v>5386</v>
      </c>
      <c r="D5" s="309" t="s">
        <v>129</v>
      </c>
      <c r="E5" s="309" t="s">
        <v>3880</v>
      </c>
      <c r="F5" s="309" t="s">
        <v>4934</v>
      </c>
      <c r="G5" s="309" t="s">
        <v>4321</v>
      </c>
      <c r="H5" s="310" t="s">
        <v>191</v>
      </c>
      <c r="I5" s="309" t="s">
        <v>5387</v>
      </c>
      <c r="J5" s="195" t="s">
        <v>5388</v>
      </c>
      <c r="K5" s="195" t="s">
        <v>5389</v>
      </c>
      <c r="L5" s="195" t="s">
        <v>5390</v>
      </c>
      <c r="M5" s="195" t="s">
        <v>5391</v>
      </c>
      <c r="N5" s="195" t="s">
        <v>5392</v>
      </c>
      <c r="O5" s="195" t="s">
        <v>5393</v>
      </c>
      <c r="P5" s="308" t="s">
        <v>4502</v>
      </c>
      <c r="Q5" s="308" t="s">
        <v>4938</v>
      </c>
      <c r="R5" s="308" t="s">
        <v>4939</v>
      </c>
      <c r="S5" s="308" t="s">
        <v>4940</v>
      </c>
      <c r="T5" s="311" t="s">
        <v>4941</v>
      </c>
      <c r="U5" s="312" t="s">
        <v>4942</v>
      </c>
      <c r="V5" s="308" t="s">
        <v>4943</v>
      </c>
      <c r="W5" s="308" t="s">
        <v>4944</v>
      </c>
      <c r="X5" s="308" t="s">
        <v>4945</v>
      </c>
      <c r="Y5" s="309" t="s">
        <v>4946</v>
      </c>
      <c r="Z5" s="308" t="s">
        <v>4947</v>
      </c>
      <c r="AA5" s="313" t="s">
        <v>4948</v>
      </c>
      <c r="AB5" s="313" t="s">
        <v>4949</v>
      </c>
      <c r="AC5" s="314" t="s">
        <v>4950</v>
      </c>
    </row>
    <row r="6" spans="1:29" ht="12.75" customHeight="1" x14ac:dyDescent="0.3">
      <c r="A6" s="315" t="s">
        <v>4507</v>
      </c>
      <c r="B6" s="316">
        <v>41001</v>
      </c>
      <c r="C6" s="316"/>
      <c r="D6" s="317"/>
      <c r="E6" s="317"/>
      <c r="F6" s="316"/>
      <c r="G6" s="316"/>
      <c r="H6" s="316"/>
      <c r="I6" s="316"/>
      <c r="J6" s="316"/>
      <c r="K6" s="316"/>
      <c r="L6" s="316"/>
      <c r="M6" s="316"/>
      <c r="N6" s="316"/>
      <c r="O6" s="316"/>
      <c r="P6" s="318" t="s">
        <v>4508</v>
      </c>
      <c r="Q6" s="317" t="s">
        <v>5394</v>
      </c>
      <c r="R6" s="317" t="s">
        <v>4401</v>
      </c>
      <c r="S6" s="317" t="s">
        <v>5395</v>
      </c>
      <c r="T6" s="319">
        <v>34</v>
      </c>
      <c r="U6" s="320" t="s">
        <v>5396</v>
      </c>
      <c r="V6" s="317" t="s">
        <v>5397</v>
      </c>
      <c r="W6" s="317" t="s">
        <v>5398</v>
      </c>
      <c r="X6" s="317" t="s">
        <v>5399</v>
      </c>
      <c r="Y6" s="317" t="s">
        <v>5400</v>
      </c>
      <c r="Z6" s="317">
        <v>4</v>
      </c>
      <c r="AA6" s="317" t="s">
        <v>5401</v>
      </c>
      <c r="AB6" s="317" t="s">
        <v>5402</v>
      </c>
      <c r="AC6" s="320" t="s">
        <v>5403</v>
      </c>
    </row>
    <row r="7" spans="1:29" s="323" customFormat="1" ht="16.5" customHeight="1" x14ac:dyDescent="0.35">
      <c r="A7" s="321">
        <v>1</v>
      </c>
      <c r="B7" s="322">
        <v>41959</v>
      </c>
      <c r="C7" s="323" t="s">
        <v>5404</v>
      </c>
      <c r="D7" s="324">
        <v>122.5</v>
      </c>
      <c r="E7" s="324">
        <v>0</v>
      </c>
      <c r="F7" s="322" t="s">
        <v>5375</v>
      </c>
      <c r="G7" s="323" t="s">
        <v>5405</v>
      </c>
      <c r="H7" s="323" t="s">
        <v>174</v>
      </c>
      <c r="J7" s="325">
        <v>42065</v>
      </c>
      <c r="K7" s="912"/>
      <c r="L7" s="912"/>
      <c r="M7" s="912"/>
      <c r="N7" s="912"/>
      <c r="O7" s="912"/>
      <c r="P7" s="326" t="s">
        <v>5406</v>
      </c>
      <c r="R7" s="323" t="s">
        <v>5407</v>
      </c>
      <c r="S7" s="323" t="s">
        <v>5408</v>
      </c>
      <c r="U7" s="327" t="s">
        <v>5409</v>
      </c>
      <c r="V7" s="323" t="s">
        <v>5410</v>
      </c>
      <c r="W7" s="323" t="s">
        <v>5411</v>
      </c>
      <c r="X7" s="323" t="s">
        <v>5412</v>
      </c>
    </row>
    <row r="8" spans="1:29" s="323" customFormat="1" ht="16.5" customHeight="1" x14ac:dyDescent="0.35">
      <c r="A8" s="321">
        <v>2</v>
      </c>
      <c r="B8" s="322">
        <v>41972</v>
      </c>
      <c r="C8" s="322" t="s">
        <v>5413</v>
      </c>
      <c r="D8" s="324">
        <v>122.5</v>
      </c>
      <c r="E8" s="324">
        <v>0</v>
      </c>
      <c r="F8" s="322" t="s">
        <v>5375</v>
      </c>
      <c r="G8" s="323" t="s">
        <v>5405</v>
      </c>
      <c r="H8" s="323" t="s">
        <v>5414</v>
      </c>
      <c r="J8" s="322">
        <v>42102</v>
      </c>
      <c r="K8" s="322"/>
      <c r="L8" s="322"/>
      <c r="M8" s="322"/>
      <c r="N8" s="322"/>
      <c r="O8" s="322"/>
      <c r="P8" s="328" t="s">
        <v>4136</v>
      </c>
      <c r="Q8" s="323" t="s">
        <v>5394</v>
      </c>
      <c r="R8" s="323" t="s">
        <v>1032</v>
      </c>
      <c r="S8" s="323" t="s">
        <v>3992</v>
      </c>
      <c r="T8" s="329" t="s">
        <v>5415</v>
      </c>
      <c r="U8" s="330" t="s">
        <v>5416</v>
      </c>
      <c r="V8" s="323" t="s">
        <v>4398</v>
      </c>
      <c r="W8" s="323" t="s">
        <v>5417</v>
      </c>
      <c r="X8" s="323" t="s">
        <v>4376</v>
      </c>
      <c r="Y8" s="323" t="s">
        <v>5418</v>
      </c>
      <c r="Z8" s="323" t="s">
        <v>5419</v>
      </c>
      <c r="AA8" s="323" t="s">
        <v>5420</v>
      </c>
      <c r="AC8" s="331" t="s">
        <v>5421</v>
      </c>
    </row>
    <row r="9" spans="1:29" s="323" customFormat="1" ht="16.5" customHeight="1" x14ac:dyDescent="0.35">
      <c r="A9" s="321">
        <v>3</v>
      </c>
      <c r="B9" s="325">
        <v>42023</v>
      </c>
      <c r="C9" s="325" t="s">
        <v>5422</v>
      </c>
      <c r="D9" s="332">
        <f>325/2</f>
        <v>162.5</v>
      </c>
      <c r="E9" s="332">
        <v>0</v>
      </c>
      <c r="F9" s="333" t="s">
        <v>5375</v>
      </c>
      <c r="G9" s="323" t="s">
        <v>5405</v>
      </c>
      <c r="H9" s="323" t="s">
        <v>5414</v>
      </c>
      <c r="J9" s="325">
        <v>42032</v>
      </c>
      <c r="K9" s="912"/>
      <c r="L9" s="912"/>
      <c r="M9" s="912"/>
      <c r="N9" s="912"/>
      <c r="O9" s="912"/>
      <c r="P9" s="328" t="s">
        <v>5423</v>
      </c>
      <c r="Q9" s="323" t="s">
        <v>4955</v>
      </c>
      <c r="R9" s="323" t="s">
        <v>3985</v>
      </c>
      <c r="S9" s="323" t="s">
        <v>4257</v>
      </c>
      <c r="T9" s="329" t="s">
        <v>4900</v>
      </c>
      <c r="U9" s="331" t="s">
        <v>5424</v>
      </c>
      <c r="W9" s="323" t="s">
        <v>5425</v>
      </c>
      <c r="X9" s="334" t="s">
        <v>316</v>
      </c>
      <c r="AC9" s="331"/>
    </row>
    <row r="10" spans="1:29" s="323" customFormat="1" ht="16.5" customHeight="1" x14ac:dyDescent="0.35">
      <c r="A10" s="321">
        <v>4</v>
      </c>
      <c r="B10" s="325">
        <v>42023</v>
      </c>
      <c r="C10" s="325" t="s">
        <v>5422</v>
      </c>
      <c r="D10" s="332">
        <f>325/2</f>
        <v>162.5</v>
      </c>
      <c r="E10" s="332">
        <v>0</v>
      </c>
      <c r="F10" s="333" t="s">
        <v>5375</v>
      </c>
      <c r="G10" s="323" t="s">
        <v>5405</v>
      </c>
      <c r="H10" s="323" t="s">
        <v>5414</v>
      </c>
      <c r="J10" s="325">
        <v>42045</v>
      </c>
      <c r="K10" s="912"/>
      <c r="L10" s="912"/>
      <c r="M10" s="912"/>
      <c r="N10" s="912"/>
      <c r="O10" s="912"/>
      <c r="P10" s="328" t="s">
        <v>5423</v>
      </c>
      <c r="Q10" s="323" t="s">
        <v>4955</v>
      </c>
      <c r="R10" s="323" t="s">
        <v>3985</v>
      </c>
      <c r="S10" s="323" t="s">
        <v>4257</v>
      </c>
      <c r="T10" s="329" t="s">
        <v>4900</v>
      </c>
      <c r="U10" s="331" t="s">
        <v>5424</v>
      </c>
      <c r="W10" s="323" t="s">
        <v>5425</v>
      </c>
      <c r="X10" s="334" t="s">
        <v>316</v>
      </c>
      <c r="Z10" s="334"/>
      <c r="AA10" s="334"/>
      <c r="AB10" s="334"/>
    </row>
    <row r="11" spans="1:29" s="323" customFormat="1" ht="16.5" customHeight="1" x14ac:dyDescent="0.35">
      <c r="A11" s="321">
        <v>5</v>
      </c>
      <c r="B11" s="325">
        <v>42145</v>
      </c>
      <c r="C11" s="323" t="s">
        <v>5426</v>
      </c>
      <c r="D11" s="323">
        <v>175</v>
      </c>
      <c r="E11" s="323">
        <v>0</v>
      </c>
      <c r="F11" s="333" t="s">
        <v>5375</v>
      </c>
      <c r="G11" s="323" t="s">
        <v>5427</v>
      </c>
      <c r="H11" s="323" t="s">
        <v>174</v>
      </c>
      <c r="J11" s="325">
        <v>42156</v>
      </c>
      <c r="K11" s="912"/>
      <c r="L11" s="912"/>
      <c r="M11" s="912"/>
      <c r="N11" s="912"/>
      <c r="O11" s="912"/>
      <c r="P11" s="326" t="s">
        <v>5428</v>
      </c>
      <c r="Q11" s="323" t="s">
        <v>4664</v>
      </c>
      <c r="R11" s="323" t="s">
        <v>5429</v>
      </c>
      <c r="S11" s="323" t="s">
        <v>5430</v>
      </c>
      <c r="T11" s="327" t="s">
        <v>5431</v>
      </c>
      <c r="U11" s="327" t="s">
        <v>5432</v>
      </c>
      <c r="V11" s="323" t="s">
        <v>5433</v>
      </c>
      <c r="W11" s="327" t="s">
        <v>5434</v>
      </c>
      <c r="X11" s="323" t="s">
        <v>4454</v>
      </c>
    </row>
    <row r="12" spans="1:29" s="323" customFormat="1" ht="16.5" customHeight="1" x14ac:dyDescent="0.35">
      <c r="A12" s="321">
        <v>6</v>
      </c>
      <c r="B12" s="325">
        <v>42145</v>
      </c>
      <c r="C12" s="323" t="s">
        <v>5426</v>
      </c>
      <c r="D12" s="323">
        <v>0</v>
      </c>
      <c r="E12" s="323">
        <v>0</v>
      </c>
      <c r="F12" s="333" t="s">
        <v>5375</v>
      </c>
      <c r="G12" s="323" t="s">
        <v>5427</v>
      </c>
      <c r="H12" s="323" t="s">
        <v>174</v>
      </c>
      <c r="J12" s="325">
        <v>42156</v>
      </c>
      <c r="K12" s="912"/>
      <c r="L12" s="912"/>
      <c r="M12" s="912"/>
      <c r="N12" s="912"/>
      <c r="O12" s="912"/>
      <c r="P12" s="326" t="s">
        <v>5435</v>
      </c>
      <c r="Q12" s="323" t="s">
        <v>4664</v>
      </c>
      <c r="R12" s="323" t="s">
        <v>5436</v>
      </c>
      <c r="S12" s="323" t="s">
        <v>5437</v>
      </c>
      <c r="T12" s="327"/>
      <c r="U12" s="327" t="s">
        <v>5438</v>
      </c>
      <c r="V12" s="323" t="s">
        <v>5433</v>
      </c>
      <c r="W12" s="327" t="s">
        <v>5439</v>
      </c>
      <c r="X12" s="323" t="s">
        <v>4454</v>
      </c>
    </row>
    <row r="13" spans="1:29" s="323" customFormat="1" ht="16.5" customHeight="1" x14ac:dyDescent="0.35">
      <c r="A13" s="321">
        <v>7</v>
      </c>
      <c r="B13" s="325">
        <v>42149</v>
      </c>
      <c r="C13" s="325" t="s">
        <v>5440</v>
      </c>
      <c r="D13" s="332">
        <v>366</v>
      </c>
      <c r="E13" s="332">
        <v>0</v>
      </c>
      <c r="F13" s="325" t="s">
        <v>5375</v>
      </c>
      <c r="G13" s="325" t="s">
        <v>3233</v>
      </c>
      <c r="H13" s="334" t="s">
        <v>5414</v>
      </c>
      <c r="I13" s="334"/>
      <c r="J13" s="325">
        <v>42153</v>
      </c>
      <c r="K13" s="325"/>
      <c r="L13" s="325"/>
      <c r="M13" s="325"/>
      <c r="N13" s="912"/>
      <c r="O13" s="912"/>
      <c r="P13" s="335" t="s">
        <v>5441</v>
      </c>
      <c r="Q13" s="336" t="s">
        <v>5045</v>
      </c>
      <c r="R13" s="336" t="s">
        <v>4443</v>
      </c>
      <c r="S13" s="337" t="s">
        <v>5442</v>
      </c>
      <c r="T13" s="338" t="s">
        <v>4804</v>
      </c>
      <c r="U13" s="339" t="s">
        <v>5443</v>
      </c>
      <c r="V13" s="335" t="s">
        <v>5444</v>
      </c>
      <c r="W13" s="340" t="s">
        <v>5445</v>
      </c>
      <c r="X13" s="340" t="s">
        <v>5446</v>
      </c>
      <c r="Y13" s="340" t="s">
        <v>5447</v>
      </c>
      <c r="Z13" s="340" t="s">
        <v>5448</v>
      </c>
      <c r="AA13" s="340" t="s">
        <v>5449</v>
      </c>
      <c r="AC13" s="331"/>
    </row>
    <row r="14" spans="1:29" s="323" customFormat="1" ht="16.5" customHeight="1" x14ac:dyDescent="0.35">
      <c r="A14" s="321">
        <v>8</v>
      </c>
      <c r="B14" s="325">
        <v>42197</v>
      </c>
      <c r="C14" s="325" t="s">
        <v>5450</v>
      </c>
      <c r="D14" s="332">
        <v>122.5</v>
      </c>
      <c r="E14" s="332">
        <v>0</v>
      </c>
      <c r="F14" s="325" t="s">
        <v>5375</v>
      </c>
      <c r="G14" s="323" t="s">
        <v>5405</v>
      </c>
      <c r="H14" s="334" t="s">
        <v>174</v>
      </c>
      <c r="I14" s="334"/>
      <c r="J14" s="325">
        <v>42207</v>
      </c>
      <c r="K14" s="325"/>
      <c r="L14" s="325"/>
      <c r="M14" s="325"/>
      <c r="N14" s="325"/>
      <c r="O14" s="325"/>
      <c r="P14" s="334" t="s">
        <v>5451</v>
      </c>
      <c r="Q14" s="334" t="s">
        <v>5045</v>
      </c>
      <c r="R14" s="334" t="s">
        <v>5452</v>
      </c>
      <c r="S14" s="334" t="s">
        <v>5453</v>
      </c>
      <c r="T14" s="341" t="s">
        <v>5454</v>
      </c>
      <c r="U14" s="342" t="s">
        <v>5455</v>
      </c>
      <c r="V14" s="323" t="s">
        <v>5456</v>
      </c>
      <c r="W14" s="323" t="s">
        <v>5457</v>
      </c>
      <c r="X14" s="334" t="s">
        <v>5458</v>
      </c>
      <c r="Z14" s="334"/>
      <c r="AB14" s="334"/>
      <c r="AC14" s="334"/>
    </row>
    <row r="15" spans="1:29" s="323" customFormat="1" ht="16.5" customHeight="1" x14ac:dyDescent="0.35">
      <c r="A15" s="321">
        <v>9</v>
      </c>
      <c r="B15" s="333">
        <v>42216</v>
      </c>
      <c r="C15" s="333" t="s">
        <v>5459</v>
      </c>
      <c r="D15" s="332">
        <v>122.5</v>
      </c>
      <c r="E15" s="332">
        <v>0</v>
      </c>
      <c r="F15" s="333" t="s">
        <v>5375</v>
      </c>
      <c r="G15" s="343" t="s">
        <v>941</v>
      </c>
      <c r="H15" s="334" t="s">
        <v>5414</v>
      </c>
      <c r="I15" s="334"/>
      <c r="J15" s="333">
        <v>42230</v>
      </c>
      <c r="K15" s="333"/>
      <c r="L15" s="333"/>
      <c r="M15" s="333"/>
      <c r="N15" s="322"/>
      <c r="O15" s="322"/>
      <c r="P15" s="326" t="s">
        <v>4726</v>
      </c>
      <c r="Q15" s="340" t="s">
        <v>5460</v>
      </c>
      <c r="R15" s="340" t="s">
        <v>4020</v>
      </c>
      <c r="S15" s="340" t="s">
        <v>4021</v>
      </c>
      <c r="T15" s="344" t="s">
        <v>4804</v>
      </c>
      <c r="U15" s="345" t="s">
        <v>5461</v>
      </c>
      <c r="V15" s="340" t="s">
        <v>5462</v>
      </c>
      <c r="W15" s="344" t="s">
        <v>5463</v>
      </c>
      <c r="X15" s="340" t="s">
        <v>5464</v>
      </c>
      <c r="Y15" s="340" t="s">
        <v>5465</v>
      </c>
      <c r="Z15" s="340">
        <v>42036</v>
      </c>
    </row>
    <row r="16" spans="1:29" s="323" customFormat="1" ht="16.5" customHeight="1" x14ac:dyDescent="0.35">
      <c r="A16" s="321">
        <v>10</v>
      </c>
      <c r="B16" s="333">
        <v>42201</v>
      </c>
      <c r="C16" s="333" t="s">
        <v>5466</v>
      </c>
      <c r="D16" s="332">
        <v>122.5</v>
      </c>
      <c r="E16" s="332">
        <v>0</v>
      </c>
      <c r="F16" s="334" t="s">
        <v>5375</v>
      </c>
      <c r="G16" s="334" t="s">
        <v>5467</v>
      </c>
      <c r="H16" s="334" t="s">
        <v>5414</v>
      </c>
      <c r="I16" s="334"/>
      <c r="J16" s="333">
        <v>42243</v>
      </c>
      <c r="K16" s="333"/>
      <c r="L16" s="333"/>
      <c r="M16" s="333"/>
      <c r="N16" s="322"/>
      <c r="O16" s="322"/>
      <c r="P16" s="328" t="s">
        <v>4428</v>
      </c>
      <c r="Q16" s="323" t="s">
        <v>5045</v>
      </c>
      <c r="R16" s="323" t="s">
        <v>3990</v>
      </c>
      <c r="S16" s="323" t="s">
        <v>3991</v>
      </c>
      <c r="T16" s="329">
        <v>42</v>
      </c>
      <c r="U16" s="331" t="s">
        <v>4537</v>
      </c>
      <c r="V16" s="323" t="s">
        <v>4430</v>
      </c>
      <c r="W16" s="323" t="s">
        <v>4800</v>
      </c>
      <c r="X16" s="323" t="s">
        <v>5468</v>
      </c>
      <c r="Y16" s="323" t="s">
        <v>5469</v>
      </c>
      <c r="Z16" s="323" t="s">
        <v>5448</v>
      </c>
      <c r="AA16" s="323" t="s">
        <v>5470</v>
      </c>
      <c r="AC16" s="331"/>
    </row>
    <row r="17" spans="1:29" s="323" customFormat="1" ht="16.5" customHeight="1" x14ac:dyDescent="0.35">
      <c r="A17" s="321">
        <v>11</v>
      </c>
      <c r="B17" s="333">
        <v>42205</v>
      </c>
      <c r="C17" s="333" t="s">
        <v>5471</v>
      </c>
      <c r="D17" s="332">
        <v>122.5</v>
      </c>
      <c r="E17" s="332">
        <v>0</v>
      </c>
      <c r="F17" s="334" t="s">
        <v>5375</v>
      </c>
      <c r="G17" s="334" t="s">
        <v>5472</v>
      </c>
      <c r="H17" s="334" t="s">
        <v>5414</v>
      </c>
      <c r="I17" s="334"/>
      <c r="J17" s="333">
        <v>42248</v>
      </c>
      <c r="K17" s="333"/>
      <c r="L17" s="333"/>
      <c r="M17" s="333"/>
      <c r="N17" s="322"/>
      <c r="O17" s="322"/>
      <c r="P17" s="326" t="s">
        <v>4053</v>
      </c>
      <c r="Q17" s="323" t="s">
        <v>5045</v>
      </c>
      <c r="R17" s="346" t="s">
        <v>3988</v>
      </c>
      <c r="S17" s="346" t="s">
        <v>3989</v>
      </c>
      <c r="T17" s="331"/>
    </row>
    <row r="18" spans="1:29" s="323" customFormat="1" ht="16.5" customHeight="1" x14ac:dyDescent="0.35">
      <c r="A18" s="321">
        <v>12</v>
      </c>
      <c r="B18" s="333">
        <v>42241</v>
      </c>
      <c r="C18" s="333" t="s">
        <v>5473</v>
      </c>
      <c r="D18" s="332">
        <v>122.5</v>
      </c>
      <c r="E18" s="332">
        <v>0</v>
      </c>
      <c r="F18" s="334" t="s">
        <v>5375</v>
      </c>
      <c r="G18" s="343" t="s">
        <v>941</v>
      </c>
      <c r="H18" s="334" t="s">
        <v>174</v>
      </c>
      <c r="I18" s="334"/>
      <c r="J18" s="333">
        <v>42250</v>
      </c>
      <c r="K18" s="333"/>
      <c r="L18" s="333"/>
      <c r="M18" s="333"/>
      <c r="N18" s="322"/>
      <c r="O18" s="322"/>
      <c r="P18" s="326" t="s">
        <v>5474</v>
      </c>
      <c r="Q18" s="323" t="s">
        <v>4664</v>
      </c>
      <c r="R18" s="323" t="s">
        <v>4379</v>
      </c>
      <c r="S18" s="323" t="s">
        <v>5475</v>
      </c>
      <c r="T18" s="341" t="s">
        <v>4966</v>
      </c>
      <c r="U18" s="342" t="s">
        <v>5476</v>
      </c>
      <c r="V18" s="334" t="s">
        <v>5477</v>
      </c>
      <c r="W18" s="334" t="s">
        <v>5478</v>
      </c>
      <c r="X18" s="347" t="s">
        <v>5479</v>
      </c>
      <c r="Y18" s="334"/>
      <c r="Z18" s="334"/>
      <c r="AA18" s="334"/>
      <c r="AB18" s="334"/>
      <c r="AC18" s="334"/>
    </row>
    <row r="19" spans="1:29" s="323" customFormat="1" ht="16.5" customHeight="1" x14ac:dyDescent="0.35">
      <c r="A19" s="321">
        <v>13</v>
      </c>
      <c r="B19" s="325">
        <v>42231</v>
      </c>
      <c r="C19" s="348" t="s">
        <v>5480</v>
      </c>
      <c r="D19" s="333">
        <v>122.5</v>
      </c>
      <c r="E19" s="332">
        <v>0</v>
      </c>
      <c r="F19" s="333" t="s">
        <v>5375</v>
      </c>
      <c r="G19" s="343" t="s">
        <v>941</v>
      </c>
      <c r="H19" s="334" t="s">
        <v>5414</v>
      </c>
      <c r="I19" s="334"/>
      <c r="J19" s="333">
        <v>42251</v>
      </c>
      <c r="K19" s="333"/>
      <c r="L19" s="333"/>
      <c r="M19" s="333"/>
      <c r="N19" s="333"/>
      <c r="O19" s="333"/>
      <c r="P19" s="349" t="s">
        <v>4726</v>
      </c>
      <c r="Q19" s="350" t="s">
        <v>5460</v>
      </c>
      <c r="R19" s="350" t="s">
        <v>4020</v>
      </c>
      <c r="S19" s="350" t="s">
        <v>4021</v>
      </c>
      <c r="T19" s="351" t="s">
        <v>4804</v>
      </c>
      <c r="U19" s="352" t="s">
        <v>5461</v>
      </c>
      <c r="V19" s="350" t="s">
        <v>5462</v>
      </c>
      <c r="W19" s="351" t="s">
        <v>5463</v>
      </c>
      <c r="X19" s="350" t="s">
        <v>5464</v>
      </c>
      <c r="Y19" s="350" t="s">
        <v>5465</v>
      </c>
      <c r="Z19" s="350">
        <v>42036</v>
      </c>
      <c r="AA19" s="334"/>
      <c r="AB19" s="334"/>
      <c r="AC19" s="334"/>
    </row>
    <row r="20" spans="1:29" s="323" customFormat="1" ht="16.5" customHeight="1" x14ac:dyDescent="0.35">
      <c r="A20" s="321">
        <v>14</v>
      </c>
      <c r="B20" s="333">
        <v>42224</v>
      </c>
      <c r="C20" s="322" t="s">
        <v>5481</v>
      </c>
      <c r="D20" s="324">
        <v>122.5</v>
      </c>
      <c r="E20" s="324">
        <v>0</v>
      </c>
      <c r="F20" s="333" t="s">
        <v>5375</v>
      </c>
      <c r="G20" s="343" t="s">
        <v>941</v>
      </c>
      <c r="H20" s="334" t="s">
        <v>5414</v>
      </c>
      <c r="I20" s="334"/>
      <c r="J20" s="333">
        <v>42254</v>
      </c>
      <c r="K20" s="322"/>
      <c r="L20" s="322"/>
      <c r="M20" s="322"/>
      <c r="N20" s="322"/>
      <c r="O20" s="322"/>
      <c r="P20" s="323" t="s">
        <v>5482</v>
      </c>
      <c r="Q20" s="323" t="s">
        <v>4664</v>
      </c>
      <c r="R20" s="323" t="s">
        <v>5483</v>
      </c>
      <c r="S20" s="323" t="s">
        <v>5484</v>
      </c>
      <c r="T20" s="353" t="s">
        <v>5485</v>
      </c>
      <c r="U20" s="330" t="s">
        <v>5486</v>
      </c>
      <c r="V20" s="323" t="s">
        <v>5487</v>
      </c>
      <c r="W20" s="323" t="s">
        <v>5488</v>
      </c>
      <c r="X20" s="323" t="s">
        <v>5489</v>
      </c>
    </row>
    <row r="21" spans="1:29" s="323" customFormat="1" ht="16.5" customHeight="1" x14ac:dyDescent="0.35">
      <c r="A21" s="321">
        <v>15</v>
      </c>
      <c r="B21" s="325">
        <v>42231</v>
      </c>
      <c r="C21" s="325" t="s">
        <v>5440</v>
      </c>
      <c r="D21" s="332"/>
      <c r="E21" s="324">
        <v>0</v>
      </c>
      <c r="F21" s="333" t="s">
        <v>5375</v>
      </c>
      <c r="G21" s="343" t="s">
        <v>941</v>
      </c>
      <c r="H21" s="340" t="s">
        <v>1031</v>
      </c>
      <c r="J21" s="333">
        <v>42264</v>
      </c>
      <c r="K21" s="322"/>
      <c r="L21" s="322"/>
      <c r="M21" s="322"/>
      <c r="N21" s="322"/>
      <c r="O21" s="322"/>
      <c r="P21" s="354" t="s">
        <v>4150</v>
      </c>
      <c r="Q21" s="354" t="s">
        <v>4664</v>
      </c>
      <c r="R21" s="340" t="s">
        <v>520</v>
      </c>
      <c r="S21" s="354" t="s">
        <v>521</v>
      </c>
      <c r="T21" s="355">
        <v>55</v>
      </c>
      <c r="U21" s="354" t="s">
        <v>5490</v>
      </c>
      <c r="V21" s="354" t="s">
        <v>5491</v>
      </c>
      <c r="W21" s="354" t="s">
        <v>5492</v>
      </c>
      <c r="X21" s="354" t="s">
        <v>5493</v>
      </c>
      <c r="Y21" s="354"/>
      <c r="Z21" s="354"/>
      <c r="AA21" s="340"/>
      <c r="AB21" s="340"/>
      <c r="AC21" s="340"/>
    </row>
    <row r="22" spans="1:29" s="323" customFormat="1" ht="16.5" customHeight="1" x14ac:dyDescent="0.35">
      <c r="A22" s="321">
        <v>16</v>
      </c>
      <c r="B22" s="325">
        <v>42221</v>
      </c>
      <c r="C22" s="325" t="s">
        <v>5494</v>
      </c>
      <c r="D22" s="332">
        <v>122.5</v>
      </c>
      <c r="E22" s="332">
        <v>0</v>
      </c>
      <c r="F22" s="333" t="s">
        <v>5375</v>
      </c>
      <c r="G22" s="343" t="s">
        <v>941</v>
      </c>
      <c r="H22" s="334" t="s">
        <v>5414</v>
      </c>
      <c r="I22" s="334"/>
      <c r="J22" s="333" t="s">
        <v>1141</v>
      </c>
      <c r="K22" s="333"/>
      <c r="L22" s="333"/>
      <c r="M22" s="333"/>
      <c r="N22" s="322"/>
      <c r="O22" s="322"/>
      <c r="P22" s="340" t="s">
        <v>4776</v>
      </c>
      <c r="Q22" s="323" t="s">
        <v>4955</v>
      </c>
      <c r="R22" s="346" t="s">
        <v>3979</v>
      </c>
      <c r="S22" s="346" t="s">
        <v>3980</v>
      </c>
      <c r="T22" s="331"/>
      <c r="U22" s="327" t="s">
        <v>5495</v>
      </c>
      <c r="V22" s="323" t="s">
        <v>5496</v>
      </c>
      <c r="W22" s="323" t="s">
        <v>5497</v>
      </c>
      <c r="X22" s="323" t="s">
        <v>5498</v>
      </c>
    </row>
    <row r="23" spans="1:29" s="323" customFormat="1" ht="16.5" customHeight="1" x14ac:dyDescent="0.35">
      <c r="A23" s="321">
        <v>17</v>
      </c>
      <c r="B23" s="333">
        <v>42287</v>
      </c>
      <c r="C23" s="333" t="s">
        <v>5499</v>
      </c>
      <c r="D23" s="332">
        <v>195</v>
      </c>
      <c r="E23" s="332">
        <v>0</v>
      </c>
      <c r="F23" s="334" t="s">
        <v>5375</v>
      </c>
      <c r="G23" s="343" t="s">
        <v>941</v>
      </c>
      <c r="H23" s="334" t="s">
        <v>5414</v>
      </c>
      <c r="I23" s="334"/>
      <c r="J23" s="333">
        <v>42310</v>
      </c>
      <c r="K23" s="333"/>
      <c r="L23" s="333"/>
      <c r="M23" s="333"/>
      <c r="N23" s="322"/>
      <c r="O23" s="322"/>
      <c r="P23" s="356" t="s">
        <v>4660</v>
      </c>
      <c r="Q23" s="323" t="s">
        <v>4955</v>
      </c>
      <c r="R23" s="357" t="s">
        <v>4110</v>
      </c>
      <c r="S23" s="340" t="s">
        <v>4111</v>
      </c>
      <c r="T23" s="331"/>
      <c r="U23" s="327" t="s">
        <v>4112</v>
      </c>
    </row>
    <row r="24" spans="1:29" s="323" customFormat="1" ht="16.5" customHeight="1" x14ac:dyDescent="0.35">
      <c r="A24" s="321">
        <v>18</v>
      </c>
      <c r="B24" s="333">
        <v>42228</v>
      </c>
      <c r="C24" s="358" t="s">
        <v>5500</v>
      </c>
      <c r="D24" s="323">
        <v>122.5</v>
      </c>
      <c r="E24" s="323">
        <v>0</v>
      </c>
      <c r="F24" s="334" t="s">
        <v>5375</v>
      </c>
      <c r="G24" s="343" t="s">
        <v>941</v>
      </c>
      <c r="H24" s="324" t="s">
        <v>174</v>
      </c>
      <c r="I24" s="324"/>
      <c r="J24" s="333">
        <v>2.4545454513888889</v>
      </c>
      <c r="K24" s="322"/>
      <c r="L24" s="322"/>
      <c r="M24" s="322"/>
      <c r="N24" s="322"/>
      <c r="O24" s="322"/>
      <c r="P24" s="359" t="s">
        <v>5501</v>
      </c>
      <c r="Q24" s="360" t="s">
        <v>4664</v>
      </c>
      <c r="R24" s="361" t="s">
        <v>4165</v>
      </c>
      <c r="S24" s="360" t="s">
        <v>5502</v>
      </c>
      <c r="T24" s="362" t="s">
        <v>4966</v>
      </c>
      <c r="U24" s="363" t="s">
        <v>5503</v>
      </c>
      <c r="V24" s="364" t="s">
        <v>5504</v>
      </c>
      <c r="W24" s="364" t="s">
        <v>5505</v>
      </c>
      <c r="X24" s="364" t="s">
        <v>4365</v>
      </c>
    </row>
    <row r="25" spans="1:29" s="323" customFormat="1" ht="16.5" customHeight="1" x14ac:dyDescent="0.35">
      <c r="A25" s="321">
        <v>19</v>
      </c>
      <c r="B25" s="333">
        <v>42354</v>
      </c>
      <c r="C25" s="333" t="s">
        <v>5506</v>
      </c>
      <c r="D25" s="332">
        <v>50</v>
      </c>
      <c r="E25" s="332">
        <v>0</v>
      </c>
      <c r="F25" s="332" t="s">
        <v>976</v>
      </c>
      <c r="G25" s="343" t="s">
        <v>941</v>
      </c>
      <c r="H25" s="334" t="s">
        <v>175</v>
      </c>
      <c r="I25" s="334"/>
      <c r="J25" s="365">
        <v>42354</v>
      </c>
      <c r="K25" s="365"/>
      <c r="L25" s="365"/>
      <c r="M25" s="365"/>
      <c r="N25" s="938"/>
      <c r="O25" s="938"/>
      <c r="P25" s="326" t="s">
        <v>4848</v>
      </c>
      <c r="Q25" s="323" t="s">
        <v>4664</v>
      </c>
      <c r="R25" s="340" t="s">
        <v>518</v>
      </c>
      <c r="S25" s="340" t="s">
        <v>4027</v>
      </c>
      <c r="T25" s="341" t="s">
        <v>4849</v>
      </c>
      <c r="U25" s="342" t="s">
        <v>5507</v>
      </c>
      <c r="X25" s="334"/>
      <c r="Z25" s="334"/>
      <c r="AB25" s="334"/>
      <c r="AC25" s="334"/>
    </row>
    <row r="26" spans="1:29" s="323" customFormat="1" ht="16.5" customHeight="1" x14ac:dyDescent="0.35">
      <c r="A26" s="366">
        <v>20</v>
      </c>
      <c r="B26" s="333">
        <v>42418</v>
      </c>
      <c r="C26" s="333" t="s">
        <v>5508</v>
      </c>
      <c r="D26" s="332">
        <v>395</v>
      </c>
      <c r="E26" s="332">
        <v>0</v>
      </c>
      <c r="F26" s="332" t="s">
        <v>5509</v>
      </c>
      <c r="G26" s="343" t="s">
        <v>5510</v>
      </c>
      <c r="H26" s="334" t="s">
        <v>174</v>
      </c>
      <c r="I26" s="334"/>
      <c r="J26" s="365">
        <v>42464</v>
      </c>
      <c r="K26" s="365"/>
      <c r="L26" s="365"/>
      <c r="M26" s="365"/>
      <c r="N26" s="938"/>
      <c r="O26" s="938"/>
      <c r="P26" s="326" t="s">
        <v>5511</v>
      </c>
      <c r="Q26" s="323" t="s">
        <v>4664</v>
      </c>
      <c r="R26" s="323" t="s">
        <v>5512</v>
      </c>
      <c r="S26" s="323" t="s">
        <v>5513</v>
      </c>
      <c r="T26" s="330" t="s">
        <v>5454</v>
      </c>
      <c r="U26" s="327" t="s">
        <v>5514</v>
      </c>
      <c r="V26" s="323" t="s">
        <v>5515</v>
      </c>
      <c r="W26" s="323" t="s">
        <v>5516</v>
      </c>
      <c r="X26" s="323" t="s">
        <v>5517</v>
      </c>
    </row>
    <row r="27" spans="1:29" s="323" customFormat="1" ht="16.5" customHeight="1" x14ac:dyDescent="0.35">
      <c r="A27" s="366">
        <v>21</v>
      </c>
      <c r="B27" s="322">
        <v>42493</v>
      </c>
      <c r="C27" s="322" t="s">
        <v>5518</v>
      </c>
      <c r="D27" s="324">
        <v>200</v>
      </c>
      <c r="E27" s="324">
        <v>0</v>
      </c>
      <c r="F27" s="332" t="s">
        <v>5375</v>
      </c>
      <c r="G27" s="324" t="s">
        <v>5519</v>
      </c>
      <c r="H27" s="323" t="s">
        <v>5520</v>
      </c>
      <c r="J27" s="367">
        <v>42562</v>
      </c>
      <c r="K27" s="367"/>
      <c r="L27" s="367"/>
      <c r="M27" s="367"/>
      <c r="N27" s="367"/>
      <c r="O27" s="367"/>
      <c r="P27" s="326" t="s">
        <v>5521</v>
      </c>
      <c r="Q27" s="323" t="s">
        <v>4664</v>
      </c>
      <c r="R27" s="323" t="s">
        <v>4379</v>
      </c>
      <c r="S27" s="323" t="s">
        <v>5522</v>
      </c>
      <c r="T27" s="331"/>
      <c r="U27" s="327" t="s">
        <v>5523</v>
      </c>
    </row>
    <row r="28" spans="1:29" ht="12.75" customHeight="1" x14ac:dyDescent="0.35">
      <c r="A28" s="301">
        <v>22</v>
      </c>
      <c r="B28" s="322">
        <v>42603</v>
      </c>
      <c r="C28" s="322" t="s">
        <v>5524</v>
      </c>
      <c r="D28" s="324">
        <v>195</v>
      </c>
      <c r="E28" s="324">
        <v>0</v>
      </c>
      <c r="F28" s="324" t="s">
        <v>5375</v>
      </c>
      <c r="G28" s="324" t="s">
        <v>5525</v>
      </c>
      <c r="H28" s="323" t="s">
        <v>5526</v>
      </c>
      <c r="I28" s="323"/>
      <c r="J28" s="367">
        <v>42609</v>
      </c>
      <c r="K28" s="367"/>
      <c r="L28" s="367"/>
      <c r="M28" s="367"/>
      <c r="N28" s="367"/>
      <c r="O28" s="367"/>
      <c r="P28" s="326" t="s">
        <v>5527</v>
      </c>
      <c r="Q28" s="323" t="s">
        <v>4664</v>
      </c>
      <c r="R28" s="323" t="s">
        <v>5528</v>
      </c>
      <c r="S28" s="323" t="s">
        <v>5529</v>
      </c>
      <c r="T28" s="329"/>
      <c r="U28" s="330" t="s">
        <v>5530</v>
      </c>
      <c r="V28" s="323" t="s">
        <v>5531</v>
      </c>
      <c r="W28" s="331" t="s">
        <v>5532</v>
      </c>
      <c r="X28" s="323" t="s">
        <v>5533</v>
      </c>
      <c r="Y28" s="323"/>
      <c r="Z28" s="323"/>
      <c r="AA28" s="323"/>
      <c r="AB28" s="323"/>
      <c r="AC28" s="323"/>
    </row>
    <row r="29" spans="1:29" ht="12.75" customHeight="1" x14ac:dyDescent="0.35">
      <c r="A29" s="301">
        <v>23</v>
      </c>
      <c r="B29" s="322">
        <v>42663</v>
      </c>
      <c r="C29" s="322" t="s">
        <v>5534</v>
      </c>
      <c r="D29" s="324">
        <v>195</v>
      </c>
      <c r="E29" s="324">
        <v>0</v>
      </c>
      <c r="F29" s="324" t="s">
        <v>5375</v>
      </c>
      <c r="G29" s="324" t="s">
        <v>5535</v>
      </c>
      <c r="H29" s="323" t="s">
        <v>5526</v>
      </c>
      <c r="I29" s="323"/>
      <c r="J29" s="367">
        <v>42677</v>
      </c>
      <c r="K29" s="367"/>
      <c r="L29" s="367"/>
      <c r="M29" s="367"/>
      <c r="N29" s="367"/>
      <c r="O29" s="367"/>
      <c r="P29" s="323" t="s">
        <v>5536</v>
      </c>
      <c r="Q29" s="323" t="s">
        <v>4664</v>
      </c>
      <c r="R29" s="323" t="s">
        <v>5537</v>
      </c>
      <c r="S29" s="323" t="s">
        <v>5538</v>
      </c>
      <c r="T29" s="353" t="s">
        <v>4722</v>
      </c>
      <c r="U29" s="331" t="s">
        <v>5539</v>
      </c>
      <c r="V29" s="323" t="s">
        <v>5540</v>
      </c>
      <c r="W29" s="331"/>
      <c r="X29" s="323"/>
      <c r="Y29" s="323"/>
      <c r="Z29" s="323"/>
      <c r="AA29" s="323"/>
      <c r="AB29" s="323"/>
      <c r="AC29" s="323"/>
    </row>
    <row r="30" spans="1:29" ht="12.75" customHeight="1" x14ac:dyDescent="0.35">
      <c r="A30" s="301">
        <v>24</v>
      </c>
      <c r="B30" s="322">
        <v>42807</v>
      </c>
      <c r="C30" s="322" t="s">
        <v>5440</v>
      </c>
      <c r="D30" s="324">
        <v>195</v>
      </c>
      <c r="E30" s="324">
        <v>0</v>
      </c>
      <c r="F30" s="324" t="s">
        <v>5375</v>
      </c>
      <c r="G30" s="324" t="s">
        <v>5535</v>
      </c>
      <c r="H30" s="323" t="s">
        <v>174</v>
      </c>
      <c r="I30" s="323"/>
      <c r="J30" s="367">
        <v>42814</v>
      </c>
      <c r="K30" s="367"/>
      <c r="L30" s="367"/>
      <c r="M30" s="367"/>
      <c r="N30" s="367"/>
      <c r="O30" s="367"/>
      <c r="P30" s="326" t="s">
        <v>5541</v>
      </c>
      <c r="Q30" s="323" t="s">
        <v>4664</v>
      </c>
      <c r="R30" s="323" t="s">
        <v>5542</v>
      </c>
      <c r="S30" s="323" t="s">
        <v>5543</v>
      </c>
      <c r="T30" s="353" t="s">
        <v>4755</v>
      </c>
      <c r="U30" s="331" t="s">
        <v>5544</v>
      </c>
      <c r="V30" s="323" t="s">
        <v>5545</v>
      </c>
      <c r="W30" s="331" t="s">
        <v>5546</v>
      </c>
      <c r="X30" s="323" t="s">
        <v>4376</v>
      </c>
      <c r="Y30" s="323"/>
      <c r="Z30" s="323"/>
      <c r="AA30" s="323"/>
      <c r="AB30" s="323"/>
      <c r="AC30" s="323"/>
    </row>
    <row r="31" spans="1:29" ht="12.75" customHeight="1" x14ac:dyDescent="0.35">
      <c r="A31" s="301">
        <v>25</v>
      </c>
      <c r="B31" s="322">
        <v>42810</v>
      </c>
      <c r="C31" s="322" t="s">
        <v>5440</v>
      </c>
      <c r="D31" s="324">
        <v>195</v>
      </c>
      <c r="E31" s="324">
        <v>0</v>
      </c>
      <c r="F31" s="324" t="s">
        <v>5375</v>
      </c>
      <c r="G31" s="324" t="s">
        <v>5547</v>
      </c>
      <c r="H31" s="323"/>
      <c r="I31" s="323"/>
      <c r="J31" s="367">
        <v>42816</v>
      </c>
      <c r="K31" s="367"/>
      <c r="L31" s="367"/>
      <c r="M31" s="367"/>
      <c r="N31" s="367"/>
      <c r="O31" s="367"/>
      <c r="P31" s="323" t="s">
        <v>5548</v>
      </c>
      <c r="Q31" s="323" t="s">
        <v>4955</v>
      </c>
      <c r="R31" s="323" t="s">
        <v>5549</v>
      </c>
      <c r="S31" s="323" t="s">
        <v>5550</v>
      </c>
      <c r="T31" s="353" t="s">
        <v>4879</v>
      </c>
      <c r="U31" s="331" t="s">
        <v>5551</v>
      </c>
      <c r="V31" s="323"/>
      <c r="W31" s="331"/>
      <c r="X31" s="323" t="s">
        <v>4365</v>
      </c>
      <c r="Y31" s="323"/>
      <c r="Z31" s="323"/>
      <c r="AA31" s="323"/>
      <c r="AB31" s="323"/>
      <c r="AC31" s="323"/>
    </row>
    <row r="32" spans="1:29" ht="12.75" customHeight="1" x14ac:dyDescent="0.35">
      <c r="A32" s="301">
        <v>26</v>
      </c>
      <c r="B32" s="322">
        <v>42853</v>
      </c>
      <c r="C32" s="322" t="s">
        <v>5054</v>
      </c>
      <c r="D32" s="324">
        <v>195</v>
      </c>
      <c r="E32" s="324">
        <v>0</v>
      </c>
      <c r="F32" s="324" t="s">
        <v>5375</v>
      </c>
      <c r="G32" s="324" t="s">
        <v>5552</v>
      </c>
      <c r="H32" s="323"/>
      <c r="I32" s="323"/>
      <c r="J32" s="367">
        <v>42895</v>
      </c>
      <c r="K32" s="367"/>
      <c r="L32" s="367"/>
      <c r="M32" s="367"/>
      <c r="N32" s="367"/>
      <c r="O32" s="367"/>
      <c r="P32" s="326" t="s">
        <v>5055</v>
      </c>
      <c r="Q32" s="323" t="s">
        <v>4664</v>
      </c>
      <c r="R32" s="323" t="s">
        <v>5056</v>
      </c>
      <c r="S32" s="323" t="s">
        <v>5057</v>
      </c>
      <c r="T32" s="353"/>
      <c r="U32" s="331" t="s">
        <v>5058</v>
      </c>
      <c r="V32" s="323"/>
      <c r="W32" s="331"/>
      <c r="X32" s="323"/>
      <c r="Y32" s="323"/>
      <c r="Z32" s="323"/>
      <c r="AA32" s="323"/>
      <c r="AB32" s="323"/>
      <c r="AC32" s="323"/>
    </row>
    <row r="33" spans="1:29" ht="12.75" customHeight="1" x14ac:dyDescent="0.35">
      <c r="A33" s="301">
        <v>27</v>
      </c>
      <c r="B33" s="322">
        <v>42870</v>
      </c>
      <c r="C33" s="322" t="s">
        <v>5440</v>
      </c>
      <c r="D33" s="324">
        <v>195</v>
      </c>
      <c r="E33" s="324">
        <v>0</v>
      </c>
      <c r="F33" s="324" t="s">
        <v>5375</v>
      </c>
      <c r="G33" s="324" t="s">
        <v>5547</v>
      </c>
      <c r="H33" s="323" t="s">
        <v>5553</v>
      </c>
      <c r="I33" s="323"/>
      <c r="J33" s="367">
        <v>42900</v>
      </c>
      <c r="K33" s="367"/>
      <c r="L33" s="367"/>
      <c r="M33" s="367"/>
      <c r="N33" s="367"/>
      <c r="O33" s="367"/>
      <c r="P33" s="323" t="s">
        <v>5554</v>
      </c>
      <c r="Q33" s="323" t="s">
        <v>4664</v>
      </c>
      <c r="R33" s="323" t="s">
        <v>5066</v>
      </c>
      <c r="S33" s="323" t="s">
        <v>5555</v>
      </c>
      <c r="T33" s="353"/>
      <c r="U33" s="331" t="s">
        <v>5556</v>
      </c>
      <c r="V33" s="323"/>
      <c r="W33" s="331"/>
      <c r="X33" s="323"/>
      <c r="Y33" s="323"/>
      <c r="Z33" s="323"/>
      <c r="AA33" s="323"/>
      <c r="AB33" s="323"/>
      <c r="AC33" s="323"/>
    </row>
    <row r="34" spans="1:29" ht="12.75" customHeight="1" x14ac:dyDescent="0.35">
      <c r="A34" s="301">
        <v>28</v>
      </c>
      <c r="B34" s="322">
        <v>42886</v>
      </c>
      <c r="C34" s="322" t="s">
        <v>5557</v>
      </c>
      <c r="D34" s="324">
        <v>146.25</v>
      </c>
      <c r="E34" s="324">
        <v>0</v>
      </c>
      <c r="F34" s="324" t="s">
        <v>5375</v>
      </c>
      <c r="G34" s="324" t="s">
        <v>5558</v>
      </c>
      <c r="H34" s="323"/>
      <c r="I34" s="323"/>
      <c r="J34" s="367"/>
      <c r="K34" s="367"/>
      <c r="L34" s="367"/>
      <c r="M34" s="367"/>
      <c r="N34" s="367"/>
      <c r="O34" s="367"/>
      <c r="P34" s="326" t="s">
        <v>5559</v>
      </c>
      <c r="Q34" s="340" t="s">
        <v>4664</v>
      </c>
      <c r="R34" s="340" t="s">
        <v>5560</v>
      </c>
      <c r="S34" s="340" t="s">
        <v>5561</v>
      </c>
      <c r="T34" s="344" t="s">
        <v>5485</v>
      </c>
      <c r="U34" s="344" t="s">
        <v>5562</v>
      </c>
      <c r="V34" s="340" t="s">
        <v>5563</v>
      </c>
      <c r="W34" s="340" t="s">
        <v>5564</v>
      </c>
      <c r="X34" s="340" t="s">
        <v>4370</v>
      </c>
      <c r="Y34" s="340"/>
      <c r="Z34" s="340"/>
      <c r="AA34" s="323"/>
      <c r="AB34" s="323"/>
      <c r="AC34" s="323"/>
    </row>
    <row r="35" spans="1:29" ht="12.75" customHeight="1" x14ac:dyDescent="0.35">
      <c r="A35" s="301">
        <v>29</v>
      </c>
      <c r="B35" s="322">
        <v>42900</v>
      </c>
      <c r="C35" s="323" t="s">
        <v>5440</v>
      </c>
      <c r="D35" s="324">
        <v>1800</v>
      </c>
      <c r="E35" s="324">
        <v>0</v>
      </c>
      <c r="F35" s="324" t="s">
        <v>4357</v>
      </c>
      <c r="G35" s="324"/>
      <c r="H35" s="323"/>
      <c r="I35" s="323"/>
      <c r="J35" s="367">
        <v>42907</v>
      </c>
      <c r="K35" s="367"/>
      <c r="L35" s="367"/>
      <c r="M35" s="367"/>
      <c r="N35" s="367"/>
      <c r="O35" s="367"/>
      <c r="P35" s="323" t="s">
        <v>5565</v>
      </c>
      <c r="Q35" s="323" t="s">
        <v>5045</v>
      </c>
      <c r="R35" s="323" t="s">
        <v>5566</v>
      </c>
      <c r="S35" s="323" t="s">
        <v>5567</v>
      </c>
      <c r="T35" s="331" t="s">
        <v>4804</v>
      </c>
      <c r="U35" s="323">
        <v>971509355188</v>
      </c>
      <c r="V35" s="323">
        <v>7440</v>
      </c>
      <c r="W35" s="331" t="s">
        <v>5568</v>
      </c>
      <c r="X35" s="323" t="s">
        <v>5569</v>
      </c>
      <c r="Y35" s="323" t="s">
        <v>5570</v>
      </c>
      <c r="Z35" s="323" t="s">
        <v>5448</v>
      </c>
      <c r="AA35" s="323"/>
      <c r="AB35" s="323" t="s">
        <v>5571</v>
      </c>
      <c r="AC35" s="323"/>
    </row>
    <row r="36" spans="1:29" ht="12.75" customHeight="1" x14ac:dyDescent="0.35">
      <c r="A36" s="301">
        <v>30</v>
      </c>
      <c r="B36" s="322">
        <v>42916</v>
      </c>
      <c r="C36" s="323" t="s">
        <v>5440</v>
      </c>
      <c r="D36" s="324">
        <v>304.14999999999998</v>
      </c>
      <c r="E36" s="324">
        <v>0</v>
      </c>
      <c r="F36" s="324" t="s">
        <v>5509</v>
      </c>
      <c r="G36" s="324"/>
      <c r="H36" s="323" t="s">
        <v>175</v>
      </c>
      <c r="I36" s="323"/>
      <c r="J36" s="367" t="s">
        <v>1141</v>
      </c>
      <c r="K36" s="367"/>
      <c r="L36" s="367"/>
      <c r="M36" s="367"/>
      <c r="N36" s="367"/>
      <c r="O36" s="367"/>
      <c r="P36" s="326" t="s">
        <v>5572</v>
      </c>
      <c r="Q36" s="323" t="s">
        <v>5045</v>
      </c>
      <c r="R36" s="323" t="s">
        <v>4446</v>
      </c>
      <c r="S36" s="323" t="s">
        <v>4403</v>
      </c>
      <c r="T36" s="331" t="s">
        <v>4879</v>
      </c>
      <c r="U36" s="323" t="s">
        <v>5573</v>
      </c>
      <c r="V36" s="323" t="s">
        <v>5574</v>
      </c>
      <c r="W36" s="331" t="s">
        <v>5575</v>
      </c>
      <c r="X36" s="323" t="s">
        <v>5576</v>
      </c>
      <c r="Y36" s="323"/>
      <c r="Z36" s="323"/>
      <c r="AA36" s="323"/>
      <c r="AB36" s="323"/>
      <c r="AC36" s="323"/>
    </row>
    <row r="37" spans="1:29" ht="12.75" customHeight="1" x14ac:dyDescent="0.35">
      <c r="A37" s="301">
        <v>31</v>
      </c>
      <c r="B37" s="322">
        <v>42920</v>
      </c>
      <c r="C37" s="323" t="s">
        <v>5577</v>
      </c>
      <c r="D37" s="324">
        <f>195-48.75</f>
        <v>146.25</v>
      </c>
      <c r="E37" s="324">
        <v>0</v>
      </c>
      <c r="F37" s="324" t="s">
        <v>5375</v>
      </c>
      <c r="G37" s="324"/>
      <c r="H37" s="323"/>
      <c r="I37" s="323"/>
      <c r="J37" s="367">
        <v>42969</v>
      </c>
      <c r="K37" s="367"/>
      <c r="L37" s="367"/>
      <c r="M37" s="367"/>
      <c r="N37" s="367"/>
      <c r="O37" s="367"/>
      <c r="P37" s="323" t="s">
        <v>5578</v>
      </c>
      <c r="Q37" s="323" t="s">
        <v>5394</v>
      </c>
      <c r="R37" s="323" t="s">
        <v>4179</v>
      </c>
      <c r="S37" s="323" t="s">
        <v>5579</v>
      </c>
      <c r="T37" s="330" t="s">
        <v>4692</v>
      </c>
      <c r="U37" s="327" t="s">
        <v>5580</v>
      </c>
      <c r="V37" s="323" t="s">
        <v>5581</v>
      </c>
      <c r="W37" s="368" t="s">
        <v>5582</v>
      </c>
      <c r="X37" s="331" t="s">
        <v>5583</v>
      </c>
      <c r="Y37" s="323"/>
      <c r="Z37" s="323"/>
      <c r="AA37" s="323"/>
      <c r="AB37" s="323"/>
      <c r="AC37" s="323"/>
    </row>
    <row r="38" spans="1:29" ht="12.75" customHeight="1" x14ac:dyDescent="0.35">
      <c r="A38" s="301">
        <v>32</v>
      </c>
      <c r="B38" s="322">
        <v>42982</v>
      </c>
      <c r="C38" s="323" t="s">
        <v>5584</v>
      </c>
      <c r="D38" s="324">
        <v>195</v>
      </c>
      <c r="E38" s="324">
        <v>0</v>
      </c>
      <c r="F38" s="324" t="s">
        <v>5375</v>
      </c>
      <c r="G38" s="324"/>
      <c r="H38" s="323"/>
      <c r="I38" s="323"/>
      <c r="J38" s="367">
        <v>42984</v>
      </c>
      <c r="K38" s="367"/>
      <c r="L38" s="367"/>
      <c r="M38" s="367"/>
      <c r="N38" s="367"/>
      <c r="O38" s="367"/>
      <c r="P38" s="369" t="s">
        <v>5585</v>
      </c>
      <c r="Q38" s="323" t="s">
        <v>4664</v>
      </c>
      <c r="R38" s="323" t="s">
        <v>5586</v>
      </c>
      <c r="S38" s="323" t="s">
        <v>5587</v>
      </c>
      <c r="T38" s="330" t="s">
        <v>5588</v>
      </c>
      <c r="U38" s="327" t="s">
        <v>5589</v>
      </c>
      <c r="V38" s="323" t="s">
        <v>5590</v>
      </c>
      <c r="W38" s="331" t="s">
        <v>5591</v>
      </c>
      <c r="X38" s="323"/>
      <c r="Y38" s="323"/>
      <c r="Z38" s="323"/>
      <c r="AA38" s="323"/>
      <c r="AB38" s="323"/>
      <c r="AC38" s="323"/>
    </row>
    <row r="39" spans="1:29" ht="12.75" customHeight="1" x14ac:dyDescent="0.35">
      <c r="B39" s="322">
        <v>42982</v>
      </c>
      <c r="C39" s="323" t="s">
        <v>5592</v>
      </c>
      <c r="D39" s="324">
        <v>120</v>
      </c>
      <c r="E39" s="324"/>
      <c r="F39" s="324" t="s">
        <v>5593</v>
      </c>
      <c r="G39" s="324"/>
      <c r="H39" s="323"/>
      <c r="I39" s="323"/>
      <c r="J39" s="367">
        <v>42990</v>
      </c>
      <c r="K39" s="367"/>
      <c r="L39" s="367"/>
      <c r="M39" s="367"/>
      <c r="N39" s="367"/>
      <c r="O39" s="367"/>
      <c r="P39" s="323" t="s">
        <v>5594</v>
      </c>
      <c r="Q39" s="323" t="s">
        <v>5045</v>
      </c>
      <c r="R39" s="323" t="s">
        <v>5595</v>
      </c>
      <c r="S39" s="323" t="s">
        <v>5596</v>
      </c>
      <c r="T39" s="330" t="s">
        <v>4886</v>
      </c>
      <c r="U39" s="327" t="s">
        <v>5597</v>
      </c>
      <c r="V39" s="323" t="s">
        <v>5598</v>
      </c>
      <c r="W39" s="331" t="s">
        <v>5599</v>
      </c>
      <c r="X39" s="323" t="s">
        <v>5600</v>
      </c>
      <c r="Y39" s="323"/>
      <c r="Z39" s="323"/>
      <c r="AA39" s="323"/>
      <c r="AB39" s="323"/>
      <c r="AC39" s="323"/>
    </row>
    <row r="40" spans="1:29" ht="12.75" customHeight="1" x14ac:dyDescent="0.35">
      <c r="B40" s="322">
        <v>42996</v>
      </c>
      <c r="C40" s="323" t="s">
        <v>5601</v>
      </c>
      <c r="D40" s="324">
        <v>85</v>
      </c>
      <c r="E40" s="324">
        <v>0</v>
      </c>
      <c r="F40" s="324" t="s">
        <v>976</v>
      </c>
      <c r="G40" s="324"/>
      <c r="H40" s="323"/>
      <c r="I40" s="323"/>
      <c r="J40" s="367"/>
      <c r="K40" s="367"/>
      <c r="L40" s="367"/>
      <c r="M40" s="367"/>
      <c r="N40" s="367"/>
      <c r="O40" s="367"/>
      <c r="P40" s="323" t="s">
        <v>5602</v>
      </c>
      <c r="Q40" s="323" t="s">
        <v>4664</v>
      </c>
      <c r="R40" s="323" t="s">
        <v>4379</v>
      </c>
      <c r="S40" s="323" t="s">
        <v>5603</v>
      </c>
      <c r="T40" s="330" t="s">
        <v>5604</v>
      </c>
      <c r="U40" s="327" t="s">
        <v>5605</v>
      </c>
      <c r="V40" s="323" t="s">
        <v>5606</v>
      </c>
      <c r="W40" s="331" t="s">
        <v>5607</v>
      </c>
      <c r="X40" s="323" t="s">
        <v>5608</v>
      </c>
      <c r="Y40" s="323"/>
      <c r="Z40" s="323"/>
      <c r="AA40" s="323"/>
      <c r="AB40" s="323"/>
      <c r="AC40" s="323"/>
    </row>
    <row r="41" spans="1:29" ht="12.75" customHeight="1" x14ac:dyDescent="0.35">
      <c r="B41" s="322">
        <v>43017</v>
      </c>
      <c r="C41" s="84" t="s">
        <v>5609</v>
      </c>
      <c r="D41" s="324">
        <v>50</v>
      </c>
      <c r="E41" s="324"/>
      <c r="F41" s="324" t="s">
        <v>976</v>
      </c>
      <c r="G41" s="324"/>
      <c r="H41" s="323"/>
      <c r="I41" s="323"/>
      <c r="J41" s="367">
        <v>43019</v>
      </c>
      <c r="K41" s="367"/>
      <c r="L41" s="367"/>
      <c r="M41" s="367"/>
      <c r="N41" s="367"/>
      <c r="O41" s="367"/>
      <c r="P41" s="323" t="s">
        <v>4178</v>
      </c>
      <c r="Q41" s="84" t="s">
        <v>5394</v>
      </c>
      <c r="R41" s="84" t="s">
        <v>4179</v>
      </c>
      <c r="S41" s="84" t="s">
        <v>4180</v>
      </c>
      <c r="T41" s="238" t="s">
        <v>5610</v>
      </c>
      <c r="U41" s="146" t="s">
        <v>5611</v>
      </c>
      <c r="V41" s="323"/>
      <c r="W41" s="331"/>
      <c r="X41" s="323"/>
      <c r="Y41" s="323"/>
      <c r="Z41" s="323"/>
      <c r="AA41" s="323"/>
      <c r="AB41" s="323"/>
      <c r="AC41" s="323"/>
    </row>
    <row r="42" spans="1:29" ht="12.75" customHeight="1" x14ac:dyDescent="0.35">
      <c r="B42" s="322">
        <v>43066</v>
      </c>
      <c r="C42" s="84" t="s">
        <v>1311</v>
      </c>
      <c r="D42" s="324">
        <v>200</v>
      </c>
      <c r="E42" s="324">
        <v>0</v>
      </c>
      <c r="F42" s="324" t="s">
        <v>5375</v>
      </c>
      <c r="G42" s="324"/>
      <c r="H42" s="323"/>
      <c r="I42" s="323"/>
      <c r="J42" s="367">
        <v>43342</v>
      </c>
      <c r="K42" s="367"/>
      <c r="L42" s="367"/>
      <c r="M42" s="367"/>
      <c r="N42" s="367"/>
      <c r="O42" s="367"/>
      <c r="P42" s="287" t="s">
        <v>5612</v>
      </c>
      <c r="Q42" s="84" t="s">
        <v>4664</v>
      </c>
      <c r="R42" s="84" t="s">
        <v>4192</v>
      </c>
      <c r="S42" s="84" t="s">
        <v>5613</v>
      </c>
      <c r="T42" s="330" t="s">
        <v>5610</v>
      </c>
      <c r="U42" s="146" t="s">
        <v>5614</v>
      </c>
      <c r="V42" s="323" t="s">
        <v>5615</v>
      </c>
      <c r="W42" s="331" t="s">
        <v>5616</v>
      </c>
      <c r="X42" s="323" t="s">
        <v>5617</v>
      </c>
      <c r="Y42" s="323" t="s">
        <v>5618</v>
      </c>
      <c r="Z42" s="323">
        <v>42796</v>
      </c>
      <c r="AA42" s="323" t="s">
        <v>5619</v>
      </c>
      <c r="AB42" s="323" t="s">
        <v>5571</v>
      </c>
      <c r="AC42" s="323"/>
    </row>
    <row r="43" spans="1:29" ht="12.75" customHeight="1" x14ac:dyDescent="0.35">
      <c r="B43" s="322">
        <v>43082</v>
      </c>
      <c r="C43" s="84" t="s">
        <v>5620</v>
      </c>
      <c r="D43" s="324">
        <v>195</v>
      </c>
      <c r="E43" s="324"/>
      <c r="F43" s="4" t="s">
        <v>5375</v>
      </c>
      <c r="G43" s="324"/>
      <c r="H43" s="323"/>
      <c r="I43" s="323"/>
      <c r="J43" s="367">
        <v>43082</v>
      </c>
      <c r="K43" s="367"/>
      <c r="L43" s="367"/>
      <c r="M43" s="367"/>
      <c r="N43" s="367"/>
      <c r="O43" s="367"/>
      <c r="P43" s="369" t="s">
        <v>5585</v>
      </c>
      <c r="Q43" s="323" t="s">
        <v>4664</v>
      </c>
      <c r="R43" s="323" t="s">
        <v>5586</v>
      </c>
      <c r="S43" s="323" t="s">
        <v>5587</v>
      </c>
      <c r="T43" s="330" t="s">
        <v>5588</v>
      </c>
      <c r="U43" s="327" t="s">
        <v>5589</v>
      </c>
      <c r="V43" s="323" t="s">
        <v>5590</v>
      </c>
      <c r="W43" s="331" t="s">
        <v>5591</v>
      </c>
      <c r="X43" s="323"/>
      <c r="Y43" s="323"/>
      <c r="Z43" s="323"/>
      <c r="AA43" s="323"/>
      <c r="AB43" s="323"/>
      <c r="AC43" s="323"/>
    </row>
    <row r="44" spans="1:29" ht="12.75" customHeight="1" x14ac:dyDescent="0.35">
      <c r="B44" s="322">
        <v>43083</v>
      </c>
      <c r="C44" s="84" t="s">
        <v>5621</v>
      </c>
      <c r="D44" s="324">
        <v>195</v>
      </c>
      <c r="E44" s="324"/>
      <c r="F44" s="4" t="s">
        <v>5375</v>
      </c>
      <c r="G44" s="324"/>
      <c r="H44" s="323"/>
      <c r="I44" s="323"/>
      <c r="J44" s="367">
        <v>43090</v>
      </c>
      <c r="K44" s="367"/>
      <c r="L44" s="367"/>
      <c r="M44" s="367"/>
      <c r="N44" s="367"/>
      <c r="O44" s="367"/>
      <c r="P44" s="369" t="s">
        <v>5585</v>
      </c>
      <c r="Q44" s="323" t="s">
        <v>4664</v>
      </c>
      <c r="R44" s="323" t="s">
        <v>5586</v>
      </c>
      <c r="S44" s="323" t="s">
        <v>5587</v>
      </c>
      <c r="T44" s="330" t="s">
        <v>5588</v>
      </c>
      <c r="U44" s="327" t="s">
        <v>5589</v>
      </c>
      <c r="V44" s="323" t="s">
        <v>5590</v>
      </c>
      <c r="W44" s="331" t="s">
        <v>5591</v>
      </c>
      <c r="X44" s="323"/>
      <c r="Y44" s="323"/>
      <c r="Z44" s="323"/>
      <c r="AA44" s="323"/>
      <c r="AB44" s="323"/>
      <c r="AC44" s="323"/>
    </row>
    <row r="45" spans="1:29" ht="12.75" customHeight="1" x14ac:dyDescent="0.35">
      <c r="B45" s="322">
        <v>43129</v>
      </c>
      <c r="C45" s="84" t="s">
        <v>5622</v>
      </c>
      <c r="D45" s="324">
        <v>195</v>
      </c>
      <c r="E45" s="324"/>
      <c r="F45" s="4" t="s">
        <v>5375</v>
      </c>
      <c r="G45" s="324"/>
      <c r="H45" s="323"/>
      <c r="I45" s="323"/>
      <c r="J45" s="367"/>
      <c r="K45" s="367"/>
      <c r="L45" s="367"/>
      <c r="M45" s="367"/>
      <c r="N45" s="367"/>
      <c r="O45" s="367"/>
      <c r="P45" s="323" t="s">
        <v>5623</v>
      </c>
      <c r="Q45" s="84" t="s">
        <v>4664</v>
      </c>
      <c r="R45" s="84" t="s">
        <v>5624</v>
      </c>
      <c r="S45" s="323" t="s">
        <v>5625</v>
      </c>
      <c r="T45" s="238" t="s">
        <v>5028</v>
      </c>
      <c r="U45" s="146" t="s">
        <v>5626</v>
      </c>
      <c r="V45" s="323" t="s">
        <v>5627</v>
      </c>
      <c r="W45" s="331" t="s">
        <v>5628</v>
      </c>
      <c r="X45" s="84" t="s">
        <v>5533</v>
      </c>
      <c r="Y45" s="323"/>
      <c r="Z45" s="323"/>
      <c r="AA45" s="323"/>
      <c r="AB45" s="323"/>
      <c r="AC45" s="323"/>
    </row>
    <row r="46" spans="1:29" ht="12.75" customHeight="1" x14ac:dyDescent="0.35">
      <c r="B46" s="322">
        <v>43132</v>
      </c>
      <c r="C46" s="84" t="s">
        <v>5629</v>
      </c>
      <c r="D46" s="324">
        <v>65</v>
      </c>
      <c r="E46" s="324"/>
      <c r="F46" s="4" t="s">
        <v>976</v>
      </c>
      <c r="G46" s="324"/>
      <c r="H46" s="323"/>
      <c r="I46" s="323"/>
      <c r="J46" s="367">
        <v>43134</v>
      </c>
      <c r="K46" s="367"/>
      <c r="L46" s="367"/>
      <c r="M46" s="367"/>
      <c r="N46" s="367"/>
      <c r="O46" s="367"/>
      <c r="P46" s="323" t="s">
        <v>5630</v>
      </c>
      <c r="Q46" s="84" t="s">
        <v>4664</v>
      </c>
      <c r="R46" s="84" t="s">
        <v>4058</v>
      </c>
      <c r="S46" s="84" t="s">
        <v>4089</v>
      </c>
      <c r="T46" s="238" t="s">
        <v>5631</v>
      </c>
      <c r="U46" s="146" t="s">
        <v>4619</v>
      </c>
      <c r="V46" s="323" t="s">
        <v>5632</v>
      </c>
      <c r="W46" s="331" t="s">
        <v>5633</v>
      </c>
      <c r="X46" s="84" t="s">
        <v>5634</v>
      </c>
      <c r="Y46" s="323"/>
      <c r="Z46" s="323"/>
      <c r="AA46" s="323"/>
      <c r="AB46" s="323"/>
      <c r="AC46" s="323"/>
    </row>
    <row r="47" spans="1:29" ht="12.75" customHeight="1" x14ac:dyDescent="0.35">
      <c r="B47" s="322">
        <v>43147</v>
      </c>
      <c r="C47" s="84" t="s">
        <v>5635</v>
      </c>
      <c r="D47" s="324">
        <v>120</v>
      </c>
      <c r="E47" s="324"/>
      <c r="F47" s="4" t="s">
        <v>5593</v>
      </c>
      <c r="G47" s="324"/>
      <c r="H47" s="323"/>
      <c r="I47" s="323"/>
      <c r="J47" s="641" t="s">
        <v>1946</v>
      </c>
      <c r="K47" s="641"/>
      <c r="L47" s="641"/>
      <c r="M47" s="641"/>
      <c r="N47" s="641"/>
      <c r="O47" s="641"/>
      <c r="P47" s="323" t="s">
        <v>5636</v>
      </c>
      <c r="Q47" s="84" t="s">
        <v>4664</v>
      </c>
      <c r="R47" s="84" t="s">
        <v>4165</v>
      </c>
      <c r="S47" s="84" t="s">
        <v>4245</v>
      </c>
      <c r="T47" s="238" t="s">
        <v>5014</v>
      </c>
      <c r="U47" s="146" t="s">
        <v>5637</v>
      </c>
      <c r="V47" s="323" t="s">
        <v>5638</v>
      </c>
      <c r="W47" s="331" t="s">
        <v>5639</v>
      </c>
      <c r="X47" s="84" t="s">
        <v>4370</v>
      </c>
      <c r="Y47" s="323"/>
      <c r="Z47" s="323"/>
      <c r="AA47" s="323"/>
      <c r="AB47" s="323"/>
      <c r="AC47" s="323"/>
    </row>
    <row r="48" spans="1:29" ht="12.75" customHeight="1" x14ac:dyDescent="0.35">
      <c r="B48" s="322">
        <v>43167</v>
      </c>
      <c r="C48" s="84" t="s">
        <v>5640</v>
      </c>
      <c r="D48" s="324">
        <v>120</v>
      </c>
      <c r="E48" s="324"/>
      <c r="F48" s="4" t="s">
        <v>5593</v>
      </c>
      <c r="G48" s="324"/>
      <c r="H48" s="323"/>
      <c r="I48" s="323"/>
      <c r="J48" s="367">
        <v>43173</v>
      </c>
      <c r="K48" s="367"/>
      <c r="L48" s="367"/>
      <c r="M48" s="367"/>
      <c r="N48" s="367"/>
      <c r="O48" s="367"/>
      <c r="P48" s="287" t="s">
        <v>4218</v>
      </c>
      <c r="Q48" s="84" t="s">
        <v>5045</v>
      </c>
      <c r="R48" s="84" t="s">
        <v>5641</v>
      </c>
      <c r="S48" s="323" t="s">
        <v>517</v>
      </c>
      <c r="T48" s="238" t="s">
        <v>4755</v>
      </c>
      <c r="U48" s="146" t="s">
        <v>5642</v>
      </c>
      <c r="V48" s="323" t="s">
        <v>4395</v>
      </c>
      <c r="W48" s="331" t="s">
        <v>4394</v>
      </c>
      <c r="X48" s="84" t="s">
        <v>5643</v>
      </c>
      <c r="Y48" s="323"/>
      <c r="Z48" s="323"/>
      <c r="AA48" s="323"/>
      <c r="AB48" s="323"/>
      <c r="AC48" s="323"/>
    </row>
    <row r="49" spans="2:29" ht="12.75" customHeight="1" x14ac:dyDescent="0.35">
      <c r="B49" s="322">
        <v>43201</v>
      </c>
      <c r="C49" s="84" t="s">
        <v>5644</v>
      </c>
      <c r="D49" s="324">
        <v>65</v>
      </c>
      <c r="E49" s="324"/>
      <c r="F49" s="324" t="s">
        <v>976</v>
      </c>
      <c r="G49" s="324"/>
      <c r="H49" s="323"/>
      <c r="I49" s="323"/>
      <c r="J49" s="367">
        <v>43208</v>
      </c>
      <c r="K49" s="367"/>
      <c r="L49" s="367"/>
      <c r="M49" s="367"/>
      <c r="N49" s="367"/>
      <c r="O49" s="367"/>
      <c r="P49" s="287" t="s">
        <v>5645</v>
      </c>
      <c r="Q49" s="84" t="s">
        <v>4664</v>
      </c>
      <c r="R49" s="84" t="s">
        <v>5646</v>
      </c>
      <c r="S49" s="323" t="s">
        <v>5647</v>
      </c>
      <c r="T49" s="238"/>
      <c r="U49" s="146" t="s">
        <v>5648</v>
      </c>
      <c r="V49" s="323" t="s">
        <v>5649</v>
      </c>
      <c r="W49" s="331" t="s">
        <v>5650</v>
      </c>
      <c r="X49" s="84"/>
      <c r="Y49" s="323"/>
      <c r="Z49" s="323"/>
      <c r="AA49" s="323"/>
      <c r="AB49" s="323"/>
      <c r="AC49" s="323"/>
    </row>
    <row r="50" spans="2:29" ht="12.75" customHeight="1" x14ac:dyDescent="0.35">
      <c r="B50" s="322">
        <v>43229</v>
      </c>
      <c r="C50" s="84" t="s">
        <v>5651</v>
      </c>
      <c r="D50" s="324">
        <v>195</v>
      </c>
      <c r="E50" s="324"/>
      <c r="F50" s="4" t="s">
        <v>5375</v>
      </c>
      <c r="G50" s="324"/>
      <c r="H50" s="323"/>
      <c r="I50" s="323"/>
      <c r="J50" s="367">
        <v>43258</v>
      </c>
      <c r="K50" s="367"/>
      <c r="L50" s="367"/>
      <c r="M50" s="367"/>
      <c r="N50" s="367"/>
      <c r="O50" s="367"/>
      <c r="P50" s="287" t="s">
        <v>5652</v>
      </c>
      <c r="Q50" s="84" t="s">
        <v>5045</v>
      </c>
      <c r="R50" s="84" t="s">
        <v>2624</v>
      </c>
      <c r="S50" s="84" t="s">
        <v>4057</v>
      </c>
      <c r="T50" s="238" t="s">
        <v>5454</v>
      </c>
      <c r="U50" s="146" t="s">
        <v>4911</v>
      </c>
      <c r="V50" s="323" t="s">
        <v>5653</v>
      </c>
      <c r="W50" s="331" t="s">
        <v>5654</v>
      </c>
      <c r="X50" s="84" t="s">
        <v>5655</v>
      </c>
      <c r="Y50" s="323"/>
      <c r="Z50" s="323"/>
      <c r="AA50" s="323"/>
      <c r="AB50" s="323"/>
      <c r="AC50" s="323"/>
    </row>
    <row r="51" spans="2:29" ht="12.75" customHeight="1" x14ac:dyDescent="0.35">
      <c r="B51" s="511">
        <v>43159</v>
      </c>
      <c r="C51" s="87" t="s">
        <v>5656</v>
      </c>
      <c r="D51" s="507">
        <v>125</v>
      </c>
      <c r="E51" s="324">
        <v>0</v>
      </c>
      <c r="F51" s="324"/>
      <c r="G51" s="324"/>
      <c r="H51" s="323"/>
      <c r="I51" s="323"/>
      <c r="P51" s="508" t="s">
        <v>5657</v>
      </c>
      <c r="Q51" s="512" t="s">
        <v>5045</v>
      </c>
      <c r="R51" s="512" t="s">
        <v>5658</v>
      </c>
      <c r="S51" s="512" t="s">
        <v>5659</v>
      </c>
      <c r="T51" s="514" t="s">
        <v>5485</v>
      </c>
      <c r="U51" s="514" t="s">
        <v>5660</v>
      </c>
      <c r="V51" s="514" t="s">
        <v>5661</v>
      </c>
      <c r="W51" s="515" t="s">
        <v>5662</v>
      </c>
      <c r="X51" s="513" t="s">
        <v>5663</v>
      </c>
      <c r="Y51" s="484"/>
      <c r="Z51" s="323"/>
      <c r="AA51" s="323"/>
      <c r="AC51" s="323"/>
    </row>
    <row r="52" spans="2:29" ht="12.75" customHeight="1" x14ac:dyDescent="0.35">
      <c r="B52" s="511">
        <v>43263</v>
      </c>
      <c r="C52" s="4" t="s">
        <v>5664</v>
      </c>
      <c r="D52" s="324">
        <v>120</v>
      </c>
      <c r="E52" s="324">
        <v>0</v>
      </c>
      <c r="F52" s="4" t="s">
        <v>5593</v>
      </c>
      <c r="G52" s="324"/>
      <c r="H52" s="323"/>
      <c r="I52" s="323"/>
      <c r="J52" s="367">
        <v>43271</v>
      </c>
      <c r="K52" s="367"/>
      <c r="L52" s="367"/>
      <c r="M52" s="367"/>
      <c r="N52" s="367"/>
      <c r="O52" s="367"/>
      <c r="P52" s="287" t="s">
        <v>4218</v>
      </c>
      <c r="Q52" s="84" t="s">
        <v>5045</v>
      </c>
      <c r="R52" s="84" t="s">
        <v>5641</v>
      </c>
      <c r="S52" s="323" t="s">
        <v>517</v>
      </c>
      <c r="T52" s="238" t="s">
        <v>4755</v>
      </c>
      <c r="U52" s="146" t="s">
        <v>5642</v>
      </c>
      <c r="V52" s="323" t="s">
        <v>4395</v>
      </c>
      <c r="W52" s="331" t="s">
        <v>4394</v>
      </c>
      <c r="X52" s="84" t="s">
        <v>5643</v>
      </c>
      <c r="Y52" s="484"/>
      <c r="Z52" s="323"/>
      <c r="AA52" s="323"/>
      <c r="AC52" s="323"/>
    </row>
    <row r="53" spans="2:29" ht="12.75" customHeight="1" x14ac:dyDescent="0.35">
      <c r="B53" s="511">
        <v>43269</v>
      </c>
      <c r="C53" s="4" t="s">
        <v>5440</v>
      </c>
      <c r="D53" s="324">
        <v>195</v>
      </c>
      <c r="E53" s="324">
        <v>0</v>
      </c>
      <c r="F53" s="4" t="s">
        <v>5375</v>
      </c>
      <c r="G53" s="324"/>
      <c r="H53" s="323"/>
      <c r="I53" s="323"/>
      <c r="J53" s="367">
        <v>43276</v>
      </c>
      <c r="K53" s="367"/>
      <c r="L53" s="367"/>
      <c r="M53" s="367"/>
      <c r="N53" s="367"/>
      <c r="O53" s="367"/>
      <c r="P53" s="287" t="s">
        <v>5665</v>
      </c>
      <c r="Q53" s="512" t="s">
        <v>4664</v>
      </c>
      <c r="R53" s="512" t="s">
        <v>534</v>
      </c>
      <c r="S53" s="512" t="s">
        <v>4265</v>
      </c>
      <c r="T53" s="514">
        <v>68</v>
      </c>
      <c r="U53" s="514">
        <v>7970649888</v>
      </c>
      <c r="V53" s="514" t="s">
        <v>5666</v>
      </c>
      <c r="W53" s="515" t="s">
        <v>5667</v>
      </c>
      <c r="X53" s="513" t="s">
        <v>4376</v>
      </c>
      <c r="Y53" s="484"/>
      <c r="Z53" s="323"/>
      <c r="AA53" s="323"/>
      <c r="AC53" s="323"/>
    </row>
    <row r="54" spans="2:29" ht="12.75" customHeight="1" x14ac:dyDescent="0.35">
      <c r="B54" s="511">
        <v>43271</v>
      </c>
      <c r="C54" s="4" t="s">
        <v>5668</v>
      </c>
      <c r="D54" s="324">
        <v>120</v>
      </c>
      <c r="E54" s="324"/>
      <c r="F54" s="4" t="s">
        <v>5593</v>
      </c>
      <c r="G54" s="324"/>
      <c r="H54" s="323"/>
      <c r="I54" s="323"/>
      <c r="J54" s="367">
        <v>43283</v>
      </c>
      <c r="K54" s="367"/>
      <c r="L54" s="367"/>
      <c r="M54" s="367"/>
      <c r="N54" s="367"/>
      <c r="O54" s="367"/>
      <c r="P54" s="287" t="s">
        <v>4218</v>
      </c>
      <c r="Q54" s="84" t="s">
        <v>5045</v>
      </c>
      <c r="R54" s="84" t="s">
        <v>5641</v>
      </c>
      <c r="S54" s="323" t="s">
        <v>517</v>
      </c>
      <c r="T54" s="238" t="s">
        <v>4755</v>
      </c>
      <c r="U54" s="146" t="s">
        <v>5642</v>
      </c>
      <c r="V54" s="323" t="s">
        <v>4395</v>
      </c>
      <c r="W54" s="331" t="s">
        <v>4394</v>
      </c>
      <c r="X54" s="84" t="s">
        <v>5643</v>
      </c>
      <c r="Y54" s="484"/>
      <c r="Z54" s="323"/>
      <c r="AA54" s="323"/>
      <c r="AC54" s="323"/>
    </row>
    <row r="55" spans="2:29" ht="12.75" customHeight="1" x14ac:dyDescent="0.35">
      <c r="B55" s="511">
        <v>43283</v>
      </c>
      <c r="C55" s="4" t="s">
        <v>5669</v>
      </c>
      <c r="D55" s="324">
        <v>192</v>
      </c>
      <c r="E55" s="324"/>
      <c r="F55" s="4" t="s">
        <v>5593</v>
      </c>
      <c r="G55" s="324"/>
      <c r="H55" s="323"/>
      <c r="I55" s="323"/>
      <c r="J55" s="367">
        <v>43286</v>
      </c>
      <c r="K55" s="367"/>
      <c r="L55" s="367"/>
      <c r="M55" s="367"/>
      <c r="N55" s="367"/>
      <c r="O55" s="367"/>
      <c r="P55" s="287" t="s">
        <v>4218</v>
      </c>
      <c r="Q55" s="84" t="s">
        <v>5045</v>
      </c>
      <c r="R55" s="84" t="s">
        <v>5641</v>
      </c>
      <c r="S55" s="323" t="s">
        <v>517</v>
      </c>
      <c r="T55" s="238" t="s">
        <v>4755</v>
      </c>
      <c r="U55" s="146" t="s">
        <v>5642</v>
      </c>
      <c r="V55" s="323" t="s">
        <v>4395</v>
      </c>
      <c r="W55" s="331" t="s">
        <v>4394</v>
      </c>
      <c r="X55" s="84" t="s">
        <v>5643</v>
      </c>
      <c r="Y55" s="484"/>
      <c r="Z55" s="323"/>
      <c r="AA55" s="323"/>
      <c r="AC55" s="323"/>
    </row>
    <row r="56" spans="2:29" ht="12.75" customHeight="1" x14ac:dyDescent="0.35">
      <c r="B56" s="511">
        <v>43283</v>
      </c>
      <c r="C56" s="4" t="s">
        <v>5669</v>
      </c>
      <c r="D56" s="324">
        <v>0</v>
      </c>
      <c r="E56" s="324"/>
      <c r="F56" s="4" t="s">
        <v>5593</v>
      </c>
      <c r="G56" s="324"/>
      <c r="H56" s="323"/>
      <c r="I56" s="323"/>
      <c r="J56" s="367">
        <v>43314</v>
      </c>
      <c r="K56" s="367"/>
      <c r="L56" s="367"/>
      <c r="M56" s="367"/>
      <c r="N56" s="367"/>
      <c r="O56" s="367"/>
      <c r="P56" s="287" t="s">
        <v>4218</v>
      </c>
      <c r="Q56" s="84" t="s">
        <v>5045</v>
      </c>
      <c r="R56" s="84" t="s">
        <v>5641</v>
      </c>
      <c r="S56" s="323" t="s">
        <v>517</v>
      </c>
      <c r="T56" s="238" t="s">
        <v>4755</v>
      </c>
      <c r="U56" s="146" t="s">
        <v>5642</v>
      </c>
      <c r="V56" s="323" t="s">
        <v>4395</v>
      </c>
      <c r="W56" s="331" t="s">
        <v>4394</v>
      </c>
      <c r="X56" s="84" t="s">
        <v>5643</v>
      </c>
      <c r="Y56" s="484"/>
      <c r="Z56" s="323"/>
      <c r="AA56" s="323"/>
      <c r="AC56" s="323"/>
    </row>
    <row r="57" spans="2:29" ht="12.75" customHeight="1" x14ac:dyDescent="0.35">
      <c r="B57" s="511">
        <v>43286</v>
      </c>
      <c r="C57" s="4" t="s">
        <v>5670</v>
      </c>
      <c r="D57" s="324">
        <v>156</v>
      </c>
      <c r="E57" s="324"/>
      <c r="F57" s="4" t="s">
        <v>5375</v>
      </c>
      <c r="G57" s="324"/>
      <c r="H57" s="323"/>
      <c r="I57" s="323"/>
      <c r="J57" s="367">
        <v>43320</v>
      </c>
      <c r="K57" s="367"/>
      <c r="L57" s="367"/>
      <c r="M57" s="367"/>
      <c r="N57" s="367"/>
      <c r="O57" s="367"/>
      <c r="P57" s="508" t="s">
        <v>4151</v>
      </c>
      <c r="Q57" s="91" t="s">
        <v>4664</v>
      </c>
      <c r="R57" s="91" t="s">
        <v>522</v>
      </c>
      <c r="S57" s="91" t="s">
        <v>4153</v>
      </c>
      <c r="T57" s="94" t="s">
        <v>5485</v>
      </c>
      <c r="U57" s="94" t="s">
        <v>5671</v>
      </c>
      <c r="V57" s="514" t="s">
        <v>5672</v>
      </c>
      <c r="W57" s="515" t="s">
        <v>5673</v>
      </c>
      <c r="X57" s="93" t="s">
        <v>5674</v>
      </c>
      <c r="Y57" s="484"/>
      <c r="Z57" s="323"/>
      <c r="AA57" s="323"/>
      <c r="AC57" s="323"/>
    </row>
    <row r="58" spans="2:29" ht="12.75" customHeight="1" x14ac:dyDescent="0.35">
      <c r="B58" s="511">
        <v>43287</v>
      </c>
      <c r="C58" s="4" t="s">
        <v>5127</v>
      </c>
      <c r="D58" s="324">
        <v>156</v>
      </c>
      <c r="E58" s="324"/>
      <c r="F58" s="4" t="s">
        <v>5375</v>
      </c>
      <c r="G58" s="324"/>
      <c r="H58" s="323"/>
      <c r="I58" s="323"/>
      <c r="J58" s="367">
        <v>43314</v>
      </c>
      <c r="K58" s="367"/>
      <c r="L58" s="367"/>
      <c r="M58" s="367"/>
      <c r="N58" s="367"/>
      <c r="O58" s="367"/>
      <c r="P58" s="623" t="s">
        <v>5675</v>
      </c>
      <c r="Q58" s="612" t="s">
        <v>4664</v>
      </c>
      <c r="R58" s="299" t="s">
        <v>5036</v>
      </c>
      <c r="S58" s="299" t="s">
        <v>4106</v>
      </c>
      <c r="T58" s="646" t="s">
        <v>5676</v>
      </c>
      <c r="U58" s="300" t="s">
        <v>5677</v>
      </c>
      <c r="V58" s="612" t="s">
        <v>5678</v>
      </c>
      <c r="W58" s="612" t="s">
        <v>5679</v>
      </c>
      <c r="X58" s="612" t="s">
        <v>5663</v>
      </c>
      <c r="Y58" s="612"/>
      <c r="Z58" s="323"/>
      <c r="AA58" s="323"/>
      <c r="AC58" s="323"/>
    </row>
    <row r="59" spans="2:29" ht="12.75" customHeight="1" x14ac:dyDescent="0.35">
      <c r="B59" s="511">
        <v>43320</v>
      </c>
      <c r="C59" s="4" t="s">
        <v>5680</v>
      </c>
      <c r="D59" s="324">
        <v>65</v>
      </c>
      <c r="E59" s="324"/>
      <c r="F59" s="4" t="s">
        <v>976</v>
      </c>
      <c r="G59" s="324"/>
      <c r="H59" s="323"/>
      <c r="I59" s="323"/>
      <c r="J59" s="367">
        <v>43320</v>
      </c>
      <c r="K59" s="367"/>
      <c r="L59" s="367"/>
      <c r="M59" s="367"/>
      <c r="N59" s="367"/>
      <c r="O59" s="367"/>
      <c r="P59" s="287" t="s">
        <v>4218</v>
      </c>
      <c r="Q59" s="84" t="s">
        <v>5045</v>
      </c>
      <c r="R59" s="84" t="s">
        <v>5641</v>
      </c>
      <c r="S59" s="323" t="s">
        <v>517</v>
      </c>
      <c r="T59" s="238" t="s">
        <v>4755</v>
      </c>
      <c r="U59" s="146" t="s">
        <v>5642</v>
      </c>
      <c r="V59" s="323" t="s">
        <v>4395</v>
      </c>
      <c r="W59" s="331" t="s">
        <v>4394</v>
      </c>
      <c r="X59" s="84" t="s">
        <v>5643</v>
      </c>
      <c r="Y59" s="612"/>
      <c r="Z59" s="323"/>
      <c r="AA59" s="323"/>
      <c r="AC59" s="323"/>
    </row>
    <row r="60" spans="2:29" ht="12.75" customHeight="1" x14ac:dyDescent="0.35">
      <c r="B60" s="511">
        <v>43334</v>
      </c>
      <c r="C60" s="4" t="s">
        <v>5681</v>
      </c>
      <c r="D60" s="324">
        <v>65</v>
      </c>
      <c r="E60" s="324"/>
      <c r="F60" s="4" t="s">
        <v>976</v>
      </c>
      <c r="G60" s="324"/>
      <c r="H60" s="323"/>
      <c r="I60" s="323"/>
      <c r="J60" s="367">
        <v>43342</v>
      </c>
      <c r="K60" s="367"/>
      <c r="L60" s="367"/>
      <c r="M60" s="367"/>
      <c r="N60" s="367"/>
      <c r="O60" s="367"/>
      <c r="P60" s="623" t="s">
        <v>4964</v>
      </c>
      <c r="Q60" s="612" t="s">
        <v>4664</v>
      </c>
      <c r="R60" s="299" t="s">
        <v>4046</v>
      </c>
      <c r="S60" s="299" t="s">
        <v>4449</v>
      </c>
      <c r="T60" s="646" t="s">
        <v>5014</v>
      </c>
      <c r="U60" s="300" t="s">
        <v>5682</v>
      </c>
      <c r="V60" s="612" t="s">
        <v>5683</v>
      </c>
      <c r="W60" s="612" t="s">
        <v>5684</v>
      </c>
      <c r="X60" s="612" t="s">
        <v>4370</v>
      </c>
      <c r="Y60" s="612"/>
      <c r="Z60" s="323"/>
      <c r="AA60" s="323"/>
      <c r="AC60" s="323"/>
    </row>
    <row r="61" spans="2:29" ht="12.75" customHeight="1" x14ac:dyDescent="0.35">
      <c r="B61" s="511">
        <v>43343</v>
      </c>
      <c r="C61" s="4" t="s">
        <v>5685</v>
      </c>
      <c r="D61" s="324">
        <v>192</v>
      </c>
      <c r="E61" s="324"/>
      <c r="F61" s="4" t="s">
        <v>5375</v>
      </c>
      <c r="G61" s="324"/>
      <c r="H61" s="323"/>
      <c r="I61" s="323"/>
      <c r="J61" s="641" t="s">
        <v>1141</v>
      </c>
      <c r="K61" s="641"/>
      <c r="L61" s="641"/>
      <c r="M61" s="641"/>
      <c r="N61" s="641"/>
      <c r="O61" s="641"/>
      <c r="P61" s="287" t="s">
        <v>4218</v>
      </c>
      <c r="Q61" s="84" t="s">
        <v>5045</v>
      </c>
      <c r="R61" s="84" t="s">
        <v>5641</v>
      </c>
      <c r="S61" s="323" t="s">
        <v>517</v>
      </c>
      <c r="T61" s="238" t="s">
        <v>4755</v>
      </c>
      <c r="U61" s="146" t="s">
        <v>5642</v>
      </c>
      <c r="V61" s="323" t="s">
        <v>4395</v>
      </c>
      <c r="W61" s="331" t="s">
        <v>4394</v>
      </c>
      <c r="X61" s="84" t="s">
        <v>5643</v>
      </c>
      <c r="Y61" s="612"/>
      <c r="Z61" s="323"/>
      <c r="AA61" s="323"/>
      <c r="AC61" s="323"/>
    </row>
    <row r="62" spans="2:29" ht="12.75" customHeight="1" x14ac:dyDescent="0.35">
      <c r="B62" s="511">
        <v>43331</v>
      </c>
      <c r="C62" s="4" t="s">
        <v>5686</v>
      </c>
      <c r="D62" s="324">
        <v>120</v>
      </c>
      <c r="E62" s="324"/>
      <c r="F62" s="4" t="s">
        <v>5593</v>
      </c>
      <c r="G62" s="324"/>
      <c r="H62" s="323"/>
      <c r="I62" s="323"/>
      <c r="J62" s="367">
        <v>43362</v>
      </c>
      <c r="K62" s="367"/>
      <c r="L62" s="367"/>
      <c r="M62" s="367"/>
      <c r="N62" s="367"/>
      <c r="O62" s="367"/>
      <c r="P62" s="623" t="s">
        <v>5687</v>
      </c>
      <c r="Q62" s="612" t="s">
        <v>4664</v>
      </c>
      <c r="R62" s="299" t="s">
        <v>5364</v>
      </c>
      <c r="S62" s="299" t="s">
        <v>5365</v>
      </c>
      <c r="T62" s="646" t="s">
        <v>4749</v>
      </c>
      <c r="U62" s="300" t="s">
        <v>5688</v>
      </c>
      <c r="V62" s="612" t="s">
        <v>5689</v>
      </c>
      <c r="W62" s="612" t="s">
        <v>5690</v>
      </c>
      <c r="X62" s="612" t="s">
        <v>5691</v>
      </c>
      <c r="Y62" s="612"/>
      <c r="Z62" s="323"/>
      <c r="AA62" s="323"/>
      <c r="AC62" s="323"/>
    </row>
    <row r="63" spans="2:29" ht="12.75" customHeight="1" x14ac:dyDescent="0.35">
      <c r="B63" s="511">
        <v>43366</v>
      </c>
      <c r="C63" s="4" t="s">
        <v>5131</v>
      </c>
      <c r="D63" s="324">
        <v>146.25</v>
      </c>
      <c r="E63" s="324"/>
      <c r="F63" s="4" t="s">
        <v>5375</v>
      </c>
      <c r="G63" s="324"/>
      <c r="H63" s="323"/>
      <c r="I63" s="323"/>
      <c r="J63" s="367"/>
      <c r="K63" s="367"/>
      <c r="L63" s="367"/>
      <c r="M63" s="367"/>
      <c r="N63" s="367"/>
      <c r="O63" s="367"/>
      <c r="P63" s="545" t="s">
        <v>5692</v>
      </c>
      <c r="Q63" s="612" t="s">
        <v>5045</v>
      </c>
      <c r="R63" s="299" t="s">
        <v>5693</v>
      </c>
      <c r="S63" s="299" t="s">
        <v>5694</v>
      </c>
      <c r="T63" s="646"/>
      <c r="U63" s="300" t="s">
        <v>5695</v>
      </c>
      <c r="V63" s="612" t="s">
        <v>5696</v>
      </c>
      <c r="W63" s="612" t="s">
        <v>5697</v>
      </c>
      <c r="X63" s="612" t="s">
        <v>4454</v>
      </c>
      <c r="Y63" s="612"/>
      <c r="Z63" s="323"/>
      <c r="AA63" s="323"/>
      <c r="AC63" s="323"/>
    </row>
    <row r="64" spans="2:29" ht="12.75" customHeight="1" x14ac:dyDescent="0.35">
      <c r="B64" s="511">
        <v>43367</v>
      </c>
      <c r="C64" s="4" t="s">
        <v>160</v>
      </c>
      <c r="D64" s="324">
        <v>360</v>
      </c>
      <c r="E64" s="324"/>
      <c r="F64" s="4" t="s">
        <v>773</v>
      </c>
      <c r="G64" s="324"/>
      <c r="H64" s="323"/>
      <c r="I64" s="323"/>
      <c r="J64" s="641" t="s">
        <v>1141</v>
      </c>
      <c r="K64" s="641"/>
      <c r="L64" s="641"/>
      <c r="M64" s="641"/>
      <c r="N64" s="641"/>
      <c r="O64" s="641"/>
      <c r="P64" s="287" t="s">
        <v>4218</v>
      </c>
      <c r="Q64" s="84" t="s">
        <v>5045</v>
      </c>
      <c r="R64" s="84" t="s">
        <v>5641</v>
      </c>
      <c r="S64" s="323" t="s">
        <v>517</v>
      </c>
      <c r="T64" s="238" t="s">
        <v>4755</v>
      </c>
      <c r="U64" s="146" t="s">
        <v>5642</v>
      </c>
      <c r="V64" s="323" t="s">
        <v>4395</v>
      </c>
      <c r="W64" s="331" t="s">
        <v>4394</v>
      </c>
      <c r="X64" s="84" t="s">
        <v>5643</v>
      </c>
      <c r="Y64" s="612"/>
      <c r="Z64" s="323"/>
      <c r="AA64" s="323"/>
      <c r="AC64" s="323"/>
    </row>
    <row r="65" spans="2:29" ht="12.75" customHeight="1" x14ac:dyDescent="0.35">
      <c r="B65" s="511">
        <v>43393</v>
      </c>
      <c r="C65" s="4" t="s">
        <v>5698</v>
      </c>
      <c r="D65" s="324">
        <v>120</v>
      </c>
      <c r="E65" s="324"/>
      <c r="F65" s="4" t="s">
        <v>5593</v>
      </c>
      <c r="G65" s="324"/>
      <c r="H65" s="323"/>
      <c r="I65" s="323"/>
      <c r="J65" s="367">
        <v>43409</v>
      </c>
      <c r="K65" s="367"/>
      <c r="L65" s="367"/>
      <c r="M65" s="367"/>
      <c r="N65" s="367"/>
      <c r="O65" s="367"/>
      <c r="P65" s="545" t="s">
        <v>5699</v>
      </c>
      <c r="Q65" s="612" t="s">
        <v>5045</v>
      </c>
      <c r="R65" s="299" t="s">
        <v>5700</v>
      </c>
      <c r="S65" s="299" t="s">
        <v>5701</v>
      </c>
      <c r="T65" s="646" t="s">
        <v>4749</v>
      </c>
      <c r="U65" s="300" t="s">
        <v>5702</v>
      </c>
      <c r="V65" s="612" t="s">
        <v>5703</v>
      </c>
      <c r="W65" s="612" t="s">
        <v>5704</v>
      </c>
      <c r="X65" s="612" t="s">
        <v>4370</v>
      </c>
      <c r="Y65" s="612"/>
      <c r="Z65" s="323"/>
      <c r="AA65" s="323"/>
      <c r="AC65" s="323"/>
    </row>
    <row r="66" spans="2:29" ht="12.75" customHeight="1" x14ac:dyDescent="0.35">
      <c r="B66" s="511">
        <v>43394</v>
      </c>
      <c r="C66" s="4" t="s">
        <v>5705</v>
      </c>
      <c r="D66" s="324">
        <v>120</v>
      </c>
      <c r="E66" s="324"/>
      <c r="F66" s="4" t="s">
        <v>5593</v>
      </c>
      <c r="G66" s="324"/>
      <c r="H66" s="323"/>
      <c r="I66" s="323"/>
      <c r="J66" s="367">
        <v>43397</v>
      </c>
      <c r="K66" s="367"/>
      <c r="L66" s="367"/>
      <c r="M66" s="367"/>
      <c r="N66" s="367"/>
      <c r="O66" s="367"/>
      <c r="P66" s="545" t="s">
        <v>5706</v>
      </c>
      <c r="Q66" s="612" t="s">
        <v>4664</v>
      </c>
      <c r="R66" s="299" t="s">
        <v>5707</v>
      </c>
      <c r="S66" s="299" t="s">
        <v>5708</v>
      </c>
      <c r="T66" s="646" t="s">
        <v>5709</v>
      </c>
      <c r="U66" s="300" t="s">
        <v>5710</v>
      </c>
      <c r="V66" s="612" t="s">
        <v>5711</v>
      </c>
      <c r="W66" s="612" t="s">
        <v>5712</v>
      </c>
      <c r="X66" s="612" t="s">
        <v>5713</v>
      </c>
      <c r="Y66" s="612"/>
      <c r="Z66" s="323"/>
      <c r="AA66" s="323"/>
      <c r="AC66" s="323"/>
    </row>
    <row r="67" spans="2:29" ht="12.75" customHeight="1" x14ac:dyDescent="0.35">
      <c r="B67" s="511">
        <v>43428</v>
      </c>
      <c r="C67" s="4" t="s">
        <v>5714</v>
      </c>
      <c r="D67" s="324">
        <v>180</v>
      </c>
      <c r="E67" s="324"/>
      <c r="F67" s="4" t="s">
        <v>5715</v>
      </c>
      <c r="G67" s="324"/>
      <c r="H67" s="323"/>
      <c r="I67" s="323"/>
      <c r="J67" s="367">
        <v>43544</v>
      </c>
      <c r="K67" s="367"/>
      <c r="L67" s="367"/>
      <c r="M67" s="367"/>
      <c r="N67" s="367"/>
      <c r="O67" s="367"/>
      <c r="P67" s="545" t="s">
        <v>5716</v>
      </c>
      <c r="Q67" s="612" t="s">
        <v>4664</v>
      </c>
      <c r="R67" s="299" t="s">
        <v>4533</v>
      </c>
      <c r="S67" s="299" t="s">
        <v>5717</v>
      </c>
      <c r="T67" s="646" t="s">
        <v>4804</v>
      </c>
      <c r="U67" s="300" t="s">
        <v>5718</v>
      </c>
      <c r="V67" s="612" t="s">
        <v>5719</v>
      </c>
      <c r="W67" s="612" t="s">
        <v>5720</v>
      </c>
      <c r="X67" s="612" t="s">
        <v>5721</v>
      </c>
      <c r="Y67" s="612"/>
      <c r="Z67" s="323"/>
      <c r="AA67" s="323"/>
      <c r="AC67" s="323"/>
    </row>
    <row r="68" spans="2:29" ht="12.75" customHeight="1" x14ac:dyDescent="0.35">
      <c r="B68" s="511">
        <v>43446</v>
      </c>
      <c r="C68" s="4" t="s">
        <v>5722</v>
      </c>
      <c r="D68" s="324">
        <v>360</v>
      </c>
      <c r="E68" s="324"/>
      <c r="F68" s="4" t="s">
        <v>773</v>
      </c>
      <c r="G68" s="324"/>
      <c r="H68" s="323"/>
      <c r="I68" s="323"/>
      <c r="J68" s="367"/>
      <c r="K68" s="367"/>
      <c r="L68" s="367"/>
      <c r="M68" s="367"/>
      <c r="N68" s="367"/>
      <c r="O68" s="367"/>
      <c r="P68" s="287" t="s">
        <v>4218</v>
      </c>
      <c r="Q68" s="84" t="s">
        <v>5045</v>
      </c>
      <c r="R68" s="84" t="s">
        <v>5641</v>
      </c>
      <c r="S68" s="323" t="s">
        <v>517</v>
      </c>
      <c r="T68" s="238" t="s">
        <v>4755</v>
      </c>
      <c r="U68" s="146" t="s">
        <v>5642</v>
      </c>
      <c r="V68" s="323" t="s">
        <v>4395</v>
      </c>
      <c r="W68" s="331" t="s">
        <v>4394</v>
      </c>
      <c r="X68" s="84" t="s">
        <v>5643</v>
      </c>
      <c r="Y68" s="612"/>
      <c r="Z68" s="323"/>
      <c r="AA68" s="323"/>
      <c r="AC68" s="323"/>
    </row>
    <row r="69" spans="2:29" ht="12.75" customHeight="1" x14ac:dyDescent="0.35">
      <c r="B69" s="511">
        <v>43472</v>
      </c>
      <c r="C69" s="4" t="s">
        <v>5723</v>
      </c>
      <c r="D69" s="324">
        <v>395</v>
      </c>
      <c r="E69" s="324"/>
      <c r="F69" s="4" t="s">
        <v>5509</v>
      </c>
      <c r="G69" s="324"/>
      <c r="H69" s="323"/>
      <c r="I69" s="323"/>
      <c r="J69" s="367">
        <v>43481</v>
      </c>
      <c r="K69" s="367"/>
      <c r="L69" s="367"/>
      <c r="M69" s="367"/>
      <c r="N69" s="367"/>
      <c r="O69" s="367"/>
      <c r="P69" s="545" t="s">
        <v>5724</v>
      </c>
      <c r="Q69" s="612" t="s">
        <v>5725</v>
      </c>
      <c r="R69" s="299" t="s">
        <v>5726</v>
      </c>
      <c r="S69" s="299" t="s">
        <v>5727</v>
      </c>
      <c r="T69" s="646" t="s">
        <v>4966</v>
      </c>
      <c r="U69" s="300"/>
      <c r="V69" s="612"/>
      <c r="W69" s="612"/>
      <c r="X69" s="612" t="s">
        <v>5728</v>
      </c>
      <c r="Y69" s="612"/>
      <c r="Z69" s="323"/>
      <c r="AA69" s="323"/>
      <c r="AC69" s="323"/>
    </row>
    <row r="70" spans="2:29" ht="12.75" customHeight="1" x14ac:dyDescent="0.35">
      <c r="B70" s="511">
        <v>43518</v>
      </c>
      <c r="C70" s="4" t="s">
        <v>5729</v>
      </c>
      <c r="D70" s="324">
        <v>65</v>
      </c>
      <c r="E70" s="324"/>
      <c r="F70" s="4" t="s">
        <v>976</v>
      </c>
      <c r="G70" s="324"/>
      <c r="H70" s="323"/>
      <c r="I70" s="323"/>
      <c r="J70" s="367">
        <v>43518</v>
      </c>
      <c r="K70" s="367"/>
      <c r="L70" s="367"/>
      <c r="M70" s="367"/>
      <c r="N70" s="367"/>
      <c r="O70" s="367"/>
      <c r="P70" s="545" t="s">
        <v>5730</v>
      </c>
      <c r="Q70" s="612" t="s">
        <v>5045</v>
      </c>
      <c r="R70" s="299" t="s">
        <v>4176</v>
      </c>
      <c r="S70" s="299" t="s">
        <v>4177</v>
      </c>
      <c r="T70" s="646" t="s">
        <v>5431</v>
      </c>
      <c r="U70" s="300" t="s">
        <v>5731</v>
      </c>
      <c r="V70" s="612"/>
      <c r="W70" s="612"/>
      <c r="X70" s="612"/>
      <c r="Y70" s="612"/>
      <c r="Z70" s="323"/>
      <c r="AA70" s="323"/>
      <c r="AC70" s="323"/>
    </row>
    <row r="71" spans="2:29" ht="12.75" customHeight="1" x14ac:dyDescent="0.35">
      <c r="B71" s="511">
        <v>43556</v>
      </c>
      <c r="C71" s="4" t="s">
        <v>5732</v>
      </c>
      <c r="D71" s="324">
        <v>65</v>
      </c>
      <c r="E71" s="324"/>
      <c r="F71" s="4" t="s">
        <v>976</v>
      </c>
      <c r="G71" s="324"/>
      <c r="H71" s="323"/>
      <c r="I71" s="323"/>
      <c r="J71" s="367">
        <v>43565</v>
      </c>
      <c r="K71" s="367"/>
      <c r="L71" s="367"/>
      <c r="M71" s="367"/>
      <c r="N71" s="367"/>
      <c r="O71" s="367"/>
      <c r="P71" s="623" t="s">
        <v>5687</v>
      </c>
      <c r="Q71" s="612" t="s">
        <v>4664</v>
      </c>
      <c r="R71" s="299" t="s">
        <v>5364</v>
      </c>
      <c r="S71" s="299" t="s">
        <v>5365</v>
      </c>
      <c r="T71" s="646" t="s">
        <v>4749</v>
      </c>
      <c r="U71" s="300" t="s">
        <v>5688</v>
      </c>
      <c r="V71" s="612" t="s">
        <v>5689</v>
      </c>
      <c r="W71" s="612" t="s">
        <v>5690</v>
      </c>
      <c r="X71" s="612" t="s">
        <v>5691</v>
      </c>
      <c r="Y71" s="612"/>
      <c r="Z71" s="323"/>
      <c r="AA71" s="323"/>
      <c r="AC71" s="323"/>
    </row>
    <row r="72" spans="2:29" ht="12.75" customHeight="1" x14ac:dyDescent="0.35">
      <c r="B72" s="511">
        <v>43570</v>
      </c>
      <c r="C72" s="4" t="s">
        <v>5733</v>
      </c>
      <c r="D72" s="324">
        <v>360</v>
      </c>
      <c r="E72" s="324"/>
      <c r="F72" s="4" t="s">
        <v>773</v>
      </c>
      <c r="G72" s="324"/>
      <c r="H72" s="323"/>
      <c r="I72" s="323"/>
      <c r="J72" s="367">
        <v>43571</v>
      </c>
      <c r="K72" s="367"/>
      <c r="L72" s="367"/>
      <c r="M72" s="367"/>
      <c r="N72" s="367"/>
      <c r="O72" s="367"/>
      <c r="P72" s="545" t="s">
        <v>5734</v>
      </c>
      <c r="Q72" s="612" t="s">
        <v>4664</v>
      </c>
      <c r="R72" s="299" t="s">
        <v>4058</v>
      </c>
      <c r="S72" s="299" t="s">
        <v>5735</v>
      </c>
      <c r="T72" s="646" t="s">
        <v>4879</v>
      </c>
      <c r="U72" s="300" t="s">
        <v>5736</v>
      </c>
      <c r="V72" s="612" t="s">
        <v>5737</v>
      </c>
      <c r="W72" s="612" t="s">
        <v>5738</v>
      </c>
      <c r="X72" s="612" t="s">
        <v>5458</v>
      </c>
      <c r="Y72" s="612"/>
      <c r="Z72" s="323"/>
      <c r="AA72" s="323"/>
      <c r="AC72" s="323"/>
    </row>
    <row r="73" spans="2:29" ht="12.75" customHeight="1" x14ac:dyDescent="0.4">
      <c r="B73" s="511">
        <v>43571</v>
      </c>
      <c r="C73" s="4" t="s">
        <v>5739</v>
      </c>
      <c r="D73" s="324">
        <v>360</v>
      </c>
      <c r="E73" s="324"/>
      <c r="F73" s="4" t="s">
        <v>773</v>
      </c>
      <c r="G73" s="324"/>
      <c r="H73" s="323"/>
      <c r="I73" s="323"/>
      <c r="J73" s="367">
        <v>43571</v>
      </c>
      <c r="K73" s="367"/>
      <c r="L73" s="367"/>
      <c r="M73" s="367"/>
      <c r="N73" s="367"/>
      <c r="O73" s="367"/>
      <c r="P73" s="729" t="s">
        <v>4220</v>
      </c>
      <c r="Q73" s="84" t="s">
        <v>5045</v>
      </c>
      <c r="R73" s="127" t="s">
        <v>2865</v>
      </c>
      <c r="S73" s="127" t="s">
        <v>5740</v>
      </c>
      <c r="T73" s="146" t="s">
        <v>5741</v>
      </c>
      <c r="U73" s="146" t="s">
        <v>5742</v>
      </c>
      <c r="V73" s="484" t="s">
        <v>5743</v>
      </c>
      <c r="W73" s="484" t="s">
        <v>5744</v>
      </c>
      <c r="X73" s="84" t="s">
        <v>4376</v>
      </c>
      <c r="Y73" s="484"/>
      <c r="Z73" s="323"/>
      <c r="AA73" s="323"/>
      <c r="AC73" s="323"/>
    </row>
    <row r="74" spans="2:29" ht="12.75" customHeight="1" x14ac:dyDescent="0.35">
      <c r="B74" s="511">
        <v>43585</v>
      </c>
      <c r="C74" s="4" t="s">
        <v>5745</v>
      </c>
      <c r="D74" s="324">
        <v>65</v>
      </c>
      <c r="E74" s="324"/>
      <c r="F74" s="4" t="s">
        <v>976</v>
      </c>
      <c r="G74" s="324"/>
      <c r="H74" s="323"/>
      <c r="I74" s="323"/>
      <c r="J74" s="367">
        <v>43586</v>
      </c>
      <c r="K74" s="367"/>
      <c r="L74" s="367"/>
      <c r="M74" s="367"/>
      <c r="N74" s="367"/>
      <c r="O74" s="367"/>
      <c r="P74" s="623" t="s">
        <v>5687</v>
      </c>
      <c r="Q74" s="612" t="s">
        <v>4664</v>
      </c>
      <c r="R74" s="299" t="s">
        <v>5364</v>
      </c>
      <c r="S74" s="299" t="s">
        <v>5365</v>
      </c>
      <c r="T74" s="646" t="s">
        <v>4749</v>
      </c>
      <c r="U74" s="300" t="s">
        <v>5688</v>
      </c>
      <c r="V74" s="612" t="s">
        <v>5689</v>
      </c>
      <c r="W74" s="612" t="s">
        <v>5690</v>
      </c>
      <c r="X74" s="612" t="s">
        <v>5691</v>
      </c>
      <c r="Y74" s="612"/>
      <c r="Z74" s="323"/>
      <c r="AA74" s="323"/>
      <c r="AC74" s="323"/>
    </row>
    <row r="75" spans="2:29" ht="12.75" customHeight="1" x14ac:dyDescent="0.35">
      <c r="B75" s="511">
        <v>43585</v>
      </c>
      <c r="C75" s="4" t="s">
        <v>5746</v>
      </c>
      <c r="D75" s="324">
        <v>195</v>
      </c>
      <c r="E75" s="324"/>
      <c r="F75" s="4" t="s">
        <v>5375</v>
      </c>
      <c r="G75" s="324"/>
      <c r="H75" s="323"/>
      <c r="I75" s="323"/>
      <c r="J75" s="367">
        <v>43587</v>
      </c>
      <c r="K75" s="367"/>
      <c r="L75" s="367"/>
      <c r="M75" s="367"/>
      <c r="N75" s="367"/>
      <c r="O75" s="367"/>
      <c r="P75" s="545" t="s">
        <v>5747</v>
      </c>
      <c r="Q75" s="612" t="s">
        <v>5045</v>
      </c>
      <c r="R75" s="299" t="s">
        <v>5748</v>
      </c>
      <c r="S75" s="299" t="s">
        <v>5749</v>
      </c>
      <c r="T75" s="646" t="s">
        <v>5750</v>
      </c>
      <c r="U75" s="300" t="s">
        <v>5751</v>
      </c>
      <c r="V75" s="612" t="s">
        <v>5752</v>
      </c>
      <c r="W75" s="612" t="s">
        <v>5753</v>
      </c>
      <c r="X75" s="612" t="s">
        <v>5754</v>
      </c>
      <c r="Y75" s="612"/>
      <c r="Z75" s="323"/>
      <c r="AA75" s="323"/>
      <c r="AC75" s="323"/>
    </row>
    <row r="76" spans="2:29" ht="12.75" customHeight="1" x14ac:dyDescent="0.35">
      <c r="B76" s="511">
        <v>43588</v>
      </c>
      <c r="C76" s="4" t="s">
        <v>5440</v>
      </c>
      <c r="D76" s="324">
        <v>360</v>
      </c>
      <c r="E76" s="324"/>
      <c r="F76" s="4" t="s">
        <v>773</v>
      </c>
      <c r="G76" s="324"/>
      <c r="H76" s="323"/>
      <c r="I76" s="323"/>
      <c r="J76" s="367">
        <v>43593</v>
      </c>
      <c r="K76" s="367"/>
      <c r="L76" s="367"/>
      <c r="M76" s="367"/>
      <c r="N76" s="367"/>
      <c r="O76" s="367"/>
      <c r="P76" s="545" t="s">
        <v>5755</v>
      </c>
      <c r="Q76" s="612" t="s">
        <v>5756</v>
      </c>
      <c r="R76" s="299" t="s">
        <v>534</v>
      </c>
      <c r="S76" s="299" t="s">
        <v>5757</v>
      </c>
      <c r="T76" s="646" t="s">
        <v>5758</v>
      </c>
      <c r="U76" s="300"/>
      <c r="V76" s="612" t="s">
        <v>5759</v>
      </c>
      <c r="W76" s="612" t="s">
        <v>5760</v>
      </c>
      <c r="X76" s="612" t="s">
        <v>5458</v>
      </c>
      <c r="Y76" s="612"/>
      <c r="Z76" s="323"/>
      <c r="AA76" s="323"/>
      <c r="AC76" s="323"/>
    </row>
    <row r="77" spans="2:29" ht="12.75" customHeight="1" x14ac:dyDescent="0.35">
      <c r="B77" s="511">
        <v>43607</v>
      </c>
      <c r="C77" s="4" t="s">
        <v>5761</v>
      </c>
      <c r="D77" s="324">
        <v>100</v>
      </c>
      <c r="E77" s="324"/>
      <c r="F77" s="4" t="s">
        <v>5593</v>
      </c>
      <c r="G77" s="324"/>
      <c r="H77" s="323"/>
      <c r="I77" s="323"/>
      <c r="J77" s="367">
        <v>43612</v>
      </c>
      <c r="K77" s="367"/>
      <c r="L77" s="367"/>
      <c r="M77" s="367"/>
      <c r="N77" s="367"/>
      <c r="O77" s="367"/>
      <c r="P77" s="545" t="s">
        <v>5762</v>
      </c>
      <c r="Q77" s="612" t="s">
        <v>4664</v>
      </c>
      <c r="R77" s="299" t="s">
        <v>5763</v>
      </c>
      <c r="S77" s="299" t="s">
        <v>5764</v>
      </c>
      <c r="T77" s="646" t="s">
        <v>4705</v>
      </c>
      <c r="U77" s="300" t="s">
        <v>5765</v>
      </c>
      <c r="V77" s="612" t="s">
        <v>5766</v>
      </c>
      <c r="W77" s="612" t="s">
        <v>5767</v>
      </c>
      <c r="X77" s="612" t="s">
        <v>5691</v>
      </c>
      <c r="Y77" s="612"/>
      <c r="Z77" s="323"/>
      <c r="AA77" s="323"/>
      <c r="AC77" s="323"/>
    </row>
    <row r="78" spans="2:29" ht="12.75" customHeight="1" x14ac:dyDescent="0.35">
      <c r="B78" s="511">
        <v>43630</v>
      </c>
      <c r="C78" s="4" t="s">
        <v>5440</v>
      </c>
      <c r="D78" s="324">
        <v>195</v>
      </c>
      <c r="E78" s="324"/>
      <c r="F78" s="4" t="s">
        <v>5375</v>
      </c>
      <c r="G78" s="324"/>
      <c r="H78" s="323"/>
      <c r="I78" s="323"/>
      <c r="J78" s="367">
        <v>43636</v>
      </c>
      <c r="K78" s="367"/>
      <c r="L78" s="367"/>
      <c r="M78" s="367"/>
      <c r="N78" s="367"/>
      <c r="O78" s="367"/>
      <c r="P78" s="545" t="s">
        <v>5768</v>
      </c>
      <c r="Q78" s="612" t="s">
        <v>5045</v>
      </c>
      <c r="R78" s="299" t="s">
        <v>5769</v>
      </c>
      <c r="S78" s="299" t="s">
        <v>5770</v>
      </c>
      <c r="T78" s="646"/>
      <c r="U78" s="300" t="s">
        <v>5771</v>
      </c>
      <c r="V78" s="612" t="s">
        <v>5772</v>
      </c>
      <c r="W78" s="612" t="s">
        <v>5773</v>
      </c>
      <c r="X78" s="612" t="s">
        <v>4454</v>
      </c>
      <c r="Y78" s="612"/>
      <c r="Z78" s="323"/>
      <c r="AA78" s="323"/>
      <c r="AC78" s="323"/>
    </row>
    <row r="79" spans="2:29" ht="12.75" customHeight="1" x14ac:dyDescent="0.35">
      <c r="B79" s="511">
        <v>43630</v>
      </c>
      <c r="C79" s="4" t="s">
        <v>5774</v>
      </c>
      <c r="D79" s="324">
        <v>130</v>
      </c>
      <c r="E79" s="324"/>
      <c r="F79" s="4" t="s">
        <v>5593</v>
      </c>
      <c r="G79" s="324"/>
      <c r="H79" s="323"/>
      <c r="I79" s="323"/>
      <c r="J79" s="367">
        <v>43633</v>
      </c>
      <c r="K79" s="367"/>
      <c r="L79" s="367"/>
      <c r="M79" s="367"/>
      <c r="N79" s="367"/>
      <c r="O79" s="367"/>
      <c r="P79" s="545" t="s">
        <v>5775</v>
      </c>
      <c r="Q79" s="612" t="s">
        <v>4664</v>
      </c>
      <c r="R79" s="299" t="s">
        <v>4533</v>
      </c>
      <c r="S79" s="299" t="s">
        <v>4245</v>
      </c>
      <c r="T79" s="646" t="s">
        <v>4895</v>
      </c>
      <c r="U79" s="300" t="s">
        <v>5776</v>
      </c>
      <c r="V79" s="612" t="s">
        <v>5777</v>
      </c>
      <c r="W79" s="612" t="s">
        <v>5778</v>
      </c>
      <c r="X79" s="612" t="s">
        <v>4365</v>
      </c>
      <c r="Y79" s="612"/>
      <c r="Z79" s="323"/>
      <c r="AA79" s="323"/>
      <c r="AC79" s="323"/>
    </row>
    <row r="80" spans="2:29" ht="12.75" customHeight="1" x14ac:dyDescent="0.35">
      <c r="B80" s="511">
        <v>43649</v>
      </c>
      <c r="C80" s="4" t="s">
        <v>5440</v>
      </c>
      <c r="D80" s="324">
        <v>360</v>
      </c>
      <c r="E80" s="324"/>
      <c r="F80" s="4" t="s">
        <v>773</v>
      </c>
      <c r="G80" s="324"/>
      <c r="H80" s="323"/>
      <c r="I80" s="323"/>
      <c r="J80" s="367">
        <v>43669</v>
      </c>
      <c r="K80" s="367"/>
      <c r="L80" s="367"/>
      <c r="M80" s="367"/>
      <c r="N80" s="367"/>
      <c r="O80" s="367"/>
      <c r="P80" s="545" t="s">
        <v>5747</v>
      </c>
      <c r="Q80" s="612" t="s">
        <v>4664</v>
      </c>
      <c r="R80" s="299" t="s">
        <v>2487</v>
      </c>
      <c r="S80" s="299" t="s">
        <v>5749</v>
      </c>
      <c r="T80" s="646"/>
      <c r="U80" s="146" t="s">
        <v>5751</v>
      </c>
      <c r="V80" s="612"/>
      <c r="W80" s="612"/>
      <c r="X80" s="612"/>
      <c r="Y80" s="612"/>
      <c r="Z80" s="323"/>
      <c r="AA80" s="323"/>
      <c r="AC80" s="323"/>
    </row>
    <row r="81" spans="2:29" ht="12.75" customHeight="1" x14ac:dyDescent="0.35">
      <c r="B81" s="511">
        <v>43651</v>
      </c>
      <c r="C81" s="4" t="s">
        <v>5779</v>
      </c>
      <c r="D81" s="324">
        <v>85</v>
      </c>
      <c r="E81" s="324"/>
      <c r="F81" s="4" t="s">
        <v>976</v>
      </c>
      <c r="G81" s="324"/>
      <c r="H81" s="323"/>
      <c r="I81" s="323"/>
      <c r="J81" s="367">
        <v>43653</v>
      </c>
      <c r="K81" s="367"/>
      <c r="L81" s="367"/>
      <c r="M81" s="367"/>
      <c r="N81" s="367"/>
      <c r="O81" s="367"/>
      <c r="P81" s="545" t="s">
        <v>5780</v>
      </c>
      <c r="Q81" s="612" t="s">
        <v>4664</v>
      </c>
      <c r="R81" s="299" t="s">
        <v>4227</v>
      </c>
      <c r="S81" s="299" t="s">
        <v>4228</v>
      </c>
      <c r="T81" s="646" t="s">
        <v>4777</v>
      </c>
      <c r="U81" s="146" t="s">
        <v>5781</v>
      </c>
      <c r="V81" s="612" t="s">
        <v>5782</v>
      </c>
      <c r="W81" s="612" t="s">
        <v>5783</v>
      </c>
      <c r="X81" s="612" t="s">
        <v>4454</v>
      </c>
      <c r="Y81" s="612"/>
      <c r="Z81" s="323"/>
      <c r="AA81" s="323"/>
      <c r="AC81" s="323"/>
    </row>
    <row r="82" spans="2:29" ht="12.75" customHeight="1" x14ac:dyDescent="0.35">
      <c r="B82" s="511">
        <v>43661</v>
      </c>
      <c r="C82" s="4" t="s">
        <v>5784</v>
      </c>
      <c r="D82" s="324">
        <v>120</v>
      </c>
      <c r="E82" s="324"/>
      <c r="F82" s="4" t="s">
        <v>5593</v>
      </c>
      <c r="G82" s="324"/>
      <c r="H82" s="323"/>
      <c r="I82" s="323"/>
      <c r="J82" s="367">
        <v>43670</v>
      </c>
      <c r="K82" s="367"/>
      <c r="L82" s="367"/>
      <c r="M82" s="367"/>
      <c r="N82" s="367"/>
      <c r="O82" s="367"/>
      <c r="P82" s="623" t="s">
        <v>5785</v>
      </c>
      <c r="Q82" s="667" t="s">
        <v>4664</v>
      </c>
      <c r="R82" s="667" t="s">
        <v>5579</v>
      </c>
      <c r="S82" s="667" t="s">
        <v>5786</v>
      </c>
      <c r="T82" s="668" t="s">
        <v>5028</v>
      </c>
      <c r="U82" s="146" t="s">
        <v>5787</v>
      </c>
      <c r="V82" s="667" t="s">
        <v>5788</v>
      </c>
      <c r="W82" s="667" t="s">
        <v>5789</v>
      </c>
      <c r="X82" s="667" t="s">
        <v>5399</v>
      </c>
      <c r="Y82" s="612"/>
      <c r="Z82" s="323"/>
      <c r="AA82" s="323"/>
      <c r="AC82" s="323"/>
    </row>
    <row r="83" spans="2:29" ht="12.75" customHeight="1" x14ac:dyDescent="0.35">
      <c r="B83" s="511">
        <v>43671</v>
      </c>
      <c r="C83" s="4" t="s">
        <v>5790</v>
      </c>
      <c r="D83" s="324">
        <v>395</v>
      </c>
      <c r="E83" s="324"/>
      <c r="F83" s="4" t="s">
        <v>5509</v>
      </c>
      <c r="G83" s="324"/>
      <c r="H83" s="323"/>
      <c r="I83" s="323"/>
      <c r="J83" s="641" t="s">
        <v>1141</v>
      </c>
      <c r="K83" s="641"/>
      <c r="L83" s="641"/>
      <c r="M83" s="641"/>
      <c r="N83" s="641"/>
      <c r="O83" s="641"/>
      <c r="P83" s="545" t="s">
        <v>5791</v>
      </c>
      <c r="Q83" s="612" t="s">
        <v>4664</v>
      </c>
      <c r="R83" s="299" t="s">
        <v>5792</v>
      </c>
      <c r="S83" s="299" t="s">
        <v>5793</v>
      </c>
      <c r="T83" s="646" t="s">
        <v>4804</v>
      </c>
      <c r="U83" s="146" t="s">
        <v>5794</v>
      </c>
      <c r="V83" s="612" t="s">
        <v>5795</v>
      </c>
      <c r="W83" s="612" t="s">
        <v>5796</v>
      </c>
      <c r="X83" s="612" t="s">
        <v>5797</v>
      </c>
      <c r="Y83" s="612"/>
      <c r="Z83" s="323"/>
      <c r="AA83" s="323"/>
      <c r="AC83" s="323"/>
    </row>
    <row r="84" spans="2:29" ht="12.75" customHeight="1" x14ac:dyDescent="0.35">
      <c r="B84" s="511">
        <v>43705</v>
      </c>
      <c r="C84" s="4" t="s">
        <v>5798</v>
      </c>
      <c r="D84" s="324">
        <v>360</v>
      </c>
      <c r="E84" s="324"/>
      <c r="F84" s="4" t="s">
        <v>773</v>
      </c>
      <c r="G84" s="324"/>
      <c r="H84" s="323"/>
      <c r="I84" s="323"/>
      <c r="J84" s="641" t="s">
        <v>1141</v>
      </c>
      <c r="K84" s="641"/>
      <c r="L84" s="641"/>
      <c r="M84" s="641"/>
      <c r="N84" s="641"/>
      <c r="O84" s="641"/>
      <c r="P84" s="545" t="s">
        <v>5799</v>
      </c>
      <c r="Q84" s="612" t="s">
        <v>4664</v>
      </c>
      <c r="R84" s="299" t="s">
        <v>5800</v>
      </c>
      <c r="S84" s="299" t="s">
        <v>5801</v>
      </c>
      <c r="T84" s="646" t="s">
        <v>5588</v>
      </c>
      <c r="U84" s="146" t="s">
        <v>5802</v>
      </c>
      <c r="V84" s="612" t="s">
        <v>5803</v>
      </c>
      <c r="W84" s="612" t="s">
        <v>5804</v>
      </c>
      <c r="X84" s="612" t="s">
        <v>5805</v>
      </c>
      <c r="Y84" s="612"/>
      <c r="Z84" s="323"/>
      <c r="AA84" s="323"/>
      <c r="AC84" s="323"/>
    </row>
    <row r="85" spans="2:29" ht="12.75" customHeight="1" x14ac:dyDescent="0.35">
      <c r="B85" s="511">
        <v>43709</v>
      </c>
      <c r="C85" s="4" t="s">
        <v>5806</v>
      </c>
      <c r="D85" s="324">
        <v>360</v>
      </c>
      <c r="E85" s="324"/>
      <c r="F85" s="4" t="s">
        <v>773</v>
      </c>
      <c r="G85" s="324"/>
      <c r="H85" s="323"/>
      <c r="I85" s="323"/>
      <c r="J85" s="641" t="s">
        <v>1141</v>
      </c>
      <c r="K85" s="641"/>
      <c r="L85" s="641"/>
      <c r="M85" s="641"/>
      <c r="N85" s="641"/>
      <c r="O85" s="641"/>
      <c r="P85" s="545" t="s">
        <v>5807</v>
      </c>
      <c r="Q85" s="612" t="s">
        <v>4955</v>
      </c>
      <c r="R85" s="299" t="s">
        <v>5808</v>
      </c>
      <c r="S85" s="299" t="s">
        <v>5809</v>
      </c>
      <c r="T85" s="646" t="s">
        <v>4808</v>
      </c>
      <c r="U85" s="146" t="s">
        <v>5810</v>
      </c>
      <c r="V85" s="612" t="s">
        <v>5811</v>
      </c>
      <c r="W85" s="612" t="s">
        <v>5812</v>
      </c>
      <c r="X85" s="612" t="s">
        <v>5813</v>
      </c>
      <c r="Y85" s="612"/>
      <c r="Z85" s="323"/>
      <c r="AA85" s="323"/>
      <c r="AC85" s="323"/>
    </row>
    <row r="86" spans="2:29" ht="12.75" customHeight="1" x14ac:dyDescent="0.35">
      <c r="B86" s="511">
        <v>43717</v>
      </c>
      <c r="C86" s="4" t="s">
        <v>5814</v>
      </c>
      <c r="D86" s="324">
        <v>120</v>
      </c>
      <c r="E86" s="324"/>
      <c r="F86" s="4" t="s">
        <v>5815</v>
      </c>
      <c r="G86" s="324"/>
      <c r="H86" s="323"/>
      <c r="I86" s="323"/>
      <c r="J86" s="367">
        <v>43745</v>
      </c>
      <c r="K86" s="367"/>
      <c r="L86" s="367"/>
      <c r="M86" s="367"/>
      <c r="N86" s="367"/>
      <c r="O86" s="367"/>
      <c r="P86" s="545" t="s">
        <v>5572</v>
      </c>
      <c r="Q86" s="612" t="s">
        <v>5045</v>
      </c>
      <c r="R86" s="299" t="s">
        <v>4446</v>
      </c>
      <c r="S86" s="299" t="s">
        <v>4403</v>
      </c>
      <c r="T86" s="646" t="s">
        <v>5008</v>
      </c>
      <c r="U86" s="146" t="s">
        <v>5573</v>
      </c>
      <c r="V86" s="612" t="s">
        <v>5816</v>
      </c>
      <c r="W86" s="612" t="s">
        <v>5575</v>
      </c>
      <c r="X86" s="612" t="s">
        <v>5576</v>
      </c>
      <c r="Y86" s="612"/>
      <c r="Z86" s="323"/>
      <c r="AA86" s="323"/>
      <c r="AC86" s="323"/>
    </row>
    <row r="87" spans="2:29" ht="12.75" customHeight="1" x14ac:dyDescent="0.35">
      <c r="B87" s="511">
        <v>43717</v>
      </c>
      <c r="C87" s="4" t="s">
        <v>5163</v>
      </c>
      <c r="D87" s="324">
        <v>310</v>
      </c>
      <c r="E87" s="324"/>
      <c r="F87" s="4" t="s">
        <v>773</v>
      </c>
      <c r="G87" s="324"/>
      <c r="H87" s="323"/>
      <c r="I87" s="323"/>
      <c r="J87" s="367">
        <v>43784</v>
      </c>
      <c r="K87" s="367"/>
      <c r="L87" s="367"/>
      <c r="M87" s="367"/>
      <c r="N87" s="367"/>
      <c r="O87" s="367"/>
      <c r="P87" s="545" t="s">
        <v>5817</v>
      </c>
      <c r="Q87" s="612" t="s">
        <v>5818</v>
      </c>
      <c r="R87" s="299" t="s">
        <v>5819</v>
      </c>
      <c r="S87" s="299" t="s">
        <v>5820</v>
      </c>
      <c r="T87" s="646" t="s">
        <v>5588</v>
      </c>
      <c r="U87" s="146" t="s">
        <v>5821</v>
      </c>
      <c r="V87" s="612" t="s">
        <v>5822</v>
      </c>
      <c r="W87" s="612" t="s">
        <v>5823</v>
      </c>
      <c r="X87" s="612" t="s">
        <v>5721</v>
      </c>
      <c r="Y87" s="612"/>
      <c r="Z87" s="323"/>
      <c r="AA87" s="323"/>
      <c r="AC87" s="323"/>
    </row>
    <row r="88" spans="2:29" ht="12.75" customHeight="1" x14ac:dyDescent="0.35">
      <c r="B88" s="511">
        <v>43725</v>
      </c>
      <c r="C88" s="4" t="s">
        <v>5824</v>
      </c>
      <c r="D88" s="324">
        <v>360</v>
      </c>
      <c r="E88" s="324"/>
      <c r="F88" s="4" t="s">
        <v>773</v>
      </c>
      <c r="G88" s="324"/>
      <c r="H88" s="323"/>
      <c r="I88" s="323"/>
      <c r="J88" s="367"/>
      <c r="K88" s="367"/>
      <c r="L88" s="367"/>
      <c r="M88" s="367"/>
      <c r="N88" s="367"/>
      <c r="O88" s="367"/>
      <c r="P88" s="545" t="s">
        <v>5825</v>
      </c>
      <c r="Q88" s="612" t="s">
        <v>4955</v>
      </c>
      <c r="R88" s="299" t="s">
        <v>3995</v>
      </c>
      <c r="S88" s="299" t="s">
        <v>5826</v>
      </c>
      <c r="T88" s="646" t="s">
        <v>5028</v>
      </c>
      <c r="U88" s="146" t="s">
        <v>5827</v>
      </c>
      <c r="V88" s="612" t="s">
        <v>5828</v>
      </c>
      <c r="W88" s="612" t="s">
        <v>5829</v>
      </c>
      <c r="X88" s="612" t="s">
        <v>4370</v>
      </c>
      <c r="Y88" s="612"/>
      <c r="Z88" s="323"/>
      <c r="AA88" s="323"/>
      <c r="AC88" s="323"/>
    </row>
    <row r="89" spans="2:29" ht="12.75" customHeight="1" x14ac:dyDescent="0.35">
      <c r="B89" s="511">
        <v>43745</v>
      </c>
      <c r="C89" s="4" t="s">
        <v>5440</v>
      </c>
      <c r="D89" s="324">
        <v>360</v>
      </c>
      <c r="E89" s="324"/>
      <c r="F89" s="4" t="s">
        <v>773</v>
      </c>
      <c r="G89" s="324"/>
      <c r="H89" s="323"/>
      <c r="I89" s="323"/>
      <c r="J89" s="367"/>
      <c r="K89" s="367"/>
      <c r="L89" s="367"/>
      <c r="M89" s="367"/>
      <c r="N89" s="367"/>
      <c r="O89" s="367"/>
      <c r="P89" s="287" t="s">
        <v>5830</v>
      </c>
      <c r="Q89" s="84" t="s">
        <v>5045</v>
      </c>
      <c r="R89" s="91" t="s">
        <v>2624</v>
      </c>
      <c r="S89" s="91" t="s">
        <v>5831</v>
      </c>
      <c r="T89" s="202" t="s">
        <v>4889</v>
      </c>
      <c r="U89" s="510" t="s">
        <v>5832</v>
      </c>
      <c r="V89" s="612"/>
      <c r="W89" s="612"/>
      <c r="X89" s="612"/>
      <c r="Y89" s="612"/>
      <c r="Z89" s="323"/>
      <c r="AA89" s="323"/>
      <c r="AC89" s="323"/>
    </row>
    <row r="90" spans="2:29" ht="12.75" customHeight="1" x14ac:dyDescent="0.35">
      <c r="B90" s="511">
        <v>43780</v>
      </c>
      <c r="C90" s="4" t="s">
        <v>5440</v>
      </c>
      <c r="D90" s="324">
        <v>360</v>
      </c>
      <c r="E90" s="324"/>
      <c r="F90" s="4" t="s">
        <v>773</v>
      </c>
      <c r="G90" s="324"/>
      <c r="H90" s="323"/>
      <c r="I90" s="323"/>
      <c r="J90" s="367">
        <v>43794</v>
      </c>
      <c r="K90" s="367"/>
      <c r="L90" s="367"/>
      <c r="M90" s="367"/>
      <c r="N90" s="367"/>
      <c r="O90" s="367"/>
      <c r="P90" s="92" t="s">
        <v>5833</v>
      </c>
      <c r="Q90" s="86" t="s">
        <v>4664</v>
      </c>
      <c r="R90" s="4" t="s">
        <v>5834</v>
      </c>
      <c r="S90" s="4" t="s">
        <v>5835</v>
      </c>
      <c r="T90" s="94" t="s">
        <v>4866</v>
      </c>
      <c r="U90" s="84" t="s">
        <v>5836</v>
      </c>
      <c r="V90" s="84" t="s">
        <v>5837</v>
      </c>
      <c r="W90" s="84" t="s">
        <v>5838</v>
      </c>
      <c r="X90" s="87" t="s">
        <v>4370</v>
      </c>
      <c r="Y90" s="612"/>
      <c r="Z90" s="323"/>
      <c r="AA90" s="323"/>
      <c r="AC90" s="323"/>
    </row>
    <row r="91" spans="2:29" ht="12.75" customHeight="1" x14ac:dyDescent="0.35">
      <c r="B91" s="511">
        <v>43795</v>
      </c>
      <c r="C91" s="4" t="s">
        <v>5440</v>
      </c>
      <c r="D91" s="324">
        <v>58.5</v>
      </c>
      <c r="E91" s="324"/>
      <c r="F91" s="4" t="s">
        <v>976</v>
      </c>
      <c r="G91" s="324"/>
      <c r="H91" s="323"/>
      <c r="I91" s="323"/>
      <c r="J91" s="367">
        <v>43797</v>
      </c>
      <c r="K91" s="367"/>
      <c r="L91" s="367"/>
      <c r="M91" s="367"/>
      <c r="N91" s="367"/>
      <c r="O91" s="367"/>
      <c r="P91" s="545" t="s">
        <v>4175</v>
      </c>
      <c r="Q91" s="612" t="s">
        <v>5045</v>
      </c>
      <c r="R91" s="299" t="s">
        <v>5839</v>
      </c>
      <c r="S91" s="299" t="s">
        <v>4177</v>
      </c>
      <c r="T91" s="646" t="s">
        <v>5431</v>
      </c>
      <c r="U91" s="146" t="s">
        <v>5731</v>
      </c>
      <c r="V91" s="612"/>
      <c r="W91" s="612"/>
      <c r="X91" s="612"/>
      <c r="Y91" s="612"/>
      <c r="Z91" s="323"/>
      <c r="AA91" s="323"/>
      <c r="AC91" s="323"/>
    </row>
    <row r="92" spans="2:29" ht="12.75" customHeight="1" x14ac:dyDescent="0.35">
      <c r="B92" s="511">
        <v>43800</v>
      </c>
      <c r="C92" s="4" t="s">
        <v>5840</v>
      </c>
      <c r="D92" s="324">
        <v>225</v>
      </c>
      <c r="E92" s="324"/>
      <c r="F92" s="4" t="s">
        <v>5375</v>
      </c>
      <c r="G92" s="324"/>
      <c r="H92" s="323"/>
      <c r="I92" s="323"/>
      <c r="J92" s="367">
        <v>43816</v>
      </c>
      <c r="K92" s="367"/>
      <c r="L92" s="367"/>
      <c r="M92" s="367"/>
      <c r="N92" s="367"/>
      <c r="O92" s="367"/>
      <c r="P92" s="545" t="s">
        <v>5841</v>
      </c>
      <c r="Q92" s="612" t="s">
        <v>4664</v>
      </c>
      <c r="R92" s="299" t="s">
        <v>5842</v>
      </c>
      <c r="S92" s="299" t="s">
        <v>5843</v>
      </c>
      <c r="T92" s="646" t="s">
        <v>4804</v>
      </c>
      <c r="U92" s="146"/>
      <c r="V92" s="612"/>
      <c r="W92" s="612"/>
      <c r="X92" s="612"/>
      <c r="Y92" s="612"/>
      <c r="Z92" s="323"/>
      <c r="AA92" s="323"/>
      <c r="AC92" s="323"/>
    </row>
    <row r="93" spans="2:29" ht="12.75" customHeight="1" x14ac:dyDescent="0.35">
      <c r="B93" s="511">
        <v>43805</v>
      </c>
      <c r="C93" s="4" t="s">
        <v>5844</v>
      </c>
      <c r="D93" s="324">
        <v>360</v>
      </c>
      <c r="E93" s="324"/>
      <c r="F93" s="4" t="s">
        <v>773</v>
      </c>
      <c r="G93" s="324"/>
      <c r="H93" s="323"/>
      <c r="I93" s="323"/>
      <c r="J93" s="367"/>
      <c r="K93" s="367"/>
      <c r="L93" s="367"/>
      <c r="M93" s="367"/>
      <c r="N93" s="367"/>
      <c r="O93" s="367"/>
      <c r="P93" s="287" t="s">
        <v>4218</v>
      </c>
      <c r="Q93" s="84" t="s">
        <v>5045</v>
      </c>
      <c r="R93" s="84" t="s">
        <v>5641</v>
      </c>
      <c r="S93" s="323" t="s">
        <v>517</v>
      </c>
      <c r="T93" s="238" t="s">
        <v>4755</v>
      </c>
      <c r="U93" s="146" t="s">
        <v>5642</v>
      </c>
      <c r="V93" s="323" t="s">
        <v>4395</v>
      </c>
      <c r="W93" s="331" t="s">
        <v>4394</v>
      </c>
      <c r="X93" s="84" t="s">
        <v>5643</v>
      </c>
      <c r="Y93" s="612"/>
      <c r="Z93" s="323"/>
      <c r="AA93" s="323"/>
      <c r="AC93" s="323"/>
    </row>
    <row r="94" spans="2:29" ht="12.75" customHeight="1" x14ac:dyDescent="0.35">
      <c r="B94" s="511">
        <v>43818</v>
      </c>
      <c r="C94" s="4" t="s">
        <v>5845</v>
      </c>
      <c r="D94" s="324">
        <v>85</v>
      </c>
      <c r="E94" s="324"/>
      <c r="F94" s="4" t="s">
        <v>976</v>
      </c>
      <c r="G94" s="324"/>
      <c r="H94" s="323"/>
      <c r="I94" s="323"/>
      <c r="J94" s="367"/>
      <c r="K94" s="367"/>
      <c r="L94" s="367"/>
      <c r="M94" s="367"/>
      <c r="N94" s="367"/>
      <c r="O94" s="367"/>
      <c r="P94" s="767" t="s">
        <v>5846</v>
      </c>
      <c r="Q94" s="86" t="s">
        <v>4955</v>
      </c>
      <c r="R94" s="550" t="s">
        <v>5847</v>
      </c>
      <c r="S94" s="550" t="s">
        <v>5848</v>
      </c>
      <c r="T94" s="551" t="s">
        <v>4730</v>
      </c>
      <c r="U94" s="146" t="s">
        <v>5849</v>
      </c>
      <c r="V94" s="484" t="s">
        <v>5850</v>
      </c>
      <c r="W94" s="84" t="s">
        <v>5851</v>
      </c>
      <c r="X94" s="87" t="s">
        <v>4376</v>
      </c>
      <c r="Y94" s="612"/>
      <c r="Z94" s="323"/>
      <c r="AA94" s="323"/>
      <c r="AC94" s="323"/>
    </row>
    <row r="95" spans="2:29" ht="12.75" customHeight="1" x14ac:dyDescent="0.35">
      <c r="B95" s="511">
        <v>43823</v>
      </c>
      <c r="C95" s="4" t="s">
        <v>5852</v>
      </c>
      <c r="D95" s="324">
        <v>65</v>
      </c>
      <c r="E95" s="324"/>
      <c r="F95" s="4" t="s">
        <v>976</v>
      </c>
      <c r="G95" s="324"/>
      <c r="H95" s="323"/>
      <c r="I95" s="323"/>
      <c r="J95" s="367"/>
      <c r="K95" s="367"/>
      <c r="L95" s="367"/>
      <c r="M95" s="367"/>
      <c r="N95" s="367"/>
      <c r="O95" s="367"/>
      <c r="P95" s="545" t="s">
        <v>5853</v>
      </c>
      <c r="Q95" s="612" t="s">
        <v>4664</v>
      </c>
      <c r="R95" s="299" t="s">
        <v>5854</v>
      </c>
      <c r="S95" s="299" t="s">
        <v>5855</v>
      </c>
      <c r="T95" s="646" t="s">
        <v>4889</v>
      </c>
      <c r="U95" s="146" t="s">
        <v>5856</v>
      </c>
      <c r="V95" s="612"/>
      <c r="W95" s="612"/>
      <c r="X95" s="612"/>
      <c r="Y95" s="612"/>
      <c r="Z95" s="323"/>
      <c r="AA95" s="323"/>
      <c r="AC95" s="323"/>
    </row>
    <row r="96" spans="2:29" ht="12.75" customHeight="1" x14ac:dyDescent="0.35">
      <c r="B96" s="511">
        <v>43829</v>
      </c>
      <c r="C96" s="4" t="s">
        <v>5857</v>
      </c>
      <c r="D96" s="324">
        <v>120</v>
      </c>
      <c r="E96" s="324"/>
      <c r="F96" s="4" t="s">
        <v>5593</v>
      </c>
      <c r="G96" s="324"/>
      <c r="H96" s="323"/>
      <c r="I96" s="323"/>
      <c r="J96" s="367">
        <v>43841</v>
      </c>
      <c r="K96" s="367"/>
      <c r="L96" s="367"/>
      <c r="M96" s="367"/>
      <c r="N96" s="367"/>
      <c r="O96" s="367"/>
      <c r="P96" s="545" t="s">
        <v>5858</v>
      </c>
      <c r="Q96" s="612" t="s">
        <v>4955</v>
      </c>
      <c r="R96" s="299" t="s">
        <v>5859</v>
      </c>
      <c r="S96" s="299" t="s">
        <v>519</v>
      </c>
      <c r="T96" s="646" t="s">
        <v>5431</v>
      </c>
      <c r="U96" s="146" t="s">
        <v>5860</v>
      </c>
      <c r="V96" s="612" t="s">
        <v>5861</v>
      </c>
      <c r="W96" s="612"/>
      <c r="X96" s="612" t="s">
        <v>5862</v>
      </c>
      <c r="Y96" s="612"/>
      <c r="Z96" s="323"/>
      <c r="AA96" s="323"/>
      <c r="AC96" s="323"/>
    </row>
    <row r="97" spans="2:29" ht="12.75" customHeight="1" x14ac:dyDescent="0.35">
      <c r="B97" s="511">
        <v>44196</v>
      </c>
      <c r="C97" s="4" t="s">
        <v>5863</v>
      </c>
      <c r="D97" s="324">
        <v>65</v>
      </c>
      <c r="E97" s="324"/>
      <c r="F97" s="4" t="s">
        <v>976</v>
      </c>
      <c r="G97" s="324"/>
      <c r="H97" s="323"/>
      <c r="I97" s="323"/>
      <c r="J97" s="367"/>
      <c r="K97" s="367"/>
      <c r="L97" s="367"/>
      <c r="M97" s="367"/>
      <c r="N97" s="367"/>
      <c r="O97" s="367"/>
      <c r="P97" s="545" t="s">
        <v>5864</v>
      </c>
      <c r="Q97" s="299" t="s">
        <v>4955</v>
      </c>
      <c r="R97" s="552" t="s">
        <v>5865</v>
      </c>
      <c r="S97" s="552" t="s">
        <v>3992</v>
      </c>
      <c r="T97" s="300" t="s">
        <v>4683</v>
      </c>
      <c r="U97" s="300" t="s">
        <v>5416</v>
      </c>
      <c r="V97" s="300" t="s">
        <v>4398</v>
      </c>
      <c r="W97" s="299" t="s">
        <v>4397</v>
      </c>
      <c r="X97" s="300" t="s">
        <v>4376</v>
      </c>
      <c r="Y97" s="299"/>
      <c r="Z97" s="323"/>
      <c r="AA97" s="323"/>
      <c r="AC97" s="323"/>
    </row>
    <row r="98" spans="2:29" ht="12.75" customHeight="1" x14ac:dyDescent="0.35">
      <c r="B98" s="511">
        <v>43832</v>
      </c>
      <c r="C98" s="4" t="s">
        <v>5866</v>
      </c>
      <c r="D98" s="324">
        <v>120</v>
      </c>
      <c r="E98" s="324"/>
      <c r="F98" s="4" t="s">
        <v>5593</v>
      </c>
      <c r="G98" s="324"/>
      <c r="H98" s="323"/>
      <c r="I98" s="323"/>
      <c r="J98" s="367">
        <v>43845</v>
      </c>
      <c r="K98" s="367"/>
      <c r="L98" s="367"/>
      <c r="M98" s="367"/>
      <c r="N98" s="367"/>
      <c r="O98" s="367"/>
      <c r="P98" s="545" t="s">
        <v>5867</v>
      </c>
      <c r="Q98" s="612" t="s">
        <v>4664</v>
      </c>
      <c r="R98" s="299" t="s">
        <v>4533</v>
      </c>
      <c r="S98" s="299" t="s">
        <v>5868</v>
      </c>
      <c r="T98" s="646" t="s">
        <v>4749</v>
      </c>
      <c r="U98" s="146" t="s">
        <v>5869</v>
      </c>
      <c r="V98" s="612" t="s">
        <v>5870</v>
      </c>
      <c r="W98" s="612" t="s">
        <v>5871</v>
      </c>
      <c r="X98" s="612" t="s">
        <v>5583</v>
      </c>
      <c r="Y98" s="612"/>
      <c r="Z98" s="323"/>
      <c r="AA98" s="323"/>
      <c r="AC98" s="323"/>
    </row>
    <row r="99" spans="2:29" ht="12.75" customHeight="1" x14ac:dyDescent="0.35">
      <c r="B99" s="511">
        <v>43835</v>
      </c>
      <c r="C99" s="4" t="s">
        <v>5872</v>
      </c>
      <c r="D99" s="324">
        <v>65</v>
      </c>
      <c r="E99" s="324"/>
      <c r="F99" s="4" t="s">
        <v>976</v>
      </c>
      <c r="G99" s="324"/>
      <c r="H99" s="323"/>
      <c r="I99" s="323"/>
      <c r="J99" s="367">
        <v>43840</v>
      </c>
      <c r="K99" s="367"/>
      <c r="L99" s="367"/>
      <c r="M99" s="367"/>
      <c r="N99" s="367"/>
      <c r="O99" s="367"/>
      <c r="P99" s="545" t="s">
        <v>5873</v>
      </c>
      <c r="Q99" s="612" t="s">
        <v>4664</v>
      </c>
      <c r="R99" s="299" t="s">
        <v>4472</v>
      </c>
      <c r="S99" s="299" t="s">
        <v>4473</v>
      </c>
      <c r="T99" s="646" t="s">
        <v>5874</v>
      </c>
      <c r="U99" s="146" t="s">
        <v>5875</v>
      </c>
      <c r="V99" s="612" t="s">
        <v>4415</v>
      </c>
      <c r="W99" s="612" t="s">
        <v>4413</v>
      </c>
      <c r="X99" s="612" t="s">
        <v>5663</v>
      </c>
      <c r="Y99" s="612"/>
      <c r="Z99" s="323"/>
      <c r="AA99" s="323"/>
      <c r="AC99" s="323"/>
    </row>
    <row r="100" spans="2:29" ht="12.75" customHeight="1" x14ac:dyDescent="0.35">
      <c r="B100" s="511">
        <v>43841</v>
      </c>
      <c r="C100" s="4" t="s">
        <v>5876</v>
      </c>
      <c r="D100" s="324">
        <v>360</v>
      </c>
      <c r="E100" s="324"/>
      <c r="F100" s="4" t="s">
        <v>773</v>
      </c>
      <c r="G100" s="324"/>
      <c r="H100" s="323"/>
      <c r="I100" s="323"/>
      <c r="J100" s="367"/>
      <c r="K100" s="367"/>
      <c r="L100" s="367"/>
      <c r="M100" s="367"/>
      <c r="N100" s="367"/>
      <c r="O100" s="367"/>
      <c r="P100" s="545" t="s">
        <v>5877</v>
      </c>
      <c r="Q100" s="612" t="s">
        <v>4664</v>
      </c>
      <c r="R100" s="299" t="s">
        <v>5878</v>
      </c>
      <c r="S100" s="299" t="s">
        <v>4448</v>
      </c>
      <c r="T100" s="646" t="s">
        <v>5104</v>
      </c>
      <c r="U100" s="146" t="s">
        <v>5879</v>
      </c>
      <c r="V100" s="612" t="s">
        <v>5880</v>
      </c>
      <c r="W100" s="612" t="s">
        <v>5881</v>
      </c>
      <c r="X100" s="612" t="s">
        <v>5882</v>
      </c>
      <c r="Y100" s="612"/>
      <c r="Z100" s="323"/>
      <c r="AA100" s="323"/>
      <c r="AC100" s="323"/>
    </row>
    <row r="101" spans="2:29" ht="12.75" customHeight="1" x14ac:dyDescent="0.35">
      <c r="B101" s="511">
        <v>43841</v>
      </c>
      <c r="C101" s="4" t="s">
        <v>5883</v>
      </c>
      <c r="D101" s="324">
        <v>120</v>
      </c>
      <c r="E101" s="324"/>
      <c r="F101" s="4" t="s">
        <v>5593</v>
      </c>
      <c r="G101" s="324"/>
      <c r="H101" s="323"/>
      <c r="I101" s="323"/>
      <c r="J101" s="367">
        <v>43852</v>
      </c>
      <c r="K101" s="367"/>
      <c r="L101" s="367"/>
      <c r="M101" s="367"/>
      <c r="N101" s="367"/>
      <c r="O101" s="367"/>
      <c r="P101" s="545" t="s">
        <v>5858</v>
      </c>
      <c r="Q101" s="612" t="s">
        <v>4955</v>
      </c>
      <c r="R101" s="299" t="s">
        <v>5859</v>
      </c>
      <c r="S101" s="299" t="s">
        <v>519</v>
      </c>
      <c r="T101" s="646" t="s">
        <v>5431</v>
      </c>
      <c r="U101" s="146" t="s">
        <v>5860</v>
      </c>
      <c r="V101" s="612" t="s">
        <v>5861</v>
      </c>
      <c r="W101" s="612"/>
      <c r="X101" s="612" t="s">
        <v>5862</v>
      </c>
      <c r="Y101" s="612"/>
      <c r="Z101" s="323"/>
      <c r="AA101" s="323"/>
      <c r="AC101" s="323"/>
    </row>
    <row r="102" spans="2:29" ht="12.75" customHeight="1" x14ac:dyDescent="0.35">
      <c r="B102" s="511">
        <v>43849</v>
      </c>
      <c r="C102" s="4" t="s">
        <v>5884</v>
      </c>
      <c r="D102" s="324">
        <v>360</v>
      </c>
      <c r="E102" s="324"/>
      <c r="F102" s="4" t="s">
        <v>773</v>
      </c>
      <c r="G102" s="324"/>
      <c r="H102" s="323"/>
      <c r="I102" s="323"/>
      <c r="J102" s="367">
        <v>43854</v>
      </c>
      <c r="K102" s="367"/>
      <c r="L102" s="367"/>
      <c r="M102" s="367"/>
      <c r="N102" s="367"/>
      <c r="O102" s="367"/>
      <c r="P102" s="545" t="s">
        <v>5867</v>
      </c>
      <c r="Q102" s="612" t="s">
        <v>4664</v>
      </c>
      <c r="R102" s="299" t="s">
        <v>4533</v>
      </c>
      <c r="S102" s="299" t="s">
        <v>5868</v>
      </c>
      <c r="T102" s="646" t="s">
        <v>4749</v>
      </c>
      <c r="U102" s="146" t="s">
        <v>5869</v>
      </c>
      <c r="V102" s="612" t="s">
        <v>5870</v>
      </c>
      <c r="W102" s="612" t="s">
        <v>5871</v>
      </c>
      <c r="X102" s="612" t="s">
        <v>5583</v>
      </c>
      <c r="Y102" s="612"/>
      <c r="Z102" s="323"/>
      <c r="AA102" s="323"/>
      <c r="AC102" s="323"/>
    </row>
    <row r="103" spans="2:29" ht="12.75" customHeight="1" x14ac:dyDescent="0.35">
      <c r="B103" s="511">
        <v>43884</v>
      </c>
      <c r="C103" s="4" t="s">
        <v>5885</v>
      </c>
      <c r="D103" s="324">
        <v>360</v>
      </c>
      <c r="E103" s="324"/>
      <c r="F103" s="4" t="s">
        <v>773</v>
      </c>
      <c r="G103" s="324"/>
      <c r="H103" s="323"/>
      <c r="I103" s="323"/>
      <c r="J103" s="367"/>
      <c r="K103" s="367"/>
      <c r="L103" s="367"/>
      <c r="M103" s="367"/>
      <c r="N103" s="367"/>
      <c r="O103" s="367"/>
      <c r="P103" s="287" t="s">
        <v>5572</v>
      </c>
      <c r="Q103" s="84" t="s">
        <v>5045</v>
      </c>
      <c r="R103" s="127" t="s">
        <v>4446</v>
      </c>
      <c r="S103" s="127" t="s">
        <v>4403</v>
      </c>
      <c r="T103" s="146" t="s">
        <v>5008</v>
      </c>
      <c r="U103" s="146" t="s">
        <v>5573</v>
      </c>
      <c r="V103" s="484" t="s">
        <v>5816</v>
      </c>
      <c r="W103" s="484" t="s">
        <v>5575</v>
      </c>
      <c r="X103" s="84" t="s">
        <v>5886</v>
      </c>
      <c r="Y103" s="612"/>
      <c r="Z103" s="323"/>
      <c r="AA103" s="323"/>
      <c r="AC103" s="323"/>
    </row>
    <row r="104" spans="2:29" ht="12.75" customHeight="1" x14ac:dyDescent="0.35">
      <c r="B104" s="511">
        <v>43887</v>
      </c>
      <c r="C104" s="4" t="s">
        <v>5887</v>
      </c>
      <c r="D104" s="324">
        <v>65</v>
      </c>
      <c r="E104" s="324"/>
      <c r="F104" s="4" t="s">
        <v>976</v>
      </c>
      <c r="G104" s="324"/>
      <c r="H104" s="323"/>
      <c r="I104" s="323"/>
      <c r="J104" s="367">
        <v>43893</v>
      </c>
      <c r="K104" s="367"/>
      <c r="L104" s="367"/>
      <c r="M104" s="367"/>
      <c r="N104" s="367"/>
      <c r="O104" s="367"/>
      <c r="P104" s="287" t="s">
        <v>5888</v>
      </c>
      <c r="Q104" s="84" t="s">
        <v>4955</v>
      </c>
      <c r="R104" s="127" t="s">
        <v>5889</v>
      </c>
      <c r="S104" s="127" t="s">
        <v>3981</v>
      </c>
      <c r="T104" s="146" t="s">
        <v>4692</v>
      </c>
      <c r="U104" s="146" t="s">
        <v>5890</v>
      </c>
      <c r="V104" s="484" t="s">
        <v>5891</v>
      </c>
      <c r="W104" s="484" t="s">
        <v>5892</v>
      </c>
      <c r="X104" s="84" t="s">
        <v>5893</v>
      </c>
      <c r="Y104" s="612"/>
      <c r="Z104" s="323"/>
      <c r="AA104" s="323"/>
      <c r="AC104" s="323"/>
    </row>
    <row r="105" spans="2:29" ht="12.75" customHeight="1" x14ac:dyDescent="0.35">
      <c r="B105" s="511">
        <v>43878</v>
      </c>
      <c r="C105" s="4" t="s">
        <v>5894</v>
      </c>
      <c r="D105" s="324">
        <v>360</v>
      </c>
      <c r="E105" s="324"/>
      <c r="F105" s="4" t="s">
        <v>773</v>
      </c>
      <c r="G105" s="324"/>
      <c r="H105" s="323"/>
      <c r="I105" s="323"/>
      <c r="J105" s="367">
        <v>43913</v>
      </c>
      <c r="K105" s="367"/>
      <c r="L105" s="367"/>
      <c r="M105" s="367"/>
      <c r="N105" s="367"/>
      <c r="O105" s="367"/>
      <c r="P105" s="287" t="s">
        <v>5895</v>
      </c>
      <c r="Q105" s="84" t="s">
        <v>4664</v>
      </c>
      <c r="R105" s="127" t="s">
        <v>4145</v>
      </c>
      <c r="S105" s="127" t="s">
        <v>4064</v>
      </c>
      <c r="T105" s="146" t="s">
        <v>5454</v>
      </c>
      <c r="U105" s="146" t="s">
        <v>5896</v>
      </c>
      <c r="V105" s="484"/>
      <c r="W105" s="484"/>
      <c r="X105" s="84" t="s">
        <v>5897</v>
      </c>
      <c r="Y105" s="612"/>
      <c r="Z105" s="323"/>
      <c r="AA105" s="323"/>
      <c r="AC105" s="323"/>
    </row>
    <row r="106" spans="2:29" ht="12.75" customHeight="1" x14ac:dyDescent="0.35">
      <c r="B106" s="511">
        <v>43909</v>
      </c>
      <c r="C106" s="4" t="s">
        <v>5898</v>
      </c>
      <c r="D106" s="324">
        <v>50</v>
      </c>
      <c r="E106" s="324"/>
      <c r="F106" s="4" t="s">
        <v>5899</v>
      </c>
      <c r="G106" s="324"/>
      <c r="H106" s="323"/>
      <c r="I106" s="323"/>
      <c r="J106" s="367"/>
      <c r="K106" s="367"/>
      <c r="L106" s="367"/>
      <c r="M106" s="367"/>
      <c r="N106" s="367"/>
      <c r="O106" s="367"/>
      <c r="P106" s="287" t="s">
        <v>5877</v>
      </c>
      <c r="Q106" s="84" t="s">
        <v>4664</v>
      </c>
      <c r="R106" s="127" t="s">
        <v>4447</v>
      </c>
      <c r="S106" s="127" t="s">
        <v>4448</v>
      </c>
      <c r="T106" s="146" t="s">
        <v>5454</v>
      </c>
      <c r="U106" s="146" t="s">
        <v>5879</v>
      </c>
      <c r="V106" s="484" t="s">
        <v>5880</v>
      </c>
      <c r="W106" s="484" t="s">
        <v>5881</v>
      </c>
      <c r="X106" s="84" t="s">
        <v>5882</v>
      </c>
      <c r="Y106" s="612"/>
      <c r="Z106" s="323"/>
      <c r="AA106" s="323"/>
      <c r="AC106" s="323"/>
    </row>
    <row r="107" spans="2:29" ht="12.75" customHeight="1" x14ac:dyDescent="0.35">
      <c r="B107" s="511">
        <v>43969</v>
      </c>
      <c r="C107" s="4" t="s">
        <v>5900</v>
      </c>
      <c r="D107" s="324">
        <v>35</v>
      </c>
      <c r="E107" s="324"/>
      <c r="F107" s="4" t="s">
        <v>976</v>
      </c>
      <c r="G107" s="324"/>
      <c r="H107" s="323"/>
      <c r="I107" s="323"/>
      <c r="J107" s="367"/>
      <c r="K107" s="367"/>
      <c r="L107" s="367"/>
      <c r="M107" s="367"/>
      <c r="N107" s="367"/>
      <c r="O107" s="367"/>
      <c r="P107" s="287" t="s">
        <v>5901</v>
      </c>
      <c r="Q107" s="84" t="s">
        <v>4664</v>
      </c>
      <c r="R107" s="127" t="s">
        <v>5902</v>
      </c>
      <c r="S107" s="127" t="s">
        <v>5903</v>
      </c>
      <c r="T107" s="146" t="s">
        <v>5028</v>
      </c>
      <c r="U107" s="146" t="s">
        <v>5904</v>
      </c>
      <c r="V107" s="484" t="s">
        <v>5905</v>
      </c>
      <c r="W107" s="484" t="s">
        <v>5906</v>
      </c>
      <c r="X107" s="84" t="s">
        <v>5907</v>
      </c>
      <c r="Y107" s="612"/>
      <c r="Z107" s="323"/>
      <c r="AA107" s="323"/>
      <c r="AC107" s="323"/>
    </row>
    <row r="108" spans="2:29" ht="12.75" customHeight="1" x14ac:dyDescent="0.35">
      <c r="B108" s="511">
        <v>43998</v>
      </c>
      <c r="C108" s="4"/>
      <c r="D108" s="324">
        <v>120</v>
      </c>
      <c r="E108" s="324"/>
      <c r="F108" s="4" t="s">
        <v>5593</v>
      </c>
      <c r="G108" s="324"/>
      <c r="H108" s="323"/>
      <c r="I108" s="323"/>
      <c r="J108" s="367">
        <v>44011</v>
      </c>
      <c r="K108" s="367"/>
      <c r="L108" s="367"/>
      <c r="M108" s="367"/>
      <c r="N108" s="367"/>
      <c r="O108" s="367"/>
      <c r="P108" s="287" t="s">
        <v>2405</v>
      </c>
      <c r="Q108" s="84" t="s">
        <v>5045</v>
      </c>
      <c r="R108" s="127" t="s">
        <v>5908</v>
      </c>
      <c r="S108" s="127" t="s">
        <v>5909</v>
      </c>
      <c r="T108" s="146"/>
      <c r="U108" s="146" t="s">
        <v>5910</v>
      </c>
      <c r="V108" s="484" t="s">
        <v>5911</v>
      </c>
      <c r="W108" s="484" t="s">
        <v>5912</v>
      </c>
      <c r="X108" s="84" t="s">
        <v>5913</v>
      </c>
      <c r="Y108" s="612"/>
      <c r="Z108" s="323"/>
      <c r="AA108" s="323"/>
      <c r="AC108" s="323"/>
    </row>
    <row r="109" spans="2:29" ht="12.75" customHeight="1" x14ac:dyDescent="0.35">
      <c r="B109" s="511">
        <v>44014</v>
      </c>
      <c r="C109" s="4" t="s">
        <v>5914</v>
      </c>
      <c r="D109" s="324">
        <v>360</v>
      </c>
      <c r="E109" s="324"/>
      <c r="F109" s="4" t="s">
        <v>773</v>
      </c>
      <c r="G109" s="324"/>
      <c r="H109" s="323"/>
      <c r="I109" s="323"/>
      <c r="J109" s="367"/>
      <c r="K109" s="367"/>
      <c r="L109" s="367"/>
      <c r="M109" s="367"/>
      <c r="N109" s="367"/>
      <c r="O109" s="367"/>
      <c r="P109" s="287" t="s">
        <v>5915</v>
      </c>
      <c r="Q109" s="84" t="s">
        <v>4955</v>
      </c>
      <c r="R109" s="127" t="s">
        <v>5916</v>
      </c>
      <c r="S109" s="127" t="s">
        <v>5917</v>
      </c>
      <c r="T109" s="146" t="s">
        <v>5918</v>
      </c>
      <c r="U109" s="146" t="s">
        <v>5919</v>
      </c>
      <c r="V109" s="484" t="s">
        <v>5920</v>
      </c>
      <c r="W109" s="484" t="s">
        <v>5921</v>
      </c>
      <c r="X109" s="84" t="s">
        <v>5663</v>
      </c>
      <c r="Y109" s="612"/>
      <c r="Z109" s="323"/>
      <c r="AA109" s="323"/>
      <c r="AC109" s="323"/>
    </row>
    <row r="110" spans="2:29" ht="12.75" customHeight="1" x14ac:dyDescent="0.35">
      <c r="B110" s="511">
        <v>44072</v>
      </c>
      <c r="C110" s="4" t="s">
        <v>5922</v>
      </c>
      <c r="D110" s="324">
        <v>360</v>
      </c>
      <c r="E110" s="324"/>
      <c r="F110" s="4" t="s">
        <v>773</v>
      </c>
      <c r="G110" s="324"/>
      <c r="H110" s="323"/>
      <c r="I110" s="323"/>
      <c r="J110" s="367"/>
      <c r="K110" s="367"/>
      <c r="L110" s="367"/>
      <c r="M110" s="367"/>
      <c r="N110" s="367"/>
      <c r="O110" s="367"/>
      <c r="P110" s="287" t="s">
        <v>5923</v>
      </c>
      <c r="Q110" s="84" t="s">
        <v>5045</v>
      </c>
      <c r="R110" s="127" t="s">
        <v>5924</v>
      </c>
      <c r="S110" s="127" t="s">
        <v>5925</v>
      </c>
      <c r="T110" s="146" t="s">
        <v>4722</v>
      </c>
      <c r="U110" s="146" t="s">
        <v>5926</v>
      </c>
      <c r="V110" s="484" t="s">
        <v>5927</v>
      </c>
      <c r="W110" s="484" t="s">
        <v>5928</v>
      </c>
      <c r="X110" s="84" t="s">
        <v>5446</v>
      </c>
      <c r="Y110" s="612"/>
      <c r="Z110" s="323"/>
      <c r="AA110" s="323"/>
      <c r="AC110" s="323"/>
    </row>
    <row r="111" spans="2:29" ht="12.75" customHeight="1" x14ac:dyDescent="0.35">
      <c r="B111" s="511">
        <v>44081</v>
      </c>
      <c r="C111" s="4" t="s">
        <v>5929</v>
      </c>
      <c r="D111" s="324">
        <v>65</v>
      </c>
      <c r="E111" s="324"/>
      <c r="F111" s="4" t="s">
        <v>976</v>
      </c>
      <c r="G111" s="324"/>
      <c r="H111" s="323"/>
      <c r="I111" s="323"/>
      <c r="J111" s="367">
        <v>44106</v>
      </c>
      <c r="K111" s="367"/>
      <c r="L111" s="367"/>
      <c r="M111" s="367"/>
      <c r="N111" s="367"/>
      <c r="O111" s="367"/>
      <c r="P111" s="287" t="s">
        <v>5930</v>
      </c>
      <c r="Q111" s="84" t="s">
        <v>4664</v>
      </c>
      <c r="R111" s="127" t="s">
        <v>5931</v>
      </c>
      <c r="S111" s="127" t="s">
        <v>5932</v>
      </c>
      <c r="T111" s="146" t="s">
        <v>4749</v>
      </c>
      <c r="U111" s="146" t="s">
        <v>5933</v>
      </c>
      <c r="V111" s="484" t="s">
        <v>5934</v>
      </c>
      <c r="W111" s="484" t="s">
        <v>5935</v>
      </c>
      <c r="X111" s="84" t="s">
        <v>4376</v>
      </c>
      <c r="Y111" s="612"/>
      <c r="Z111" s="323"/>
      <c r="AA111" s="323"/>
      <c r="AC111" s="323"/>
    </row>
    <row r="112" spans="2:29" ht="12.75" customHeight="1" x14ac:dyDescent="0.35">
      <c r="B112" s="511">
        <v>44082</v>
      </c>
      <c r="C112" s="4" t="s">
        <v>5936</v>
      </c>
      <c r="D112" s="324">
        <v>360</v>
      </c>
      <c r="E112" s="324"/>
      <c r="F112" s="4" t="s">
        <v>773</v>
      </c>
      <c r="G112" s="324"/>
      <c r="H112" s="323"/>
      <c r="I112" s="323"/>
      <c r="J112" s="367"/>
      <c r="K112" s="367"/>
      <c r="L112" s="367"/>
      <c r="M112" s="367"/>
      <c r="N112" s="367"/>
      <c r="O112" s="367"/>
      <c r="P112" s="287" t="s">
        <v>5937</v>
      </c>
      <c r="Q112" s="84" t="s">
        <v>4955</v>
      </c>
      <c r="R112" s="127" t="s">
        <v>5938</v>
      </c>
      <c r="S112" s="127" t="s">
        <v>5939</v>
      </c>
      <c r="T112" s="146" t="s">
        <v>4866</v>
      </c>
      <c r="U112" s="146" t="s">
        <v>5940</v>
      </c>
      <c r="V112" s="484" t="s">
        <v>5941</v>
      </c>
      <c r="W112" s="484" t="s">
        <v>5942</v>
      </c>
      <c r="X112" s="84" t="s">
        <v>5943</v>
      </c>
      <c r="Y112" s="612"/>
      <c r="Z112" s="323"/>
      <c r="AA112" s="323"/>
      <c r="AC112" s="323"/>
    </row>
    <row r="113" spans="2:29" ht="12.75" customHeight="1" x14ac:dyDescent="0.35">
      <c r="B113" s="511">
        <v>44089</v>
      </c>
      <c r="C113" s="4" t="s">
        <v>5944</v>
      </c>
      <c r="D113" s="324">
        <v>120</v>
      </c>
      <c r="E113" s="324"/>
      <c r="F113" s="4" t="s">
        <v>5945</v>
      </c>
      <c r="G113" s="324"/>
      <c r="H113" s="323"/>
      <c r="I113" s="323"/>
      <c r="J113" s="367"/>
      <c r="K113" s="367"/>
      <c r="L113" s="367"/>
      <c r="M113" s="367"/>
      <c r="N113" s="367"/>
      <c r="O113" s="367"/>
      <c r="P113" s="287" t="s">
        <v>5946</v>
      </c>
      <c r="Q113" s="84"/>
      <c r="R113" s="127" t="s">
        <v>5947</v>
      </c>
      <c r="S113" s="127" t="s">
        <v>5948</v>
      </c>
      <c r="T113" s="146"/>
      <c r="U113" s="146" t="s">
        <v>5949</v>
      </c>
      <c r="V113" s="484" t="s">
        <v>5950</v>
      </c>
      <c r="W113" s="484" t="s">
        <v>5951</v>
      </c>
      <c r="X113" s="84" t="s">
        <v>5907</v>
      </c>
      <c r="Y113" s="612"/>
      <c r="Z113" s="323"/>
      <c r="AA113" s="323"/>
      <c r="AC113" s="323"/>
    </row>
    <row r="114" spans="2:29" ht="12.75" customHeight="1" x14ac:dyDescent="0.35">
      <c r="B114" s="511">
        <v>44143</v>
      </c>
      <c r="C114" s="4"/>
      <c r="D114" s="324">
        <v>60</v>
      </c>
      <c r="E114" s="324"/>
      <c r="F114" s="4" t="s">
        <v>5945</v>
      </c>
      <c r="G114" s="324"/>
      <c r="H114" s="323"/>
      <c r="I114" s="323"/>
      <c r="J114" s="367">
        <v>44146</v>
      </c>
      <c r="K114" s="367"/>
      <c r="L114" s="367"/>
      <c r="M114" s="367"/>
      <c r="N114" s="367"/>
      <c r="O114" s="367"/>
      <c r="P114" s="287" t="s">
        <v>5952</v>
      </c>
      <c r="Q114" s="84" t="s">
        <v>4664</v>
      </c>
      <c r="R114" s="127" t="s">
        <v>5953</v>
      </c>
      <c r="S114" s="127" t="s">
        <v>5954</v>
      </c>
      <c r="T114" s="146"/>
      <c r="U114" s="146" t="s">
        <v>5955</v>
      </c>
      <c r="V114" s="484"/>
      <c r="W114" s="484"/>
      <c r="X114" s="84"/>
      <c r="Y114" s="612"/>
      <c r="Z114" s="323"/>
      <c r="AA114" s="323"/>
      <c r="AC114" s="323"/>
    </row>
    <row r="115" spans="2:29" ht="12.75" customHeight="1" x14ac:dyDescent="0.35">
      <c r="B115" s="511">
        <v>44144</v>
      </c>
      <c r="C115" s="4"/>
      <c r="D115" s="324">
        <v>35</v>
      </c>
      <c r="E115" s="324"/>
      <c r="F115" s="4" t="s">
        <v>976</v>
      </c>
      <c r="G115" s="324"/>
      <c r="H115" s="323"/>
      <c r="I115" s="323"/>
      <c r="J115" s="367">
        <v>44147</v>
      </c>
      <c r="K115" s="367"/>
      <c r="L115" s="367"/>
      <c r="M115" s="367"/>
      <c r="N115" s="367"/>
      <c r="O115" s="367"/>
      <c r="P115" s="287" t="s">
        <v>5956</v>
      </c>
      <c r="Q115" s="84"/>
      <c r="R115" s="127" t="s">
        <v>4573</v>
      </c>
      <c r="S115" s="127" t="s">
        <v>5957</v>
      </c>
      <c r="T115" s="146"/>
      <c r="U115" s="146" t="s">
        <v>5958</v>
      </c>
      <c r="V115" s="484"/>
      <c r="W115" s="484"/>
      <c r="X115" s="84"/>
      <c r="Y115" s="612"/>
      <c r="Z115" s="323"/>
      <c r="AA115" s="323"/>
      <c r="AC115" s="323"/>
    </row>
    <row r="116" spans="2:29" ht="12.75" customHeight="1" x14ac:dyDescent="0.35">
      <c r="B116" s="511">
        <v>44156</v>
      </c>
      <c r="C116" s="4" t="s">
        <v>5959</v>
      </c>
      <c r="D116" s="324">
        <v>270</v>
      </c>
      <c r="E116" s="324"/>
      <c r="F116" s="4" t="s">
        <v>773</v>
      </c>
      <c r="G116" s="324"/>
      <c r="H116" s="323"/>
      <c r="I116" s="323"/>
      <c r="J116" s="367"/>
      <c r="K116" s="367"/>
      <c r="L116" s="367"/>
      <c r="M116" s="367"/>
      <c r="N116" s="367"/>
      <c r="O116" s="367"/>
      <c r="P116" s="287" t="s">
        <v>5960</v>
      </c>
      <c r="Q116" s="84" t="s">
        <v>4664</v>
      </c>
      <c r="R116" s="127" t="s">
        <v>4049</v>
      </c>
      <c r="S116" s="127" t="s">
        <v>5961</v>
      </c>
      <c r="T116" s="146" t="s">
        <v>4765</v>
      </c>
      <c r="U116" s="146" t="s">
        <v>5962</v>
      </c>
      <c r="V116" s="484" t="s">
        <v>5963</v>
      </c>
      <c r="W116" s="484" t="s">
        <v>5964</v>
      </c>
      <c r="X116" s="84" t="s">
        <v>5600</v>
      </c>
      <c r="Y116" s="612"/>
      <c r="Z116" s="323"/>
      <c r="AA116" s="323"/>
      <c r="AC116" s="323"/>
    </row>
    <row r="117" spans="2:29" ht="12.75" customHeight="1" x14ac:dyDescent="0.35">
      <c r="B117" s="511">
        <v>44163</v>
      </c>
      <c r="C117" s="4" t="s">
        <v>5965</v>
      </c>
      <c r="D117" s="324">
        <v>90</v>
      </c>
      <c r="E117" s="324"/>
      <c r="F117" s="4" t="s">
        <v>5945</v>
      </c>
      <c r="G117" s="324"/>
      <c r="H117" s="323"/>
      <c r="I117" s="323"/>
      <c r="J117" s="367"/>
      <c r="K117" s="367"/>
      <c r="L117" s="367"/>
      <c r="M117" s="367"/>
      <c r="N117" s="367"/>
      <c r="O117" s="367"/>
      <c r="P117" s="287" t="s">
        <v>5966</v>
      </c>
      <c r="Q117" s="84" t="s">
        <v>4664</v>
      </c>
      <c r="R117" s="127" t="s">
        <v>5967</v>
      </c>
      <c r="S117" s="127" t="s">
        <v>4418</v>
      </c>
      <c r="T117" s="146" t="s">
        <v>4804</v>
      </c>
      <c r="U117" s="146" t="s">
        <v>5968</v>
      </c>
      <c r="V117" s="484" t="s">
        <v>5969</v>
      </c>
      <c r="W117" s="484" t="s">
        <v>5970</v>
      </c>
      <c r="X117" s="84" t="s">
        <v>5691</v>
      </c>
      <c r="Y117" s="612"/>
      <c r="Z117" s="323"/>
      <c r="AA117" s="323"/>
      <c r="AC117" s="323"/>
    </row>
    <row r="118" spans="2:29" ht="12.75" customHeight="1" x14ac:dyDescent="0.35">
      <c r="B118" s="511">
        <v>44272</v>
      </c>
      <c r="C118" s="4"/>
      <c r="D118" s="324">
        <v>1650</v>
      </c>
      <c r="E118" s="324"/>
      <c r="F118" s="4" t="s">
        <v>528</v>
      </c>
      <c r="G118" s="4" t="s">
        <v>467</v>
      </c>
      <c r="H118" s="323"/>
      <c r="I118" s="323"/>
      <c r="J118" s="367">
        <v>44374</v>
      </c>
      <c r="K118" s="367"/>
      <c r="L118" s="367"/>
      <c r="M118" s="367"/>
      <c r="N118" s="367"/>
      <c r="O118" s="367"/>
      <c r="P118" s="287" t="s">
        <v>5971</v>
      </c>
      <c r="Q118" s="84" t="s">
        <v>5394</v>
      </c>
      <c r="R118" s="127" t="s">
        <v>5972</v>
      </c>
      <c r="S118" s="127" t="s">
        <v>5973</v>
      </c>
      <c r="T118" s="146" t="s">
        <v>4777</v>
      </c>
      <c r="U118" s="146" t="s">
        <v>5974</v>
      </c>
      <c r="V118" s="484" t="s">
        <v>5975</v>
      </c>
      <c r="W118" s="484" t="s">
        <v>5976</v>
      </c>
      <c r="X118" s="84" t="s">
        <v>5977</v>
      </c>
      <c r="Y118" s="612"/>
      <c r="Z118" s="323"/>
      <c r="AA118" s="323"/>
      <c r="AC118" s="323"/>
    </row>
    <row r="119" spans="2:29" ht="12.75" customHeight="1" x14ac:dyDescent="0.35">
      <c r="B119" s="511">
        <v>44314</v>
      </c>
      <c r="C119" s="4" t="s">
        <v>5978</v>
      </c>
      <c r="D119" s="324">
        <v>360</v>
      </c>
      <c r="E119" s="324"/>
      <c r="F119" s="4" t="s">
        <v>773</v>
      </c>
      <c r="G119" s="324"/>
      <c r="H119" s="323"/>
      <c r="I119" s="323"/>
      <c r="J119" s="367"/>
      <c r="K119" s="367"/>
      <c r="L119" s="367"/>
      <c r="M119" s="367"/>
      <c r="N119" s="367"/>
      <c r="O119" s="367"/>
      <c r="P119" s="287" t="s">
        <v>5979</v>
      </c>
      <c r="Q119" s="84" t="s">
        <v>4664</v>
      </c>
      <c r="R119" s="127" t="s">
        <v>5980</v>
      </c>
      <c r="S119" s="127" t="s">
        <v>5981</v>
      </c>
      <c r="T119" s="146" t="s">
        <v>4849</v>
      </c>
      <c r="U119" s="146" t="s">
        <v>5982</v>
      </c>
      <c r="V119" s="484" t="s">
        <v>5983</v>
      </c>
      <c r="W119" s="484" t="s">
        <v>5984</v>
      </c>
      <c r="X119" s="84" t="s">
        <v>5985</v>
      </c>
      <c r="Y119" s="612"/>
      <c r="Z119" s="323"/>
      <c r="AA119" s="323"/>
      <c r="AC119" s="323"/>
    </row>
    <row r="120" spans="2:29" ht="12.75" customHeight="1" x14ac:dyDescent="0.35">
      <c r="B120" s="511">
        <v>44338</v>
      </c>
      <c r="C120" s="4" t="s">
        <v>5986</v>
      </c>
      <c r="D120" s="324">
        <v>360</v>
      </c>
      <c r="E120" s="324"/>
      <c r="F120" s="4" t="s">
        <v>773</v>
      </c>
      <c r="G120" s="324"/>
      <c r="H120" s="323"/>
      <c r="I120" s="323"/>
      <c r="J120" s="367"/>
      <c r="K120" s="367"/>
      <c r="L120" s="367"/>
      <c r="M120" s="367"/>
      <c r="N120" s="367"/>
      <c r="O120" s="367"/>
      <c r="P120" s="287" t="s">
        <v>5987</v>
      </c>
      <c r="Q120" s="84" t="s">
        <v>5725</v>
      </c>
      <c r="R120" s="127" t="s">
        <v>5988</v>
      </c>
      <c r="S120" s="127" t="s">
        <v>5989</v>
      </c>
      <c r="T120" s="146" t="s">
        <v>4746</v>
      </c>
      <c r="U120" s="146" t="s">
        <v>5990</v>
      </c>
      <c r="V120" s="484" t="s">
        <v>5991</v>
      </c>
      <c r="W120" s="484" t="s">
        <v>5992</v>
      </c>
      <c r="X120" s="84" t="s">
        <v>5617</v>
      </c>
      <c r="Y120" s="612"/>
      <c r="Z120" s="323"/>
      <c r="AA120" s="323"/>
      <c r="AC120" s="323"/>
    </row>
    <row r="121" spans="2:29" ht="12.75" customHeight="1" x14ac:dyDescent="0.35">
      <c r="B121" s="511">
        <v>44371</v>
      </c>
      <c r="C121" s="4" t="s">
        <v>5993</v>
      </c>
      <c r="D121" s="324">
        <v>360</v>
      </c>
      <c r="E121" s="324"/>
      <c r="F121" s="4" t="s">
        <v>773</v>
      </c>
      <c r="G121" s="324"/>
      <c r="H121" s="323"/>
      <c r="I121" s="323"/>
      <c r="J121" s="367"/>
      <c r="K121" s="367"/>
      <c r="L121" s="367"/>
      <c r="M121" s="367"/>
      <c r="N121" s="367"/>
      <c r="O121" s="367"/>
      <c r="P121" s="287" t="s">
        <v>5994</v>
      </c>
      <c r="Q121" s="84" t="s">
        <v>4955</v>
      </c>
      <c r="R121" s="127" t="s">
        <v>5995</v>
      </c>
      <c r="S121" s="127" t="s">
        <v>5996</v>
      </c>
      <c r="T121" s="146" t="s">
        <v>4886</v>
      </c>
      <c r="U121" s="146" t="s">
        <v>5997</v>
      </c>
      <c r="V121" s="484" t="s">
        <v>5998</v>
      </c>
      <c r="W121" s="484" t="s">
        <v>5999</v>
      </c>
      <c r="X121" s="84" t="s">
        <v>6000</v>
      </c>
      <c r="Y121" s="612"/>
      <c r="Z121" s="323"/>
      <c r="AA121" s="323"/>
      <c r="AC121" s="323"/>
    </row>
    <row r="122" spans="2:29" ht="12.75" customHeight="1" x14ac:dyDescent="0.35">
      <c r="B122" s="511">
        <v>44372</v>
      </c>
      <c r="C122" s="4" t="s">
        <v>6001</v>
      </c>
      <c r="D122" s="324">
        <v>360</v>
      </c>
      <c r="E122" s="324"/>
      <c r="F122" s="4" t="s">
        <v>773</v>
      </c>
      <c r="G122" s="324"/>
      <c r="H122" s="323"/>
      <c r="I122" s="323"/>
      <c r="J122" s="367"/>
      <c r="K122" s="367"/>
      <c r="L122" s="367"/>
      <c r="M122" s="367"/>
      <c r="N122" s="367"/>
      <c r="O122" s="367"/>
      <c r="P122" s="287" t="s">
        <v>6002</v>
      </c>
      <c r="Q122" s="84" t="s">
        <v>4955</v>
      </c>
      <c r="R122" s="127" t="s">
        <v>6003</v>
      </c>
      <c r="S122" s="127" t="s">
        <v>6004</v>
      </c>
      <c r="T122" s="146" t="s">
        <v>5676</v>
      </c>
      <c r="U122" s="146" t="s">
        <v>6005</v>
      </c>
      <c r="V122" s="484" t="s">
        <v>6006</v>
      </c>
      <c r="W122" s="484" t="s">
        <v>6007</v>
      </c>
      <c r="X122" s="84" t="s">
        <v>6008</v>
      </c>
      <c r="Y122" s="612"/>
      <c r="Z122" s="323"/>
      <c r="AA122" s="323"/>
      <c r="AC122" s="323"/>
    </row>
    <row r="123" spans="2:29" ht="12.75" customHeight="1" x14ac:dyDescent="0.35">
      <c r="B123" s="511">
        <v>44395</v>
      </c>
      <c r="C123" s="4" t="s">
        <v>6009</v>
      </c>
      <c r="D123" s="324">
        <v>120</v>
      </c>
      <c r="E123" s="324"/>
      <c r="F123" s="4" t="s">
        <v>5593</v>
      </c>
      <c r="G123" s="324"/>
      <c r="H123" s="323"/>
      <c r="I123" s="323"/>
      <c r="J123" s="367">
        <v>44403</v>
      </c>
      <c r="K123" s="367"/>
      <c r="L123" s="367"/>
      <c r="M123" s="367"/>
      <c r="N123" s="367"/>
      <c r="O123" s="367"/>
      <c r="P123" s="287" t="s">
        <v>6010</v>
      </c>
      <c r="Q123" s="84" t="s">
        <v>4955</v>
      </c>
      <c r="R123" s="127" t="s">
        <v>4168</v>
      </c>
      <c r="S123" s="127" t="s">
        <v>4027</v>
      </c>
      <c r="T123" s="146" t="s">
        <v>4804</v>
      </c>
      <c r="U123" s="146" t="s">
        <v>6011</v>
      </c>
      <c r="V123" s="484"/>
      <c r="W123" s="484"/>
      <c r="X123" s="84"/>
      <c r="Y123" s="612"/>
      <c r="Z123" s="323"/>
      <c r="AA123" s="323"/>
      <c r="AC123" s="323"/>
    </row>
    <row r="124" spans="2:29" ht="12.75" customHeight="1" x14ac:dyDescent="0.35">
      <c r="B124" s="511">
        <v>44424</v>
      </c>
      <c r="C124" s="4" t="s">
        <v>6012</v>
      </c>
      <c r="D124" s="324">
        <v>360</v>
      </c>
      <c r="E124" s="324"/>
      <c r="F124" s="4" t="s">
        <v>6013</v>
      </c>
      <c r="G124" s="324"/>
      <c r="H124" s="323"/>
      <c r="I124" s="323"/>
      <c r="J124" s="367"/>
      <c r="K124" s="367"/>
      <c r="L124" s="367"/>
      <c r="M124" s="367"/>
      <c r="N124" s="367"/>
      <c r="O124" s="367"/>
      <c r="P124" s="545" t="s">
        <v>6014</v>
      </c>
      <c r="Q124" s="84" t="s">
        <v>4664</v>
      </c>
      <c r="R124" s="127" t="s">
        <v>6015</v>
      </c>
      <c r="S124" s="127" t="s">
        <v>6016</v>
      </c>
      <c r="T124" s="146" t="s">
        <v>5014</v>
      </c>
      <c r="U124" s="146" t="s">
        <v>6017</v>
      </c>
      <c r="V124" s="484" t="s">
        <v>6018</v>
      </c>
      <c r="W124" s="484" t="s">
        <v>6019</v>
      </c>
      <c r="X124" s="84" t="s">
        <v>4376</v>
      </c>
      <c r="Y124" s="612"/>
      <c r="Z124" s="323"/>
      <c r="AA124" s="323"/>
      <c r="AC124" s="323"/>
    </row>
    <row r="125" spans="2:29" ht="12.75" customHeight="1" x14ac:dyDescent="0.35">
      <c r="B125" s="511">
        <v>44424</v>
      </c>
      <c r="C125" s="4" t="s">
        <v>6020</v>
      </c>
      <c r="D125" s="324">
        <v>360</v>
      </c>
      <c r="E125" s="324"/>
      <c r="F125" s="4" t="s">
        <v>6013</v>
      </c>
      <c r="G125" s="324"/>
      <c r="H125" s="323"/>
      <c r="I125" s="323"/>
      <c r="J125" s="367"/>
      <c r="K125" s="367"/>
      <c r="L125" s="367"/>
      <c r="M125" s="367"/>
      <c r="N125" s="367"/>
      <c r="O125" s="367"/>
      <c r="P125" s="326" t="s">
        <v>5572</v>
      </c>
      <c r="Q125" s="323" t="s">
        <v>5045</v>
      </c>
      <c r="R125" s="323" t="s">
        <v>4446</v>
      </c>
      <c r="S125" s="323" t="s">
        <v>4403</v>
      </c>
      <c r="T125" s="331" t="s">
        <v>4879</v>
      </c>
      <c r="U125" s="323" t="s">
        <v>5573</v>
      </c>
      <c r="V125" s="323" t="s">
        <v>5574</v>
      </c>
      <c r="W125" s="331" t="s">
        <v>5575</v>
      </c>
      <c r="X125" s="323" t="s">
        <v>5576</v>
      </c>
      <c r="Y125" s="612"/>
      <c r="Z125" s="323"/>
      <c r="AA125" s="323"/>
      <c r="AC125" s="323"/>
    </row>
    <row r="126" spans="2:29" ht="12.75" customHeight="1" x14ac:dyDescent="0.35">
      <c r="B126" s="511">
        <v>44433</v>
      </c>
      <c r="C126" s="4" t="s">
        <v>6021</v>
      </c>
      <c r="D126" s="324">
        <v>360</v>
      </c>
      <c r="E126" s="324"/>
      <c r="F126" s="4" t="s">
        <v>6013</v>
      </c>
      <c r="G126" s="324"/>
      <c r="H126" s="323"/>
      <c r="I126" s="323"/>
      <c r="J126" s="367"/>
      <c r="K126" s="367"/>
      <c r="L126" s="367"/>
      <c r="M126" s="367"/>
      <c r="N126" s="367"/>
      <c r="O126" s="367"/>
      <c r="P126" s="326" t="s">
        <v>6022</v>
      </c>
      <c r="Q126" s="84" t="s">
        <v>5045</v>
      </c>
      <c r="R126" s="84" t="s">
        <v>6023</v>
      </c>
      <c r="S126" s="323" t="s">
        <v>6024</v>
      </c>
      <c r="T126" s="238" t="s">
        <v>4808</v>
      </c>
      <c r="U126" s="146" t="s">
        <v>6025</v>
      </c>
      <c r="V126" s="323" t="s">
        <v>6026</v>
      </c>
      <c r="W126" s="331" t="s">
        <v>6027</v>
      </c>
      <c r="X126" s="84" t="s">
        <v>6028</v>
      </c>
      <c r="Y126" s="612"/>
      <c r="Z126" s="323"/>
      <c r="AA126" s="323"/>
      <c r="AC126" s="323"/>
    </row>
    <row r="127" spans="2:29" ht="12.75" customHeight="1" x14ac:dyDescent="0.35">
      <c r="B127" s="511">
        <v>44438</v>
      </c>
      <c r="C127" s="4" t="s">
        <v>6029</v>
      </c>
      <c r="D127" s="324">
        <v>360</v>
      </c>
      <c r="E127" s="324"/>
      <c r="F127" s="4" t="s">
        <v>6013</v>
      </c>
      <c r="G127" s="324"/>
      <c r="H127" s="323"/>
      <c r="I127" s="323"/>
      <c r="J127" s="367"/>
      <c r="K127" s="367"/>
      <c r="L127" s="367"/>
      <c r="M127" s="367"/>
      <c r="N127" s="367"/>
      <c r="O127" s="367"/>
      <c r="P127" s="326" t="s">
        <v>6030</v>
      </c>
      <c r="Q127" s="84" t="s">
        <v>4955</v>
      </c>
      <c r="R127" s="84" t="s">
        <v>5641</v>
      </c>
      <c r="S127" s="84" t="s">
        <v>517</v>
      </c>
      <c r="T127" s="238" t="s">
        <v>5454</v>
      </c>
      <c r="U127" s="146" t="s">
        <v>5642</v>
      </c>
      <c r="V127" s="323" t="s">
        <v>4395</v>
      </c>
      <c r="W127" s="331" t="s">
        <v>4394</v>
      </c>
      <c r="X127" s="84" t="s">
        <v>5643</v>
      </c>
      <c r="Y127" s="612"/>
      <c r="Z127" s="323"/>
      <c r="AA127" s="323"/>
      <c r="AC127" s="323"/>
    </row>
    <row r="128" spans="2:29" ht="12.75" customHeight="1" x14ac:dyDescent="0.35">
      <c r="B128" s="511">
        <v>44440</v>
      </c>
      <c r="C128" s="4" t="s">
        <v>6031</v>
      </c>
      <c r="D128" s="324">
        <v>360</v>
      </c>
      <c r="E128" s="324"/>
      <c r="F128" s="4" t="s">
        <v>773</v>
      </c>
      <c r="G128" s="324"/>
      <c r="H128" s="323"/>
      <c r="I128" s="323"/>
      <c r="J128" s="367">
        <v>44460</v>
      </c>
      <c r="K128" s="367"/>
      <c r="L128" s="367"/>
      <c r="M128" s="367"/>
      <c r="N128" s="367"/>
      <c r="O128" s="367"/>
      <c r="P128" s="326" t="s">
        <v>6032</v>
      </c>
      <c r="Q128" s="84" t="s">
        <v>4955</v>
      </c>
      <c r="R128" s="84" t="s">
        <v>5693</v>
      </c>
      <c r="S128" s="84" t="s">
        <v>6033</v>
      </c>
      <c r="T128" s="238" t="s">
        <v>4804</v>
      </c>
      <c r="U128" s="146" t="s">
        <v>6034</v>
      </c>
      <c r="V128" s="323" t="s">
        <v>4389</v>
      </c>
      <c r="W128" s="331" t="s">
        <v>4388</v>
      </c>
      <c r="X128" s="84" t="s">
        <v>4376</v>
      </c>
      <c r="Y128" s="612"/>
      <c r="Z128" s="323"/>
      <c r="AA128" s="323"/>
      <c r="AC128" s="323"/>
    </row>
    <row r="129" spans="2:29" ht="12.75" customHeight="1" x14ac:dyDescent="0.35">
      <c r="B129" s="511">
        <v>44488</v>
      </c>
      <c r="C129" s="4"/>
      <c r="D129" s="324">
        <v>225</v>
      </c>
      <c r="E129" s="324"/>
      <c r="F129" s="4" t="s">
        <v>5375</v>
      </c>
      <c r="G129" s="324"/>
      <c r="H129" s="323"/>
      <c r="I129" s="323"/>
      <c r="J129" s="367">
        <v>44508</v>
      </c>
      <c r="K129" s="367"/>
      <c r="L129" s="367"/>
      <c r="M129" s="367"/>
      <c r="N129" s="367"/>
      <c r="O129" s="367"/>
      <c r="P129" s="326" t="s">
        <v>6035</v>
      </c>
      <c r="Q129" s="84" t="s">
        <v>4955</v>
      </c>
      <c r="R129" s="84" t="s">
        <v>4262</v>
      </c>
      <c r="S129" s="84" t="s">
        <v>6036</v>
      </c>
      <c r="T129" s="238" t="s">
        <v>4849</v>
      </c>
      <c r="U129" s="146" t="s">
        <v>6037</v>
      </c>
      <c r="V129" s="323" t="s">
        <v>6038</v>
      </c>
      <c r="W129" s="331" t="s">
        <v>6039</v>
      </c>
      <c r="X129" s="84" t="s">
        <v>6040</v>
      </c>
      <c r="Y129" s="612"/>
      <c r="Z129" s="323"/>
      <c r="AA129" s="323"/>
      <c r="AC129" s="323"/>
    </row>
    <row r="130" spans="2:29" ht="12.75" customHeight="1" x14ac:dyDescent="0.35">
      <c r="B130" s="511">
        <v>44502</v>
      </c>
      <c r="C130" s="4"/>
      <c r="D130" s="324">
        <v>110</v>
      </c>
      <c r="E130" s="324"/>
      <c r="F130" s="4" t="s">
        <v>5593</v>
      </c>
      <c r="G130" s="324"/>
      <c r="H130" s="323"/>
      <c r="I130" s="323"/>
      <c r="J130" s="367">
        <v>44503</v>
      </c>
      <c r="K130" s="367"/>
      <c r="L130" s="367"/>
      <c r="M130" s="367"/>
      <c r="N130" s="367"/>
      <c r="O130" s="367"/>
      <c r="P130" s="545" t="s">
        <v>5768</v>
      </c>
      <c r="Q130" s="612" t="s">
        <v>5045</v>
      </c>
      <c r="R130" s="299" t="s">
        <v>5769</v>
      </c>
      <c r="S130" s="299" t="s">
        <v>5770</v>
      </c>
      <c r="T130" s="646"/>
      <c r="U130" s="300" t="s">
        <v>5771</v>
      </c>
      <c r="V130" s="612" t="s">
        <v>5772</v>
      </c>
      <c r="W130" s="612" t="s">
        <v>5773</v>
      </c>
      <c r="X130" s="612" t="s">
        <v>4454</v>
      </c>
      <c r="Y130" s="612"/>
      <c r="Z130" s="323"/>
      <c r="AA130" s="323"/>
      <c r="AC130" s="323"/>
    </row>
    <row r="131" spans="2:29" ht="12.75" customHeight="1" x14ac:dyDescent="0.35">
      <c r="B131" s="511">
        <v>44502</v>
      </c>
      <c r="C131" s="4"/>
      <c r="D131" s="324">
        <v>110</v>
      </c>
      <c r="E131" s="324"/>
      <c r="F131" s="4" t="s">
        <v>5593</v>
      </c>
      <c r="G131" s="324"/>
      <c r="H131" s="323"/>
      <c r="I131" s="323"/>
      <c r="J131" s="367">
        <v>44504</v>
      </c>
      <c r="K131" s="367"/>
      <c r="L131" s="367"/>
      <c r="M131" s="367"/>
      <c r="N131" s="367"/>
      <c r="O131" s="367"/>
      <c r="P131" s="545" t="s">
        <v>5768</v>
      </c>
      <c r="Q131" s="612" t="s">
        <v>5045</v>
      </c>
      <c r="R131" s="299" t="s">
        <v>5769</v>
      </c>
      <c r="S131" s="299" t="s">
        <v>5770</v>
      </c>
      <c r="T131" s="646"/>
      <c r="U131" s="300" t="s">
        <v>5771</v>
      </c>
      <c r="V131" s="612" t="s">
        <v>5772</v>
      </c>
      <c r="W131" s="612" t="s">
        <v>5773</v>
      </c>
      <c r="X131" s="612" t="s">
        <v>4454</v>
      </c>
      <c r="Y131" s="612"/>
      <c r="Z131" s="323"/>
      <c r="AA131" s="323"/>
      <c r="AC131" s="323"/>
    </row>
    <row r="132" spans="2:29" ht="12.75" customHeight="1" x14ac:dyDescent="0.35">
      <c r="B132" s="511">
        <v>44547</v>
      </c>
      <c r="C132" s="4" t="s">
        <v>6041</v>
      </c>
      <c r="D132" s="324">
        <v>360</v>
      </c>
      <c r="E132" s="324"/>
      <c r="F132" s="4" t="s">
        <v>773</v>
      </c>
      <c r="G132" s="324"/>
      <c r="H132" s="323"/>
      <c r="I132" s="323"/>
      <c r="J132" s="367"/>
      <c r="K132" s="367"/>
      <c r="L132" s="367"/>
      <c r="M132" s="367"/>
      <c r="N132" s="367"/>
      <c r="O132" s="367"/>
      <c r="P132" s="326" t="s">
        <v>6042</v>
      </c>
      <c r="Q132" s="84" t="s">
        <v>4664</v>
      </c>
      <c r="R132" s="84" t="s">
        <v>6043</v>
      </c>
      <c r="S132" s="84" t="s">
        <v>6044</v>
      </c>
      <c r="T132" s="238" t="s">
        <v>6045</v>
      </c>
      <c r="U132" s="146" t="s">
        <v>6046</v>
      </c>
      <c r="V132" s="323" t="s">
        <v>6047</v>
      </c>
      <c r="W132" s="331" t="s">
        <v>6048</v>
      </c>
      <c r="X132" s="84" t="s">
        <v>4407</v>
      </c>
      <c r="Y132" s="612"/>
      <c r="Z132" s="323"/>
      <c r="AA132" s="323"/>
      <c r="AC132" s="323"/>
    </row>
    <row r="133" spans="2:29" ht="12.75" customHeight="1" x14ac:dyDescent="0.35">
      <c r="B133" s="511">
        <v>44550</v>
      </c>
      <c r="C133" s="4" t="s">
        <v>5440</v>
      </c>
      <c r="D133" s="324">
        <v>360</v>
      </c>
      <c r="E133" s="324"/>
      <c r="F133" s="4" t="s">
        <v>773</v>
      </c>
      <c r="G133" s="324"/>
      <c r="H133" s="323"/>
      <c r="I133" s="323"/>
      <c r="J133" s="367"/>
      <c r="K133" s="367"/>
      <c r="L133" s="367"/>
      <c r="M133" s="367"/>
      <c r="N133" s="367"/>
      <c r="O133" s="367"/>
      <c r="P133" s="287" t="s">
        <v>6049</v>
      </c>
      <c r="Q133" s="84" t="s">
        <v>5045</v>
      </c>
      <c r="R133" s="84" t="s">
        <v>6050</v>
      </c>
      <c r="S133" s="84" t="s">
        <v>6051</v>
      </c>
      <c r="T133" s="238"/>
      <c r="U133" s="146" t="s">
        <v>6052</v>
      </c>
      <c r="V133" s="323"/>
      <c r="W133" s="331"/>
      <c r="X133" s="84"/>
      <c r="Y133" s="612"/>
      <c r="Z133" s="323"/>
      <c r="AA133" s="323"/>
      <c r="AC133" s="323"/>
    </row>
    <row r="134" spans="2:29" ht="12.75" customHeight="1" x14ac:dyDescent="0.35">
      <c r="B134" s="511">
        <v>44571</v>
      </c>
      <c r="C134" s="4" t="s">
        <v>6053</v>
      </c>
      <c r="D134" s="324">
        <v>360</v>
      </c>
      <c r="E134" s="324"/>
      <c r="F134" s="4" t="s">
        <v>773</v>
      </c>
      <c r="G134" s="324"/>
      <c r="H134" s="323"/>
      <c r="I134" s="323"/>
      <c r="J134" s="367"/>
      <c r="K134" s="367"/>
      <c r="L134" s="367"/>
      <c r="M134" s="367"/>
      <c r="N134" s="367"/>
      <c r="O134" s="367"/>
      <c r="P134" s="326" t="s">
        <v>6054</v>
      </c>
      <c r="Q134" s="84" t="s">
        <v>4664</v>
      </c>
      <c r="R134" s="84" t="s">
        <v>4016</v>
      </c>
      <c r="S134" s="84" t="s">
        <v>6055</v>
      </c>
      <c r="T134" s="238" t="s">
        <v>4966</v>
      </c>
      <c r="U134" s="146" t="s">
        <v>6056</v>
      </c>
      <c r="V134" s="323" t="s">
        <v>6057</v>
      </c>
      <c r="W134" s="331" t="s">
        <v>6058</v>
      </c>
      <c r="X134" s="84" t="s">
        <v>4370</v>
      </c>
      <c r="Y134" s="612"/>
      <c r="Z134" s="323"/>
      <c r="AA134" s="323"/>
      <c r="AC134" s="323"/>
    </row>
    <row r="135" spans="2:29" ht="12.75" customHeight="1" x14ac:dyDescent="0.35">
      <c r="B135" s="511">
        <v>44628</v>
      </c>
      <c r="C135" s="4" t="s">
        <v>5247</v>
      </c>
      <c r="D135" s="324">
        <v>225</v>
      </c>
      <c r="E135" s="324"/>
      <c r="F135" s="4" t="s">
        <v>5375</v>
      </c>
      <c r="G135" s="324"/>
      <c r="H135" s="323"/>
      <c r="I135" s="323"/>
      <c r="J135" s="367">
        <v>44636</v>
      </c>
      <c r="K135" s="367"/>
      <c r="L135" s="367"/>
      <c r="M135" s="367"/>
      <c r="N135" s="367"/>
      <c r="O135" s="367"/>
      <c r="P135" s="326" t="s">
        <v>6059</v>
      </c>
      <c r="Q135" s="84" t="s">
        <v>4664</v>
      </c>
      <c r="R135" s="84" t="s">
        <v>5763</v>
      </c>
      <c r="S135" s="84" t="s">
        <v>695</v>
      </c>
      <c r="T135" s="238" t="s">
        <v>4749</v>
      </c>
      <c r="U135" s="146" t="s">
        <v>6060</v>
      </c>
      <c r="V135" s="323" t="s">
        <v>6061</v>
      </c>
      <c r="W135" s="331" t="s">
        <v>6062</v>
      </c>
      <c r="X135" s="84" t="s">
        <v>5576</v>
      </c>
      <c r="Y135" s="612"/>
      <c r="Z135" s="323"/>
      <c r="AA135" s="323"/>
      <c r="AC135" s="323"/>
    </row>
    <row r="136" spans="2:29" ht="12.75" customHeight="1" x14ac:dyDescent="0.35">
      <c r="B136" s="511">
        <v>44700</v>
      </c>
      <c r="C136" s="4" t="s">
        <v>6063</v>
      </c>
      <c r="D136" s="324">
        <v>360</v>
      </c>
      <c r="E136" s="324"/>
      <c r="F136" s="4" t="s">
        <v>773</v>
      </c>
      <c r="G136" s="324"/>
      <c r="H136" s="323"/>
      <c r="I136" s="323"/>
      <c r="J136" s="367">
        <v>44707</v>
      </c>
      <c r="K136" s="367"/>
      <c r="L136" s="367"/>
      <c r="M136" s="367"/>
      <c r="N136" s="367"/>
      <c r="O136" s="367"/>
      <c r="P136" s="326" t="s">
        <v>6064</v>
      </c>
      <c r="Q136" s="84" t="s">
        <v>4664</v>
      </c>
      <c r="R136" s="84" t="s">
        <v>6065</v>
      </c>
      <c r="S136" s="84" t="s">
        <v>6066</v>
      </c>
      <c r="T136" s="238" t="s">
        <v>4900</v>
      </c>
      <c r="U136" s="146" t="s">
        <v>6067</v>
      </c>
      <c r="V136" s="323" t="s">
        <v>6068</v>
      </c>
      <c r="W136" s="331" t="s">
        <v>6069</v>
      </c>
      <c r="X136" s="84" t="s">
        <v>4365</v>
      </c>
      <c r="Y136" s="612"/>
      <c r="Z136" s="323"/>
      <c r="AA136" s="323"/>
      <c r="AC136" s="323"/>
    </row>
    <row r="137" spans="2:29" ht="12.75" customHeight="1" x14ac:dyDescent="0.35">
      <c r="B137" s="511">
        <v>44870</v>
      </c>
      <c r="C137" s="4" t="s">
        <v>6070</v>
      </c>
      <c r="D137" s="324">
        <v>360</v>
      </c>
      <c r="E137" s="324"/>
      <c r="F137" s="4" t="s">
        <v>773</v>
      </c>
      <c r="G137" s="324"/>
      <c r="H137" s="323"/>
      <c r="I137" s="323"/>
      <c r="J137" s="367">
        <v>44872</v>
      </c>
      <c r="K137" s="367"/>
      <c r="L137" s="367"/>
      <c r="M137" s="367"/>
      <c r="N137" s="367"/>
      <c r="O137" s="367"/>
      <c r="P137" s="326" t="s">
        <v>6030</v>
      </c>
      <c r="Q137" s="84" t="s">
        <v>4955</v>
      </c>
      <c r="R137" s="84" t="s">
        <v>5641</v>
      </c>
      <c r="S137" s="84" t="s">
        <v>517</v>
      </c>
      <c r="T137" s="238" t="s">
        <v>5454</v>
      </c>
      <c r="U137" s="146" t="s">
        <v>5642</v>
      </c>
      <c r="V137" s="323" t="s">
        <v>4395</v>
      </c>
      <c r="W137" s="331" t="s">
        <v>4394</v>
      </c>
      <c r="X137" s="84" t="s">
        <v>5643</v>
      </c>
      <c r="Y137" s="612"/>
      <c r="Z137" s="323"/>
      <c r="AA137" s="323"/>
      <c r="AC137" s="323"/>
    </row>
    <row r="138" spans="2:29" ht="12.75" customHeight="1" x14ac:dyDescent="0.35">
      <c r="B138" s="511">
        <v>44873</v>
      </c>
      <c r="C138" s="4"/>
      <c r="D138" s="324">
        <v>120</v>
      </c>
      <c r="E138" s="324"/>
      <c r="F138" s="4" t="s">
        <v>5593</v>
      </c>
      <c r="G138" s="324"/>
      <c r="H138" s="323"/>
      <c r="I138" s="323"/>
      <c r="J138" s="367">
        <v>44895</v>
      </c>
      <c r="K138" s="367"/>
      <c r="L138" s="367"/>
      <c r="M138" s="367"/>
      <c r="N138" s="367"/>
      <c r="O138" s="367"/>
      <c r="P138" s="326" t="s">
        <v>6071</v>
      </c>
      <c r="Q138" s="84" t="s">
        <v>4955</v>
      </c>
      <c r="R138" s="84" t="s">
        <v>6072</v>
      </c>
      <c r="S138" s="84" t="s">
        <v>4042</v>
      </c>
      <c r="T138" s="238"/>
      <c r="U138" s="146"/>
      <c r="V138" s="323"/>
      <c r="W138" s="331"/>
      <c r="X138" s="84"/>
      <c r="Y138" s="612"/>
      <c r="Z138" s="323"/>
      <c r="AA138" s="323"/>
      <c r="AC138" s="323"/>
    </row>
    <row r="139" spans="2:29" ht="12.75" customHeight="1" x14ac:dyDescent="0.35">
      <c r="B139" s="511">
        <v>44960</v>
      </c>
      <c r="C139" s="4" t="s">
        <v>6073</v>
      </c>
      <c r="D139" s="324">
        <v>360</v>
      </c>
      <c r="E139" s="324"/>
      <c r="F139" s="4" t="s">
        <v>773</v>
      </c>
      <c r="G139" s="4" t="s">
        <v>6074</v>
      </c>
      <c r="H139" s="323"/>
      <c r="I139" s="323"/>
      <c r="J139" s="641">
        <v>45006</v>
      </c>
      <c r="K139" s="641" t="s">
        <v>1291</v>
      </c>
      <c r="L139" s="641" t="s">
        <v>1291</v>
      </c>
      <c r="M139" s="641" t="s">
        <v>1291</v>
      </c>
      <c r="N139" s="641"/>
      <c r="O139" s="641"/>
      <c r="P139" s="326" t="s">
        <v>6075</v>
      </c>
      <c r="Q139" s="84" t="s">
        <v>4664</v>
      </c>
      <c r="R139" s="84" t="s">
        <v>6076</v>
      </c>
      <c r="S139" s="84" t="s">
        <v>6077</v>
      </c>
      <c r="T139" s="238" t="s">
        <v>5454</v>
      </c>
      <c r="U139" s="146" t="s">
        <v>6078</v>
      </c>
      <c r="V139" s="323"/>
      <c r="W139" s="331"/>
      <c r="X139" s="84" t="s">
        <v>6079</v>
      </c>
      <c r="Y139" s="612"/>
      <c r="Z139" s="323"/>
      <c r="AA139" s="323"/>
      <c r="AC139" s="323"/>
    </row>
    <row r="140" spans="2:29" ht="12.75" customHeight="1" x14ac:dyDescent="0.35">
      <c r="B140" s="511">
        <v>44984</v>
      </c>
      <c r="C140" s="4" t="s">
        <v>6080</v>
      </c>
      <c r="D140" s="324">
        <v>360</v>
      </c>
      <c r="E140" s="324"/>
      <c r="F140" s="4" t="s">
        <v>773</v>
      </c>
      <c r="G140" s="324"/>
      <c r="H140" s="323"/>
      <c r="I140" s="323"/>
      <c r="J140" s="367"/>
      <c r="K140" s="367"/>
      <c r="L140" s="367"/>
      <c r="M140" s="367"/>
      <c r="N140" s="367"/>
      <c r="O140" s="367"/>
      <c r="P140" s="326" t="s">
        <v>6081</v>
      </c>
      <c r="Q140" s="84" t="s">
        <v>4955</v>
      </c>
      <c r="R140" s="84" t="s">
        <v>6082</v>
      </c>
      <c r="S140" s="84" t="s">
        <v>6083</v>
      </c>
      <c r="T140" s="238" t="s">
        <v>5709</v>
      </c>
      <c r="U140" s="146" t="s">
        <v>6084</v>
      </c>
      <c r="V140" s="323" t="s">
        <v>6085</v>
      </c>
      <c r="W140" s="331" t="s">
        <v>6086</v>
      </c>
      <c r="X140" s="84" t="s">
        <v>6087</v>
      </c>
      <c r="Y140" s="612"/>
      <c r="Z140" s="323"/>
      <c r="AA140" s="323"/>
      <c r="AC140" s="323"/>
    </row>
    <row r="141" spans="2:29" ht="12.75" customHeight="1" x14ac:dyDescent="0.35">
      <c r="B141" s="511">
        <v>44986</v>
      </c>
      <c r="C141" s="4" t="s">
        <v>6088</v>
      </c>
      <c r="D141" s="324">
        <v>360</v>
      </c>
      <c r="E141" s="324"/>
      <c r="F141" s="4" t="s">
        <v>773</v>
      </c>
      <c r="G141" s="324"/>
      <c r="H141" s="323"/>
      <c r="I141" s="323"/>
      <c r="J141" s="367"/>
      <c r="K141" s="367"/>
      <c r="L141" s="367"/>
      <c r="M141" s="367"/>
      <c r="N141" s="367"/>
      <c r="O141" s="367"/>
      <c r="P141" s="326" t="s">
        <v>6089</v>
      </c>
      <c r="Q141" s="84" t="s">
        <v>5045</v>
      </c>
      <c r="R141" s="84" t="s">
        <v>6090</v>
      </c>
      <c r="S141" s="84" t="s">
        <v>6091</v>
      </c>
      <c r="T141" s="238" t="s">
        <v>4749</v>
      </c>
      <c r="U141" s="146" t="s">
        <v>6092</v>
      </c>
      <c r="V141" s="323" t="s">
        <v>6093</v>
      </c>
      <c r="W141" s="331" t="s">
        <v>6094</v>
      </c>
      <c r="X141" s="84" t="s">
        <v>5754</v>
      </c>
      <c r="Y141" s="612"/>
      <c r="Z141" s="323"/>
      <c r="AA141" s="323"/>
      <c r="AC141" s="323"/>
    </row>
    <row r="142" spans="2:29" ht="12.75" customHeight="1" x14ac:dyDescent="0.35">
      <c r="B142" s="511">
        <v>45137</v>
      </c>
      <c r="C142" s="4" t="s">
        <v>6095</v>
      </c>
      <c r="D142" s="324">
        <v>240</v>
      </c>
      <c r="E142" s="4" t="s">
        <v>3806</v>
      </c>
      <c r="F142" s="4" t="s">
        <v>6096</v>
      </c>
      <c r="G142" s="324"/>
      <c r="H142" s="323"/>
      <c r="I142" s="323"/>
      <c r="J142" s="367"/>
      <c r="K142" s="367"/>
      <c r="L142" s="367"/>
      <c r="M142" s="367"/>
      <c r="N142" s="367"/>
      <c r="O142" s="367"/>
      <c r="P142" s="326"/>
      <c r="Q142" s="84"/>
      <c r="R142" s="84"/>
      <c r="S142" s="84"/>
      <c r="T142" s="238"/>
      <c r="U142" s="146"/>
      <c r="V142" s="323"/>
      <c r="W142" s="331"/>
      <c r="X142" s="84"/>
      <c r="Y142" s="612"/>
      <c r="Z142" s="323"/>
      <c r="AA142" s="323"/>
      <c r="AC142" s="323"/>
    </row>
    <row r="143" spans="2:29" ht="12.75" customHeight="1" x14ac:dyDescent="0.35">
      <c r="B143" s="511">
        <v>45226</v>
      </c>
      <c r="C143" s="4" t="s">
        <v>6097</v>
      </c>
      <c r="D143" s="324">
        <v>360</v>
      </c>
      <c r="E143" s="324"/>
      <c r="F143" s="4" t="s">
        <v>773</v>
      </c>
      <c r="G143" s="324"/>
      <c r="H143" s="323"/>
      <c r="I143" s="323"/>
      <c r="J143" s="367"/>
      <c r="K143" s="367"/>
      <c r="L143" s="367"/>
      <c r="M143" s="367"/>
      <c r="N143" s="367"/>
      <c r="O143" s="367"/>
      <c r="P143" s="326" t="s">
        <v>6098</v>
      </c>
      <c r="Q143" s="84" t="s">
        <v>4664</v>
      </c>
      <c r="R143" s="84" t="s">
        <v>4058</v>
      </c>
      <c r="S143" s="84" t="s">
        <v>5868</v>
      </c>
      <c r="T143" s="238" t="s">
        <v>6099</v>
      </c>
      <c r="U143" s="146" t="s">
        <v>6100</v>
      </c>
      <c r="V143" s="323" t="s">
        <v>6101</v>
      </c>
      <c r="W143" s="331" t="s">
        <v>6102</v>
      </c>
      <c r="X143" s="84" t="s">
        <v>316</v>
      </c>
      <c r="Y143" s="612"/>
      <c r="Z143" s="323"/>
      <c r="AA143" s="323"/>
      <c r="AC143" s="323"/>
    </row>
    <row r="144" spans="2:29" ht="12.75" customHeight="1" x14ac:dyDescent="0.35">
      <c r="B144" s="511">
        <v>45231</v>
      </c>
      <c r="C144" s="4" t="s">
        <v>6103</v>
      </c>
      <c r="D144" s="324">
        <v>270</v>
      </c>
      <c r="E144" s="4" t="s">
        <v>3806</v>
      </c>
      <c r="F144" s="4" t="s">
        <v>6104</v>
      </c>
      <c r="G144" s="324"/>
      <c r="H144" s="323"/>
      <c r="I144" s="323"/>
      <c r="P144" s="508" t="s">
        <v>6105</v>
      </c>
      <c r="Q144" s="91" t="s">
        <v>4955</v>
      </c>
      <c r="R144" s="91" t="s">
        <v>6106</v>
      </c>
      <c r="S144" s="91" t="s">
        <v>4564</v>
      </c>
      <c r="T144" s="94" t="s">
        <v>6107</v>
      </c>
      <c r="U144" s="94" t="s">
        <v>6108</v>
      </c>
      <c r="V144" s="514" t="s">
        <v>6109</v>
      </c>
      <c r="W144" s="515" t="s">
        <v>6110</v>
      </c>
      <c r="X144" s="513" t="s">
        <v>6111</v>
      </c>
      <c r="Y144" s="484"/>
      <c r="Z144" s="323"/>
      <c r="AA144" s="323"/>
      <c r="AC144" s="323"/>
    </row>
    <row r="145" spans="2:29" ht="12.75" customHeight="1" x14ac:dyDescent="0.35">
      <c r="B145" s="511">
        <v>45294</v>
      </c>
      <c r="C145" s="4" t="s">
        <v>6112</v>
      </c>
      <c r="D145" s="324">
        <v>360</v>
      </c>
      <c r="E145" s="4"/>
      <c r="F145" s="4" t="s">
        <v>6113</v>
      </c>
      <c r="G145" s="324"/>
      <c r="H145" s="323"/>
      <c r="I145" s="323"/>
      <c r="J145" s="641">
        <v>45303</v>
      </c>
      <c r="K145" s="641">
        <v>45317</v>
      </c>
      <c r="L145" s="641">
        <v>45359</v>
      </c>
      <c r="M145" s="641">
        <v>45366</v>
      </c>
      <c r="N145" s="641"/>
      <c r="O145" s="641"/>
      <c r="P145" s="508" t="s">
        <v>6114</v>
      </c>
      <c r="Q145" s="91" t="s">
        <v>5045</v>
      </c>
      <c r="R145" s="91" t="s">
        <v>6115</v>
      </c>
      <c r="S145" s="91" t="s">
        <v>6116</v>
      </c>
      <c r="T145" s="94" t="s">
        <v>4889</v>
      </c>
      <c r="U145" s="94" t="s">
        <v>6117</v>
      </c>
      <c r="V145" s="514" t="s">
        <v>6118</v>
      </c>
      <c r="W145" s="515" t="s">
        <v>6119</v>
      </c>
      <c r="X145" s="93" t="s">
        <v>4376</v>
      </c>
      <c r="Y145" s="484"/>
      <c r="Z145" s="323"/>
      <c r="AA145" s="323"/>
      <c r="AC145" s="323"/>
    </row>
    <row r="146" spans="2:29" ht="12.75" customHeight="1" x14ac:dyDescent="0.35">
      <c r="B146" s="511">
        <v>45369</v>
      </c>
      <c r="C146" s="4" t="s">
        <v>6120</v>
      </c>
      <c r="D146" s="324">
        <v>360</v>
      </c>
      <c r="E146" s="4"/>
      <c r="F146" s="4" t="s">
        <v>6113</v>
      </c>
      <c r="G146" s="324"/>
      <c r="H146" s="323"/>
      <c r="I146" s="323"/>
      <c r="J146" s="641">
        <v>45371</v>
      </c>
      <c r="K146" s="641"/>
      <c r="L146" s="641"/>
      <c r="M146" s="641"/>
      <c r="N146" s="641"/>
      <c r="O146" s="641"/>
      <c r="P146" s="508" t="s">
        <v>6121</v>
      </c>
      <c r="Q146" s="91" t="s">
        <v>4955</v>
      </c>
      <c r="R146" s="91" t="s">
        <v>6122</v>
      </c>
      <c r="S146" s="91" t="s">
        <v>4407</v>
      </c>
      <c r="T146" s="94" t="s">
        <v>4777</v>
      </c>
      <c r="U146" s="94" t="s">
        <v>6123</v>
      </c>
      <c r="V146" s="1019" t="s">
        <v>6124</v>
      </c>
      <c r="W146" s="515" t="s">
        <v>6125</v>
      </c>
      <c r="X146" s="93" t="s">
        <v>4407</v>
      </c>
      <c r="Y146" s="484"/>
      <c r="Z146" s="323"/>
      <c r="AA146" s="323"/>
      <c r="AC146" s="323"/>
    </row>
    <row r="147" spans="2:29" ht="12.75" customHeight="1" x14ac:dyDescent="0.35">
      <c r="B147" s="511">
        <v>45377</v>
      </c>
      <c r="C147" s="4" t="s">
        <v>6126</v>
      </c>
      <c r="D147" s="324">
        <v>360</v>
      </c>
      <c r="E147" s="4"/>
      <c r="F147" s="4" t="s">
        <v>6113</v>
      </c>
      <c r="G147" s="324"/>
      <c r="H147" s="323"/>
      <c r="I147" s="323"/>
      <c r="J147" s="641">
        <v>45390</v>
      </c>
      <c r="K147" s="641">
        <v>45391</v>
      </c>
      <c r="L147" s="641">
        <v>45392</v>
      </c>
      <c r="M147" s="641">
        <v>45393</v>
      </c>
      <c r="N147" s="641"/>
      <c r="O147" s="641"/>
      <c r="P147" s="508" t="s">
        <v>6127</v>
      </c>
      <c r="Q147" s="91" t="s">
        <v>5756</v>
      </c>
      <c r="R147" s="91" t="s">
        <v>6128</v>
      </c>
      <c r="S147" s="91" t="s">
        <v>6129</v>
      </c>
      <c r="T147" s="94" t="s">
        <v>4730</v>
      </c>
      <c r="U147" s="94" t="s">
        <v>6130</v>
      </c>
      <c r="V147" s="514" t="s">
        <v>6131</v>
      </c>
      <c r="W147" s="515" t="s">
        <v>6132</v>
      </c>
      <c r="X147" s="93" t="s">
        <v>6133</v>
      </c>
      <c r="Y147" s="484"/>
      <c r="Z147" s="323"/>
      <c r="AA147" s="323"/>
      <c r="AC147" s="323"/>
    </row>
    <row r="148" spans="2:29" ht="12.75" customHeight="1" x14ac:dyDescent="0.35">
      <c r="B148" s="511">
        <v>45387</v>
      </c>
      <c r="C148" s="4" t="s">
        <v>6134</v>
      </c>
      <c r="D148" s="324">
        <v>360</v>
      </c>
      <c r="E148" s="4"/>
      <c r="F148" s="4" t="s">
        <v>6113</v>
      </c>
      <c r="G148" s="324"/>
      <c r="H148" s="323"/>
      <c r="I148" s="323"/>
      <c r="J148" s="641"/>
      <c r="K148" s="641"/>
      <c r="L148" s="641"/>
      <c r="M148" s="641"/>
      <c r="N148" s="641"/>
      <c r="O148" s="641"/>
      <c r="P148" s="508" t="s">
        <v>6135</v>
      </c>
      <c r="Q148" s="91" t="s">
        <v>4664</v>
      </c>
      <c r="R148" s="91" t="s">
        <v>6136</v>
      </c>
      <c r="S148" s="512" t="s">
        <v>6137</v>
      </c>
      <c r="T148" s="94" t="s">
        <v>4889</v>
      </c>
      <c r="U148" s="94" t="s">
        <v>6138</v>
      </c>
      <c r="V148" s="514" t="s">
        <v>6139</v>
      </c>
      <c r="W148" s="515" t="s">
        <v>6140</v>
      </c>
      <c r="X148" s="93" t="s">
        <v>4376</v>
      </c>
      <c r="Y148" s="484"/>
      <c r="Z148" s="323"/>
      <c r="AA148" s="323"/>
      <c r="AC148" s="323"/>
    </row>
    <row r="149" spans="2:29" ht="12.75" customHeight="1" x14ac:dyDescent="0.35">
      <c r="B149" s="511">
        <v>45426</v>
      </c>
      <c r="C149" s="4" t="s">
        <v>6141</v>
      </c>
      <c r="D149" s="324">
        <v>360</v>
      </c>
      <c r="E149" s="4"/>
      <c r="F149" s="4" t="s">
        <v>6113</v>
      </c>
      <c r="G149" s="324"/>
      <c r="H149" s="323"/>
      <c r="I149" s="323"/>
      <c r="J149" s="641"/>
      <c r="K149" s="641"/>
      <c r="L149" s="641"/>
      <c r="M149" s="641"/>
      <c r="N149" s="641"/>
      <c r="O149" s="641"/>
      <c r="P149" s="508" t="s">
        <v>6142</v>
      </c>
      <c r="Q149" s="512"/>
      <c r="R149" s="91" t="s">
        <v>5693</v>
      </c>
      <c r="S149" s="512" t="s">
        <v>6143</v>
      </c>
      <c r="T149" s="94" t="s">
        <v>5485</v>
      </c>
      <c r="U149" s="94" t="s">
        <v>6144</v>
      </c>
      <c r="V149" s="514"/>
      <c r="W149" s="515"/>
      <c r="X149" s="513"/>
      <c r="Y149" s="484"/>
      <c r="Z149" s="323"/>
      <c r="AA149" s="323"/>
      <c r="AC149" s="323"/>
    </row>
    <row r="150" spans="2:29" ht="12.75" customHeight="1" x14ac:dyDescent="0.35">
      <c r="B150" s="511">
        <v>45440</v>
      </c>
      <c r="C150" s="4" t="s">
        <v>6145</v>
      </c>
      <c r="D150" s="324">
        <v>360</v>
      </c>
      <c r="E150" s="4"/>
      <c r="F150" s="4" t="s">
        <v>6113</v>
      </c>
      <c r="G150" s="324"/>
      <c r="H150" s="323"/>
      <c r="I150" s="323"/>
      <c r="J150" s="641">
        <v>45448</v>
      </c>
      <c r="K150" s="641"/>
      <c r="L150" s="641"/>
      <c r="M150" s="641"/>
      <c r="N150" s="641"/>
      <c r="O150" s="641"/>
      <c r="P150" s="508" t="s">
        <v>6146</v>
      </c>
      <c r="Q150" s="91" t="s">
        <v>4955</v>
      </c>
      <c r="R150" s="91" t="s">
        <v>6147</v>
      </c>
      <c r="S150" s="91" t="s">
        <v>6148</v>
      </c>
      <c r="T150" s="94" t="s">
        <v>5604</v>
      </c>
      <c r="U150" s="94" t="s">
        <v>6149</v>
      </c>
      <c r="V150" s="514" t="s">
        <v>6150</v>
      </c>
      <c r="W150" s="515" t="s">
        <v>6151</v>
      </c>
      <c r="X150" s="513" t="s">
        <v>6152</v>
      </c>
      <c r="Y150" s="484"/>
      <c r="Z150" s="323"/>
      <c r="AA150" s="323"/>
      <c r="AC150" s="323"/>
    </row>
    <row r="151" spans="2:29" ht="12.75" customHeight="1" x14ac:dyDescent="0.35">
      <c r="B151" s="511">
        <v>45444</v>
      </c>
      <c r="C151" s="4" t="s">
        <v>6153</v>
      </c>
      <c r="D151" s="324">
        <v>360</v>
      </c>
      <c r="E151" s="4"/>
      <c r="F151" s="4" t="s">
        <v>6113</v>
      </c>
      <c r="G151" s="324"/>
      <c r="H151" s="323"/>
      <c r="I151" s="323"/>
      <c r="J151" s="641"/>
      <c r="K151" s="641"/>
      <c r="L151" s="641"/>
      <c r="M151" s="641"/>
      <c r="N151" s="641"/>
      <c r="O151" s="641"/>
      <c r="P151" s="508" t="s">
        <v>6154</v>
      </c>
      <c r="Q151" s="91" t="s">
        <v>4955</v>
      </c>
      <c r="R151" s="91" t="s">
        <v>6155</v>
      </c>
      <c r="S151" s="91" t="s">
        <v>6156</v>
      </c>
      <c r="T151" s="94" t="s">
        <v>5610</v>
      </c>
      <c r="U151" s="94" t="s">
        <v>6157</v>
      </c>
      <c r="V151" s="514" t="s">
        <v>6158</v>
      </c>
      <c r="W151" s="515" t="s">
        <v>6159</v>
      </c>
      <c r="X151" s="93" t="s">
        <v>4376</v>
      </c>
      <c r="Y151" s="484"/>
      <c r="Z151" s="323"/>
      <c r="AA151" s="323"/>
      <c r="AC151" s="323"/>
    </row>
    <row r="152" spans="2:29" ht="12.75" customHeight="1" x14ac:dyDescent="0.35">
      <c r="B152" s="511">
        <v>45537</v>
      </c>
      <c r="C152" s="4" t="s">
        <v>6160</v>
      </c>
      <c r="D152" s="324">
        <v>360</v>
      </c>
      <c r="E152" s="4"/>
      <c r="F152" s="4" t="s">
        <v>6113</v>
      </c>
      <c r="G152" s="324"/>
      <c r="H152" s="323"/>
      <c r="I152" s="323"/>
      <c r="J152" s="641">
        <v>45546</v>
      </c>
      <c r="K152" s="641"/>
      <c r="L152" s="641"/>
      <c r="M152" s="641"/>
      <c r="N152" s="641"/>
      <c r="O152" s="641"/>
      <c r="P152" s="508" t="s">
        <v>6161</v>
      </c>
      <c r="Q152" s="91" t="s">
        <v>4955</v>
      </c>
      <c r="R152" s="91" t="s">
        <v>6162</v>
      </c>
      <c r="S152" s="512" t="s">
        <v>6163</v>
      </c>
      <c r="T152" s="94" t="s">
        <v>5485</v>
      </c>
      <c r="U152" s="94" t="s">
        <v>6164</v>
      </c>
      <c r="V152" s="514" t="s">
        <v>6165</v>
      </c>
      <c r="W152" s="515" t="s">
        <v>6166</v>
      </c>
      <c r="X152" s="93" t="s">
        <v>4370</v>
      </c>
      <c r="Y152" s="484"/>
      <c r="Z152" s="323"/>
      <c r="AA152" s="323"/>
      <c r="AC152" s="323"/>
    </row>
    <row r="153" spans="2:29" ht="12.75" customHeight="1" x14ac:dyDescent="0.35">
      <c r="B153" s="511">
        <v>45560</v>
      </c>
      <c r="C153" s="4" t="s">
        <v>6167</v>
      </c>
      <c r="D153" s="324">
        <v>360</v>
      </c>
      <c r="E153" s="4"/>
      <c r="F153" s="4" t="s">
        <v>6113</v>
      </c>
      <c r="G153" s="324"/>
      <c r="H153" s="323"/>
      <c r="I153" s="323"/>
      <c r="J153" s="641"/>
      <c r="K153" s="641"/>
      <c r="L153" s="641"/>
      <c r="M153" s="641"/>
      <c r="N153" s="641"/>
      <c r="O153" s="641"/>
      <c r="P153" s="508" t="s">
        <v>6168</v>
      </c>
      <c r="Q153" s="91" t="s">
        <v>5045</v>
      </c>
      <c r="R153" s="91" t="s">
        <v>6169</v>
      </c>
      <c r="S153" s="91" t="s">
        <v>6170</v>
      </c>
      <c r="T153" s="94" t="s">
        <v>5485</v>
      </c>
      <c r="U153" s="94" t="s">
        <v>6171</v>
      </c>
      <c r="V153" s="514" t="s">
        <v>6172</v>
      </c>
      <c r="W153" s="515" t="s">
        <v>6173</v>
      </c>
      <c r="X153" s="93" t="s">
        <v>4460</v>
      </c>
      <c r="Y153" s="484"/>
      <c r="Z153" s="323"/>
      <c r="AA153" s="323"/>
      <c r="AC153" s="323"/>
    </row>
    <row r="154" spans="2:29" ht="12.75" customHeight="1" x14ac:dyDescent="0.35">
      <c r="B154" s="86">
        <v>45568</v>
      </c>
      <c r="C154" s="4" t="s">
        <v>6174</v>
      </c>
      <c r="D154" s="324">
        <v>360</v>
      </c>
      <c r="E154" s="4"/>
      <c r="F154" s="4" t="s">
        <v>6113</v>
      </c>
      <c r="G154" s="324"/>
      <c r="H154" s="323"/>
      <c r="I154" s="323"/>
      <c r="J154" s="641"/>
      <c r="K154" s="641"/>
      <c r="L154" s="641"/>
      <c r="M154" s="641"/>
      <c r="N154" s="641"/>
      <c r="O154" s="641"/>
      <c r="P154" s="287" t="s">
        <v>6175</v>
      </c>
      <c r="Q154" s="91" t="s">
        <v>5045</v>
      </c>
      <c r="R154" s="91" t="s">
        <v>6176</v>
      </c>
      <c r="S154" s="91" t="s">
        <v>6177</v>
      </c>
      <c r="T154" s="94" t="s">
        <v>5709</v>
      </c>
      <c r="U154" s="94" t="s">
        <v>6178</v>
      </c>
      <c r="V154" s="514" t="s">
        <v>6179</v>
      </c>
      <c r="W154" s="515" t="s">
        <v>6180</v>
      </c>
      <c r="X154" s="93" t="s">
        <v>5032</v>
      </c>
      <c r="Y154" s="484"/>
      <c r="Z154" s="323"/>
      <c r="AA154" s="323"/>
      <c r="AC154" s="323"/>
    </row>
    <row r="155" spans="2:29" ht="12.75" customHeight="1" x14ac:dyDescent="0.35">
      <c r="C155" s="4"/>
      <c r="D155" s="324">
        <v>360</v>
      </c>
      <c r="E155" s="4"/>
      <c r="F155" s="4" t="s">
        <v>6181</v>
      </c>
      <c r="G155" s="324"/>
      <c r="H155" s="323"/>
      <c r="I155" s="323"/>
      <c r="J155" s="641">
        <v>45580</v>
      </c>
      <c r="K155" s="641"/>
      <c r="L155" s="641"/>
      <c r="M155" s="641"/>
      <c r="N155" s="641"/>
      <c r="O155" s="641"/>
      <c r="P155" s="508" t="s">
        <v>6182</v>
      </c>
      <c r="Q155" s="91"/>
      <c r="R155" s="91" t="s">
        <v>4188</v>
      </c>
      <c r="S155" s="91" t="s">
        <v>6183</v>
      </c>
      <c r="T155" s="94"/>
      <c r="U155" s="94"/>
      <c r="V155" s="514"/>
      <c r="W155" s="515"/>
      <c r="X155" s="93"/>
      <c r="Y155" s="484"/>
      <c r="Z155" s="323"/>
      <c r="AA155" s="323"/>
      <c r="AC155" s="323"/>
    </row>
    <row r="156" spans="2:29" ht="12.75" customHeight="1" x14ac:dyDescent="0.35">
      <c r="B156" s="511">
        <v>45609</v>
      </c>
      <c r="C156" s="4"/>
      <c r="D156" s="324">
        <v>120</v>
      </c>
      <c r="E156" s="4"/>
      <c r="F156" s="4" t="s">
        <v>6184</v>
      </c>
      <c r="G156" s="324"/>
      <c r="H156" s="323"/>
      <c r="I156" s="323"/>
      <c r="J156" s="641">
        <v>45624</v>
      </c>
      <c r="K156" s="641"/>
      <c r="L156" s="641"/>
      <c r="M156" s="641"/>
      <c r="N156" s="641"/>
      <c r="O156" s="641"/>
      <c r="P156" s="508" t="s">
        <v>6185</v>
      </c>
      <c r="Q156" s="91" t="s">
        <v>4955</v>
      </c>
      <c r="R156" s="91" t="s">
        <v>6186</v>
      </c>
      <c r="S156" s="91" t="s">
        <v>4471</v>
      </c>
      <c r="T156" s="94"/>
      <c r="U156" s="94" t="s">
        <v>6187</v>
      </c>
      <c r="V156" s="514"/>
      <c r="W156" s="515"/>
      <c r="X156" s="93"/>
      <c r="Y156" s="484"/>
      <c r="Z156" s="323"/>
      <c r="AA156" s="323"/>
      <c r="AC156" s="323"/>
    </row>
    <row r="157" spans="2:29" ht="12.75" customHeight="1" x14ac:dyDescent="0.35">
      <c r="B157" s="511">
        <v>45617</v>
      </c>
      <c r="C157" s="4"/>
      <c r="D157" s="324">
        <v>360</v>
      </c>
      <c r="E157" s="4"/>
      <c r="F157" s="4" t="s">
        <v>6113</v>
      </c>
      <c r="G157" s="324"/>
      <c r="H157" s="323"/>
      <c r="I157" s="323"/>
      <c r="J157" s="641"/>
      <c r="K157" s="641"/>
      <c r="L157" s="641"/>
      <c r="M157" s="641"/>
      <c r="N157" s="641"/>
      <c r="O157" s="641"/>
      <c r="P157" s="508" t="s">
        <v>6188</v>
      </c>
      <c r="Q157" s="91" t="s">
        <v>4664</v>
      </c>
      <c r="R157" s="91" t="s">
        <v>1063</v>
      </c>
      <c r="S157" s="91" t="s">
        <v>6189</v>
      </c>
      <c r="T157" s="94" t="s">
        <v>5709</v>
      </c>
      <c r="U157" s="94" t="s">
        <v>6190</v>
      </c>
      <c r="V157" s="514" t="s">
        <v>6191</v>
      </c>
      <c r="W157" s="515" t="s">
        <v>6192</v>
      </c>
      <c r="X157" s="93" t="s">
        <v>6193</v>
      </c>
      <c r="Y157" s="484"/>
      <c r="Z157" s="323"/>
      <c r="AA157" s="323"/>
      <c r="AC157" s="323"/>
    </row>
    <row r="158" spans="2:29" ht="12.75" customHeight="1" x14ac:dyDescent="0.35">
      <c r="B158" s="511"/>
      <c r="C158" s="4"/>
      <c r="D158" s="324"/>
      <c r="E158" s="4"/>
      <c r="F158" s="4"/>
      <c r="G158" s="324"/>
      <c r="H158" s="323"/>
      <c r="I158" s="323"/>
      <c r="J158" s="641"/>
      <c r="K158" s="641"/>
      <c r="L158" s="641"/>
      <c r="M158" s="641"/>
      <c r="N158" s="641"/>
      <c r="O158" s="641"/>
      <c r="P158" s="508"/>
      <c r="Q158" s="91"/>
      <c r="R158" s="91"/>
      <c r="S158" s="91"/>
      <c r="T158" s="94"/>
      <c r="U158" s="94"/>
      <c r="V158" s="514"/>
      <c r="W158" s="515"/>
      <c r="X158" s="93"/>
      <c r="Y158" s="484"/>
      <c r="Z158" s="323"/>
      <c r="AA158" s="323"/>
      <c r="AC158" s="323"/>
    </row>
    <row r="159" spans="2:29" ht="12.75" customHeight="1" x14ac:dyDescent="0.35">
      <c r="B159" s="511">
        <v>45674</v>
      </c>
      <c r="C159" s="4"/>
      <c r="D159" s="324">
        <v>360</v>
      </c>
      <c r="E159" s="4"/>
      <c r="F159" s="4" t="s">
        <v>6113</v>
      </c>
      <c r="G159" s="324"/>
      <c r="H159" s="323"/>
      <c r="I159" s="323"/>
      <c r="J159" s="641"/>
      <c r="K159" s="641"/>
      <c r="L159" s="641"/>
      <c r="M159" s="641"/>
      <c r="N159" s="641"/>
      <c r="O159" s="641"/>
      <c r="P159" s="287" t="s">
        <v>6194</v>
      </c>
      <c r="Q159" s="830" t="s">
        <v>5045</v>
      </c>
      <c r="R159" s="896" t="s">
        <v>6195</v>
      </c>
      <c r="S159" s="829" t="s">
        <v>6196</v>
      </c>
      <c r="T159" s="829" t="s">
        <v>4746</v>
      </c>
      <c r="U159" s="829" t="s">
        <v>6197</v>
      </c>
      <c r="V159" s="96" t="s">
        <v>6198</v>
      </c>
      <c r="W159" s="96" t="s">
        <v>6199</v>
      </c>
      <c r="X159" s="84" t="s">
        <v>4370</v>
      </c>
      <c r="Y159" s="851"/>
      <c r="Z159" s="323"/>
      <c r="AA159" s="323"/>
      <c r="AC159" s="323"/>
    </row>
    <row r="160" spans="2:29" ht="12.75" customHeight="1" x14ac:dyDescent="0.35">
      <c r="B160" s="511">
        <v>45706</v>
      </c>
      <c r="C160" s="4"/>
      <c r="D160" s="324">
        <v>360</v>
      </c>
      <c r="E160" s="4"/>
      <c r="F160" s="4" t="s">
        <v>6113</v>
      </c>
      <c r="G160" s="324"/>
      <c r="H160" s="323"/>
      <c r="I160" s="323"/>
      <c r="J160" s="641">
        <v>45748</v>
      </c>
      <c r="K160" s="641">
        <v>45764</v>
      </c>
      <c r="L160" s="641"/>
      <c r="M160" s="641"/>
      <c r="N160" s="641"/>
      <c r="O160" s="641"/>
      <c r="P160" s="508" t="s">
        <v>6200</v>
      </c>
      <c r="Q160" s="91" t="s">
        <v>4955</v>
      </c>
      <c r="R160" s="91" t="s">
        <v>6201</v>
      </c>
      <c r="S160" s="91" t="s">
        <v>6202</v>
      </c>
      <c r="T160" s="94" t="s">
        <v>4788</v>
      </c>
      <c r="U160" s="94" t="s">
        <v>6203</v>
      </c>
      <c r="V160" s="514" t="s">
        <v>6204</v>
      </c>
      <c r="W160" s="515" t="s">
        <v>6205</v>
      </c>
      <c r="X160" s="93" t="s">
        <v>6206</v>
      </c>
      <c r="Y160" s="484"/>
      <c r="Z160" s="323"/>
      <c r="AA160" s="323"/>
      <c r="AC160" s="323"/>
    </row>
    <row r="161" spans="1:29" ht="12.75" customHeight="1" x14ac:dyDescent="0.35">
      <c r="B161" s="511">
        <v>45905</v>
      </c>
      <c r="C161" s="4"/>
      <c r="D161" s="324">
        <v>360</v>
      </c>
      <c r="E161" s="4"/>
      <c r="F161" s="4" t="s">
        <v>6113</v>
      </c>
      <c r="G161" s="324"/>
      <c r="H161" s="323"/>
      <c r="I161" s="323"/>
      <c r="J161" s="641"/>
      <c r="K161" s="641"/>
      <c r="L161" s="641"/>
      <c r="M161" s="641"/>
      <c r="N161" s="641"/>
      <c r="O161" s="641"/>
      <c r="P161" s="508" t="s">
        <v>6207</v>
      </c>
      <c r="Q161" s="91"/>
      <c r="R161" s="91" t="s">
        <v>5693</v>
      </c>
      <c r="S161" s="91" t="s">
        <v>6208</v>
      </c>
      <c r="T161" s="94" t="s">
        <v>4705</v>
      </c>
      <c r="U161" s="94" t="s">
        <v>6209</v>
      </c>
      <c r="V161" s="514"/>
      <c r="W161" s="515"/>
      <c r="X161" s="93"/>
      <c r="Y161" s="484"/>
      <c r="Z161" s="323"/>
      <c r="AA161" s="323"/>
      <c r="AC161" s="323"/>
    </row>
    <row r="162" spans="1:29" ht="12.75" customHeight="1" x14ac:dyDescent="0.35">
      <c r="B162" s="511">
        <v>45973</v>
      </c>
      <c r="C162" s="4"/>
      <c r="D162" s="324">
        <v>240</v>
      </c>
      <c r="E162" s="4"/>
      <c r="F162" s="4" t="s">
        <v>6210</v>
      </c>
      <c r="G162" s="324"/>
      <c r="H162" s="323"/>
      <c r="I162" s="323"/>
      <c r="J162" s="641"/>
      <c r="K162" s="641"/>
      <c r="L162" s="641"/>
      <c r="M162" s="641"/>
      <c r="N162" s="641"/>
      <c r="O162" s="641"/>
      <c r="P162" s="508" t="s">
        <v>6211</v>
      </c>
      <c r="Q162" s="91"/>
      <c r="R162" s="91" t="s">
        <v>4016</v>
      </c>
      <c r="S162" s="91" t="s">
        <v>6212</v>
      </c>
      <c r="T162" s="94" t="s">
        <v>4895</v>
      </c>
      <c r="U162" s="94" t="s">
        <v>6213</v>
      </c>
      <c r="V162" s="514"/>
      <c r="W162" s="515"/>
      <c r="X162" s="93"/>
      <c r="Y162" s="484"/>
      <c r="Z162" s="323"/>
      <c r="AA162" s="323"/>
      <c r="AC162" s="323"/>
    </row>
    <row r="163" spans="1:29" ht="12.75" customHeight="1" x14ac:dyDescent="0.35">
      <c r="B163" s="511">
        <v>45975</v>
      </c>
      <c r="C163" s="4"/>
      <c r="D163" s="324">
        <v>240</v>
      </c>
      <c r="E163" s="4"/>
      <c r="F163" s="4" t="s">
        <v>6210</v>
      </c>
      <c r="G163" s="324"/>
      <c r="H163" s="323"/>
      <c r="I163" s="323"/>
      <c r="J163" s="641"/>
      <c r="K163" s="641"/>
      <c r="L163" s="641"/>
      <c r="M163" s="641"/>
      <c r="N163" s="641"/>
      <c r="O163" s="641"/>
      <c r="P163" s="508" t="s">
        <v>6214</v>
      </c>
      <c r="Q163" s="512"/>
      <c r="R163" s="91" t="s">
        <v>4474</v>
      </c>
      <c r="S163" s="91" t="s">
        <v>6215</v>
      </c>
      <c r="T163" s="94" t="s">
        <v>4788</v>
      </c>
      <c r="U163" s="94"/>
      <c r="V163" s="514"/>
      <c r="W163" s="515"/>
      <c r="X163" s="513"/>
      <c r="Y163" s="484"/>
      <c r="Z163" s="323"/>
      <c r="AA163" s="323"/>
      <c r="AC163" s="323"/>
    </row>
    <row r="164" spans="1:29" ht="12.75" customHeight="1" x14ac:dyDescent="0.35">
      <c r="B164" s="511"/>
      <c r="C164" s="4"/>
      <c r="D164" s="324"/>
      <c r="E164" s="4"/>
      <c r="F164" s="324"/>
      <c r="G164" s="324"/>
      <c r="H164" s="323"/>
      <c r="I164" s="323"/>
      <c r="P164" s="508"/>
      <c r="Q164" s="512"/>
      <c r="R164" s="512"/>
      <c r="S164" s="512"/>
      <c r="T164" s="514"/>
      <c r="U164" s="514"/>
      <c r="V164" s="514"/>
      <c r="W164" s="515"/>
      <c r="X164" s="513"/>
      <c r="Y164" s="484"/>
      <c r="Z164" s="323"/>
      <c r="AA164" s="323"/>
      <c r="AC164" s="323"/>
    </row>
    <row r="165" spans="1:29" ht="12.75" customHeight="1" x14ac:dyDescent="0.35">
      <c r="B165" s="323"/>
      <c r="C165" s="323"/>
      <c r="D165" s="324">
        <f>SUM(D6:D146)</f>
        <v>31675.9</v>
      </c>
      <c r="E165" s="324">
        <f>SUM(E8:E35)</f>
        <v>0</v>
      </c>
      <c r="F165" s="324"/>
      <c r="G165" s="324"/>
      <c r="H165" s="323"/>
      <c r="I165" s="323"/>
      <c r="J165" s="323"/>
      <c r="K165" s="323"/>
      <c r="L165" s="323"/>
      <c r="M165" s="323"/>
      <c r="N165" s="323"/>
      <c r="O165" s="323"/>
      <c r="P165" s="323"/>
      <c r="Q165" s="323"/>
      <c r="R165" s="323"/>
      <c r="S165" s="323"/>
      <c r="T165" s="331"/>
      <c r="U165" s="323"/>
      <c r="V165" s="323"/>
      <c r="W165" s="331"/>
      <c r="X165" s="323"/>
      <c r="Y165" s="323"/>
      <c r="Z165" s="323"/>
      <c r="AA165" s="323"/>
      <c r="AB165" s="323"/>
      <c r="AC165" s="323"/>
    </row>
    <row r="166" spans="1:29" ht="12.75" customHeight="1" x14ac:dyDescent="0.35">
      <c r="A166" s="301" t="s">
        <v>4838</v>
      </c>
      <c r="B166" s="323"/>
      <c r="C166" s="323"/>
      <c r="D166" s="324">
        <f>D165*3.6%</f>
        <v>1140.3324000000002</v>
      </c>
      <c r="E166" s="324"/>
      <c r="F166" s="324"/>
      <c r="G166" s="324"/>
      <c r="H166" s="323"/>
      <c r="I166" s="323"/>
      <c r="J166" s="323"/>
      <c r="K166" s="323"/>
      <c r="L166" s="323"/>
      <c r="M166" s="323"/>
      <c r="N166" s="323"/>
      <c r="O166" s="323"/>
      <c r="P166" s="323"/>
      <c r="Q166" s="323"/>
      <c r="R166" s="323"/>
      <c r="S166" s="323"/>
      <c r="T166" s="331"/>
      <c r="U166" s="323"/>
      <c r="V166" s="323"/>
      <c r="W166" s="331"/>
      <c r="X166" s="323"/>
      <c r="Y166" s="323"/>
      <c r="Z166" s="323"/>
      <c r="AA166" s="323"/>
      <c r="AB166" s="323"/>
      <c r="AC166" s="323"/>
    </row>
    <row r="167" spans="1:29" ht="12.75" customHeight="1" x14ac:dyDescent="0.35">
      <c r="B167" s="323" t="s">
        <v>6216</v>
      </c>
      <c r="C167" s="323"/>
      <c r="D167" s="370">
        <f>D165-D166</f>
        <v>30535.567600000002</v>
      </c>
      <c r="E167" s="324"/>
      <c r="F167" s="324"/>
      <c r="G167" s="324"/>
      <c r="H167" s="323"/>
      <c r="I167" s="323"/>
      <c r="J167" s="323"/>
      <c r="K167" s="323"/>
      <c r="L167" s="323"/>
      <c r="M167" s="323"/>
      <c r="N167" s="323"/>
      <c r="O167" s="323"/>
      <c r="P167" s="323"/>
      <c r="Q167" s="323"/>
      <c r="R167" s="323"/>
      <c r="S167" s="323"/>
      <c r="T167" s="331"/>
      <c r="U167" s="323"/>
      <c r="V167" s="323"/>
      <c r="W167" s="331"/>
      <c r="X167" s="323"/>
      <c r="Y167" s="323"/>
      <c r="Z167" s="323"/>
      <c r="AA167" s="323"/>
      <c r="AB167" s="323"/>
      <c r="AC167" s="323"/>
    </row>
    <row r="168" spans="1:29" ht="12.75" customHeight="1" x14ac:dyDescent="0.35">
      <c r="B168" s="323"/>
      <c r="C168" s="323"/>
      <c r="D168" s="324"/>
      <c r="E168" s="324"/>
      <c r="F168" s="324"/>
      <c r="G168" s="324"/>
      <c r="H168" s="323"/>
      <c r="I168" s="323"/>
      <c r="J168" s="323"/>
      <c r="K168" s="323"/>
      <c r="L168" s="323"/>
      <c r="M168" s="323"/>
      <c r="N168" s="323"/>
      <c r="O168" s="323"/>
      <c r="P168" s="323"/>
      <c r="Q168" s="323"/>
      <c r="R168" s="323"/>
      <c r="S168" s="323"/>
      <c r="T168" s="331"/>
      <c r="U168" s="323"/>
      <c r="V168" s="323"/>
      <c r="W168" s="331"/>
      <c r="X168" s="323"/>
      <c r="Y168" s="323"/>
      <c r="Z168" s="323"/>
      <c r="AA168" s="323"/>
      <c r="AB168" s="323"/>
      <c r="AC168" s="323"/>
    </row>
    <row r="169" spans="1:29" ht="12.75" customHeight="1" x14ac:dyDescent="0.35">
      <c r="B169" s="323"/>
      <c r="C169" s="323"/>
      <c r="D169" s="324"/>
      <c r="E169" s="324"/>
      <c r="F169" s="324"/>
      <c r="G169" s="324"/>
      <c r="H169" s="323"/>
      <c r="I169" s="323"/>
      <c r="J169" s="323"/>
      <c r="K169" s="323"/>
      <c r="L169" s="323"/>
      <c r="M169" s="323"/>
      <c r="N169" s="323"/>
      <c r="O169" s="323"/>
      <c r="P169" s="323"/>
      <c r="Q169" s="323"/>
      <c r="R169" s="323"/>
      <c r="S169" s="323"/>
      <c r="T169" s="331"/>
      <c r="U169" s="323"/>
      <c r="V169" s="323"/>
      <c r="W169" s="331"/>
      <c r="X169" s="323"/>
      <c r="Y169" s="323"/>
      <c r="Z169" s="323"/>
      <c r="AA169" s="323"/>
      <c r="AB169" s="323"/>
      <c r="AC169" s="323"/>
    </row>
    <row r="170" spans="1:29" ht="12.75" customHeight="1" x14ac:dyDescent="0.35">
      <c r="B170" s="323"/>
      <c r="C170" s="323"/>
      <c r="D170" s="324"/>
      <c r="E170" s="324"/>
      <c r="F170" s="324"/>
      <c r="G170" s="324"/>
      <c r="H170" s="323"/>
      <c r="I170" s="323"/>
      <c r="J170" s="323"/>
      <c r="K170" s="323"/>
      <c r="L170" s="323"/>
      <c r="M170" s="323"/>
      <c r="N170" s="323"/>
      <c r="O170" s="323"/>
      <c r="P170" s="323"/>
      <c r="Q170" s="323"/>
      <c r="R170" s="323"/>
      <c r="S170" s="323"/>
      <c r="T170" s="331"/>
      <c r="U170" s="323"/>
      <c r="V170" s="323"/>
      <c r="W170" s="331"/>
      <c r="X170" s="323"/>
      <c r="Y170" s="323"/>
      <c r="Z170" s="323"/>
      <c r="AA170" s="323"/>
      <c r="AB170" s="323"/>
      <c r="AC170" s="323"/>
    </row>
    <row r="171" spans="1:29" ht="12.75" customHeight="1" x14ac:dyDescent="0.35">
      <c r="B171" s="323"/>
      <c r="C171" s="323"/>
      <c r="D171" s="324"/>
      <c r="E171" s="324"/>
      <c r="F171" s="324"/>
      <c r="G171" s="324"/>
      <c r="H171" s="323"/>
      <c r="I171" s="323"/>
      <c r="J171" s="323"/>
      <c r="K171" s="323"/>
      <c r="L171" s="323"/>
      <c r="M171" s="323"/>
      <c r="N171" s="323"/>
      <c r="O171" s="323"/>
      <c r="P171" s="323"/>
      <c r="Q171" s="323"/>
      <c r="R171" s="323"/>
      <c r="S171" s="323"/>
      <c r="T171" s="331"/>
      <c r="U171" s="323"/>
      <c r="V171" s="323"/>
      <c r="W171" s="331"/>
      <c r="X171" s="323"/>
      <c r="Y171" s="323"/>
      <c r="Z171" s="323"/>
      <c r="AA171" s="323"/>
      <c r="AB171" s="323"/>
      <c r="AC171" s="323"/>
    </row>
    <row r="172" spans="1:29" ht="12.75" customHeight="1" x14ac:dyDescent="0.35">
      <c r="B172" s="323"/>
      <c r="C172" s="323"/>
      <c r="D172" s="324"/>
      <c r="E172" s="324"/>
      <c r="F172" s="324"/>
      <c r="G172" s="324"/>
      <c r="H172" s="323"/>
      <c r="I172" s="323"/>
      <c r="J172" s="323"/>
      <c r="K172" s="323"/>
      <c r="L172" s="323"/>
      <c r="M172" s="323"/>
      <c r="N172" s="323"/>
      <c r="O172" s="323"/>
      <c r="P172" s="323"/>
      <c r="Q172" s="323"/>
      <c r="R172" s="323"/>
      <c r="S172" s="323"/>
      <c r="T172" s="331"/>
      <c r="U172" s="323"/>
      <c r="V172" s="323"/>
      <c r="W172" s="331"/>
      <c r="X172" s="323"/>
      <c r="Y172" s="323"/>
      <c r="Z172" s="323"/>
      <c r="AA172" s="323"/>
      <c r="AB172" s="323"/>
      <c r="AC172" s="323"/>
    </row>
    <row r="173" spans="1:29" ht="12.75" customHeight="1" x14ac:dyDescent="0.35">
      <c r="B173" s="323"/>
      <c r="C173" s="323"/>
      <c r="D173" s="324">
        <v>200</v>
      </c>
      <c r="E173" s="371">
        <v>0.2</v>
      </c>
      <c r="F173" s="371"/>
      <c r="G173" s="371"/>
      <c r="H173" s="372">
        <f>SUM(D173-(D173*E173))</f>
        <v>160</v>
      </c>
      <c r="I173" s="372"/>
      <c r="J173" s="323"/>
      <c r="K173" s="323"/>
      <c r="L173" s="323"/>
      <c r="M173" s="323"/>
      <c r="N173" s="323"/>
      <c r="O173" s="323"/>
      <c r="P173" s="323"/>
      <c r="Q173" s="323"/>
      <c r="R173" s="323"/>
      <c r="S173" s="323"/>
      <c r="T173" s="331"/>
      <c r="U173" s="323"/>
      <c r="V173" s="323"/>
      <c r="W173" s="331"/>
      <c r="X173" s="323"/>
      <c r="Y173" s="323"/>
      <c r="Z173" s="323"/>
      <c r="AA173" s="323"/>
      <c r="AB173" s="323"/>
      <c r="AC173" s="323"/>
    </row>
    <row r="174" spans="1:29" ht="12.75" customHeight="1" x14ac:dyDescent="0.35">
      <c r="B174" s="323"/>
      <c r="C174" s="323"/>
      <c r="D174" s="324">
        <v>375</v>
      </c>
      <c r="E174" s="371">
        <v>0.2</v>
      </c>
      <c r="F174" s="371"/>
      <c r="G174" s="371"/>
      <c r="H174" s="372">
        <f>SUM(D174-(D174*E174))</f>
        <v>300</v>
      </c>
      <c r="I174" s="372"/>
      <c r="J174" s="323"/>
      <c r="K174" s="323"/>
      <c r="L174" s="323"/>
      <c r="M174" s="323"/>
      <c r="N174" s="323"/>
      <c r="O174" s="323"/>
      <c r="P174" s="323"/>
      <c r="Q174" s="323"/>
      <c r="R174" s="323"/>
      <c r="S174" s="323"/>
      <c r="T174" s="331"/>
      <c r="U174" s="323"/>
      <c r="V174" s="323"/>
      <c r="W174" s="331"/>
      <c r="X174" s="323"/>
      <c r="Y174" s="323"/>
      <c r="Z174" s="323"/>
      <c r="AA174" s="323"/>
      <c r="AB174" s="323"/>
      <c r="AC174" s="323"/>
    </row>
  </sheetData>
  <conditionalFormatting sqref="E9 E13 E15:E18 E22:E23 E25 E27:E28 E35:G41 E42 E43:G43 E45:E50 E51:G72 E73 E74:G75 E76:E143 E144:G164 G27:G34 G42 G45:G50 G76:G143">
    <cfRule type="cellIs" dxfId="26" priority="15" operator="greaterThan">
      <formula>0</formula>
    </cfRule>
  </conditionalFormatting>
  <conditionalFormatting sqref="E8">
    <cfRule type="cellIs" dxfId="25" priority="14" operator="greaterThan">
      <formula>0</formula>
    </cfRule>
  </conditionalFormatting>
  <conditionalFormatting sqref="E26">
    <cfRule type="cellIs" dxfId="24" priority="13" operator="greaterThan">
      <formula>0</formula>
    </cfRule>
  </conditionalFormatting>
  <conditionalFormatting sqref="E7">
    <cfRule type="cellIs" dxfId="23" priority="12" operator="greaterThan">
      <formula>0</formula>
    </cfRule>
  </conditionalFormatting>
  <conditionalFormatting sqref="E10">
    <cfRule type="cellIs" dxfId="22" priority="11" operator="greaterThan">
      <formula>0</formula>
    </cfRule>
  </conditionalFormatting>
  <conditionalFormatting sqref="E14">
    <cfRule type="cellIs" dxfId="21" priority="10" operator="greaterThan">
      <formula>0</formula>
    </cfRule>
  </conditionalFormatting>
  <conditionalFormatting sqref="E19">
    <cfRule type="cellIs" dxfId="20" priority="9" operator="greaterThan">
      <formula>0</formula>
    </cfRule>
  </conditionalFormatting>
  <conditionalFormatting sqref="I24">
    <cfRule type="cellIs" dxfId="19" priority="8" operator="greaterThan">
      <formula>0</formula>
    </cfRule>
  </conditionalFormatting>
  <conditionalFormatting sqref="E29:E34">
    <cfRule type="cellIs" dxfId="18" priority="7" operator="greaterThan">
      <formula>0</formula>
    </cfRule>
  </conditionalFormatting>
  <conditionalFormatting sqref="E44:G44">
    <cfRule type="cellIs" dxfId="17" priority="6" operator="greaterThan">
      <formula>0</formula>
    </cfRule>
  </conditionalFormatting>
  <conditionalFormatting sqref="F45:F48 F50">
    <cfRule type="cellIs" dxfId="16" priority="5" operator="greaterThan">
      <formula>0</formula>
    </cfRule>
  </conditionalFormatting>
  <conditionalFormatting sqref="F49">
    <cfRule type="cellIs" dxfId="15" priority="4" operator="greaterThan">
      <formula>0</formula>
    </cfRule>
  </conditionalFormatting>
  <conditionalFormatting sqref="F73:G73">
    <cfRule type="cellIs" dxfId="14" priority="2" operator="greaterThan">
      <formula>0</formula>
    </cfRule>
  </conditionalFormatting>
  <conditionalFormatting sqref="F76:F143">
    <cfRule type="cellIs" dxfId="13" priority="1" operator="greaterThan">
      <formula>0</formula>
    </cfRule>
  </conditionalFormatting>
  <hyperlinks>
    <hyperlink ref="P6" r:id="rId1" xr:uid="{00000000-0004-0000-1D00-000000000000}"/>
    <hyperlink ref="P7" r:id="rId2" xr:uid="{00000000-0004-0000-1D00-000001000000}"/>
    <hyperlink ref="P8" r:id="rId3" tooltip="mailto:jmcooke111@btinternet.com" display="mailto:jmcooke111@btinternet.com" xr:uid="{00000000-0004-0000-1D00-000002000000}"/>
    <hyperlink ref="P11" r:id="rId4" display="mailto:gjralph@tesco.net" xr:uid="{00000000-0004-0000-1D00-000003000000}"/>
    <hyperlink ref="P12" r:id="rId5" xr:uid="{00000000-0004-0000-1D00-000004000000}"/>
    <hyperlink ref="P15" r:id="rId6" xr:uid="{00000000-0004-0000-1D00-000005000000}"/>
    <hyperlink ref="P17" r:id="rId7" xr:uid="{00000000-0004-0000-1D00-000006000000}"/>
    <hyperlink ref="P18" r:id="rId8" xr:uid="{00000000-0004-0000-1D00-000007000000}"/>
    <hyperlink ref="P19" r:id="rId9" xr:uid="{00000000-0004-0000-1D00-000008000000}"/>
    <hyperlink ref="P23" r:id="rId10" xr:uid="{00000000-0004-0000-1D00-000009000000}"/>
    <hyperlink ref="P25" r:id="rId11" xr:uid="{00000000-0004-0000-1D00-00000A000000}"/>
    <hyperlink ref="P26" r:id="rId12" display="mailto:c.caborn@yahoo.co.uk" xr:uid="{00000000-0004-0000-1D00-00000B000000}"/>
    <hyperlink ref="P27" r:id="rId13" xr:uid="{00000000-0004-0000-1D00-00000C000000}"/>
    <hyperlink ref="P28" r:id="rId14" xr:uid="{00000000-0004-0000-1D00-00000D000000}"/>
    <hyperlink ref="P30" r:id="rId15" xr:uid="{00000000-0004-0000-1D00-00000E000000}"/>
    <hyperlink ref="P32" r:id="rId16" xr:uid="{00000000-0004-0000-1D00-00000F000000}"/>
    <hyperlink ref="P34" r:id="rId17" xr:uid="{00000000-0004-0000-1D00-000010000000}"/>
    <hyperlink ref="P36" r:id="rId18" xr:uid="{00000000-0004-0000-1D00-000011000000}"/>
    <hyperlink ref="P38" r:id="rId19" xr:uid="{00000000-0004-0000-1D00-000012000000}"/>
    <hyperlink ref="P42" r:id="rId20" xr:uid="{00000000-0004-0000-1D00-000013000000}"/>
    <hyperlink ref="P43" r:id="rId21" xr:uid="{00000000-0004-0000-1D00-000014000000}"/>
    <hyperlink ref="P44" r:id="rId22" xr:uid="{00000000-0004-0000-1D00-000015000000}"/>
    <hyperlink ref="P48" r:id="rId23" xr:uid="{00000000-0004-0000-1D00-000016000000}"/>
    <hyperlink ref="P49" r:id="rId24" xr:uid="{00000000-0004-0000-1D00-000017000000}"/>
    <hyperlink ref="P50" r:id="rId25" xr:uid="{00000000-0004-0000-1D00-000018000000}"/>
    <hyperlink ref="P52" r:id="rId26" xr:uid="{00000000-0004-0000-1D00-000019000000}"/>
    <hyperlink ref="P53" r:id="rId27" xr:uid="{00000000-0004-0000-1D00-00001A000000}"/>
    <hyperlink ref="P54" r:id="rId28" xr:uid="{00000000-0004-0000-1D00-00001B000000}"/>
    <hyperlink ref="P55" r:id="rId29" xr:uid="{00000000-0004-0000-1D00-00001C000000}"/>
    <hyperlink ref="P56" r:id="rId30" xr:uid="{00000000-0004-0000-1D00-00001D000000}"/>
    <hyperlink ref="P58" r:id="rId31" xr:uid="{00000000-0004-0000-1D00-00001E000000}"/>
    <hyperlink ref="P59" r:id="rId32" xr:uid="{00000000-0004-0000-1D00-00001F000000}"/>
    <hyperlink ref="P61" r:id="rId33" xr:uid="{00000000-0004-0000-1D00-000020000000}"/>
    <hyperlink ref="P63" r:id="rId34" display="mailto:funsizeclaire@hotmail.co.uk" xr:uid="{00000000-0004-0000-1D00-000021000000}"/>
    <hyperlink ref="P64" r:id="rId35" xr:uid="{00000000-0004-0000-1D00-000022000000}"/>
    <hyperlink ref="P68" r:id="rId36" xr:uid="{00000000-0004-0000-1D00-000023000000}"/>
    <hyperlink ref="P76" r:id="rId37" xr:uid="{00000000-0004-0000-1D00-000024000000}"/>
    <hyperlink ref="P82" r:id="rId38" xr:uid="{00000000-0004-0000-1D00-000025000000}"/>
    <hyperlink ref="P93" r:id="rId39" xr:uid="{00000000-0004-0000-1D00-000026000000}"/>
    <hyperlink ref="P98" r:id="rId40" xr:uid="{00000000-0004-0000-1D00-000027000000}"/>
    <hyperlink ref="P102" r:id="rId41" xr:uid="{00000000-0004-0000-1D00-000028000000}"/>
    <hyperlink ref="P105" r:id="rId42" xr:uid="{00000000-0004-0000-1D00-000029000000}"/>
    <hyperlink ref="P109" r:id="rId43" xr:uid="{00000000-0004-0000-1D00-00002A000000}"/>
    <hyperlink ref="P124" r:id="rId44" display="mailto:quentmelhuish@gmail.com" xr:uid="{00000000-0004-0000-1D00-00002B000000}"/>
    <hyperlink ref="P125" r:id="rId45" xr:uid="{00000000-0004-0000-1D00-00002C000000}"/>
    <hyperlink ref="P133" r:id="rId46" xr:uid="{00000000-0004-0000-1D00-00002D000000}"/>
    <hyperlink ref="P154" r:id="rId47" xr:uid="{00000000-0004-0000-1D00-00002E000000}"/>
    <hyperlink ref="P159" r:id="rId48" xr:uid="{00000000-0004-0000-1D00-00002F000000}"/>
  </hyperlinks>
  <pageMargins left="0.25" right="0.25" top="0.75" bottom="0.75" header="0.3" footer="0.3"/>
  <pageSetup paperSize="9" scale="31" fitToHeight="0" orientation="landscape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>
    <tabColor rgb="FFFFC000"/>
    <pageSetUpPr fitToPage="1"/>
  </sheetPr>
  <dimension ref="A1:V156"/>
  <sheetViews>
    <sheetView workbookViewId="0">
      <pane ySplit="1" topLeftCell="A79" activePane="bottomLeft" state="frozen"/>
      <selection activeCell="V27" sqref="V27"/>
      <selection pane="bottomLeft" activeCell="C120" sqref="C120"/>
    </sheetView>
  </sheetViews>
  <sheetFormatPr defaultColWidth="9.1328125" defaultRowHeight="14.65" x14ac:dyDescent="0.35"/>
  <cols>
    <col min="1" max="1" width="22.59765625" style="484" customWidth="1"/>
    <col min="2" max="2" width="15.6640625" style="484" bestFit="1" customWidth="1"/>
    <col min="3" max="3" width="18.46484375" style="484" customWidth="1"/>
    <col min="4" max="4" width="29.86328125" style="484" customWidth="1"/>
    <col min="5" max="5" width="19.46484375" style="484" customWidth="1"/>
    <col min="6" max="6" width="11.19921875" style="484" customWidth="1"/>
    <col min="7" max="7" width="11.46484375" style="84" customWidth="1"/>
    <col min="8" max="8" width="11.1328125" style="484" customWidth="1"/>
    <col min="9" max="9" width="12.19921875" style="484" customWidth="1"/>
    <col min="10" max="10" width="24" style="484" bestFit="1" customWidth="1"/>
    <col min="11" max="11" width="6.86328125" style="484" bestFit="1" customWidth="1"/>
    <col min="12" max="12" width="13.19921875" style="507" bestFit="1" customWidth="1"/>
    <col min="13" max="13" width="16.6640625" style="484" customWidth="1"/>
    <col min="14" max="14" width="35" style="505" customWidth="1"/>
    <col min="15" max="15" width="3.86328125" style="484" customWidth="1"/>
    <col min="16" max="16" width="14.53125" style="484" customWidth="1"/>
    <col min="17" max="17" width="11" style="484" bestFit="1" customWidth="1"/>
    <col min="18" max="18" width="27.46484375" style="484" bestFit="1" customWidth="1"/>
    <col min="19" max="19" width="17.53125" style="516" customWidth="1"/>
    <col min="20" max="20" width="9.1328125" style="484" customWidth="1"/>
    <col min="21" max="16384" width="9.1328125" style="484"/>
  </cols>
  <sheetData>
    <row r="1" spans="1:22" ht="43.9" customHeight="1" x14ac:dyDescent="0.35">
      <c r="A1" s="237" t="s">
        <v>6217</v>
      </c>
      <c r="B1" s="237" t="s">
        <v>6218</v>
      </c>
      <c r="C1" s="485" t="s">
        <v>4504</v>
      </c>
      <c r="D1" s="237" t="s">
        <v>75</v>
      </c>
      <c r="E1" s="237" t="s">
        <v>4344</v>
      </c>
      <c r="F1" s="237" t="s">
        <v>4934</v>
      </c>
      <c r="G1" s="236" t="s">
        <v>129</v>
      </c>
      <c r="H1" s="236" t="s">
        <v>3880</v>
      </c>
      <c r="I1" s="487" t="s">
        <v>191</v>
      </c>
      <c r="J1" s="107" t="s">
        <v>6219</v>
      </c>
      <c r="K1" s="489" t="s">
        <v>4938</v>
      </c>
      <c r="L1" s="490" t="s">
        <v>4939</v>
      </c>
      <c r="M1" s="487" t="s">
        <v>4940</v>
      </c>
      <c r="N1" s="488" t="s">
        <v>4502</v>
      </c>
      <c r="O1" s="489" t="s">
        <v>4941</v>
      </c>
      <c r="P1" s="489" t="s">
        <v>4942</v>
      </c>
      <c r="Q1" s="489" t="s">
        <v>4943</v>
      </c>
      <c r="R1" s="489" t="s">
        <v>4944</v>
      </c>
      <c r="S1" s="488" t="s">
        <v>4945</v>
      </c>
    </row>
    <row r="2" spans="1:22" x14ac:dyDescent="0.35">
      <c r="A2" s="494"/>
      <c r="B2" s="494"/>
      <c r="C2" s="494"/>
      <c r="D2" s="494"/>
      <c r="E2" s="494"/>
      <c r="F2" s="494"/>
      <c r="G2" s="231"/>
      <c r="H2" s="495"/>
      <c r="I2" s="100" t="s">
        <v>174</v>
      </c>
      <c r="J2" s="496"/>
      <c r="K2" s="498" t="s">
        <v>120</v>
      </c>
      <c r="L2" s="499"/>
      <c r="M2" s="499"/>
      <c r="N2" s="497"/>
      <c r="O2" s="500"/>
      <c r="P2" s="496"/>
      <c r="Q2" s="496"/>
      <c r="R2" s="496"/>
      <c r="S2" s="497"/>
    </row>
    <row r="3" spans="1:22" x14ac:dyDescent="0.35">
      <c r="A3" s="724"/>
      <c r="B3" s="725">
        <v>45731</v>
      </c>
      <c r="C3" s="725">
        <v>45823</v>
      </c>
      <c r="D3" s="746" t="s">
        <v>677</v>
      </c>
      <c r="E3" s="96" t="s">
        <v>6220</v>
      </c>
      <c r="F3" s="900"/>
      <c r="G3" s="901"/>
      <c r="H3" s="96">
        <v>150</v>
      </c>
      <c r="I3" s="96" t="s">
        <v>126</v>
      </c>
      <c r="J3" s="96" t="s">
        <v>6221</v>
      </c>
      <c r="K3" s="86"/>
      <c r="L3" s="4" t="s">
        <v>956</v>
      </c>
      <c r="M3" s="4"/>
      <c r="N3" s="549" t="s">
        <v>6222</v>
      </c>
      <c r="O3" s="551"/>
      <c r="P3" s="146"/>
      <c r="S3" s="87"/>
    </row>
    <row r="4" spans="1:22" x14ac:dyDescent="0.35">
      <c r="B4" s="725">
        <v>45746</v>
      </c>
      <c r="C4" s="725">
        <v>45746</v>
      </c>
      <c r="D4" s="746" t="s">
        <v>677</v>
      </c>
      <c r="E4" s="96" t="s">
        <v>6220</v>
      </c>
      <c r="F4" s="900"/>
      <c r="G4" s="901">
        <v>150</v>
      </c>
      <c r="H4" s="96">
        <v>0</v>
      </c>
      <c r="I4" s="96" t="s">
        <v>174</v>
      </c>
      <c r="J4" s="96" t="s">
        <v>6223</v>
      </c>
      <c r="K4" s="86"/>
      <c r="L4" s="4" t="s">
        <v>922</v>
      </c>
      <c r="M4" s="4"/>
      <c r="N4" s="549" t="s">
        <v>6224</v>
      </c>
      <c r="O4" s="551" t="s">
        <v>5008</v>
      </c>
      <c r="P4" s="146" t="s">
        <v>6225</v>
      </c>
    </row>
    <row r="5" spans="1:22" ht="15.95" customHeight="1" x14ac:dyDescent="0.35">
      <c r="A5" s="1022"/>
      <c r="B5" s="1022"/>
      <c r="C5" s="1022"/>
      <c r="D5" s="1023"/>
      <c r="E5" s="961"/>
      <c r="F5" s="1024"/>
      <c r="G5" s="1025"/>
      <c r="H5" s="961"/>
      <c r="I5" s="961"/>
      <c r="J5" s="961"/>
      <c r="K5" s="875"/>
      <c r="L5" s="876"/>
      <c r="M5" s="876"/>
      <c r="N5" s="964"/>
      <c r="O5" s="722"/>
      <c r="P5" s="877"/>
      <c r="Q5" s="713"/>
      <c r="R5" s="713"/>
      <c r="S5" s="874"/>
      <c r="T5" s="713"/>
      <c r="U5" s="713"/>
      <c r="V5" s="713"/>
    </row>
    <row r="6" spans="1:22" ht="15.95" customHeight="1" x14ac:dyDescent="0.35">
      <c r="A6" s="725"/>
      <c r="B6" s="725"/>
      <c r="C6" s="725"/>
      <c r="D6" s="746"/>
      <c r="E6" s="96"/>
      <c r="F6" s="900"/>
      <c r="G6" s="901"/>
      <c r="H6" s="96"/>
      <c r="I6" s="96"/>
      <c r="J6" s="96"/>
      <c r="K6" s="86"/>
      <c r="L6" s="4"/>
      <c r="M6" s="4"/>
      <c r="N6" s="545"/>
      <c r="O6" s="551"/>
      <c r="P6" s="146"/>
      <c r="S6" s="87"/>
    </row>
    <row r="7" spans="1:22" ht="15.95" customHeight="1" x14ac:dyDescent="0.35">
      <c r="A7" s="725"/>
      <c r="B7" s="725">
        <v>45712</v>
      </c>
      <c r="C7" s="725">
        <v>45726</v>
      </c>
      <c r="D7" s="1110" t="s">
        <v>6226</v>
      </c>
      <c r="E7" s="96" t="s">
        <v>4376</v>
      </c>
      <c r="F7" s="900" t="s">
        <v>6227</v>
      </c>
      <c r="G7" s="96">
        <v>150</v>
      </c>
      <c r="H7" s="96"/>
      <c r="I7" s="96" t="s">
        <v>126</v>
      </c>
      <c r="J7" s="96" t="s">
        <v>6228</v>
      </c>
      <c r="K7" s="86" t="s">
        <v>4664</v>
      </c>
      <c r="L7" s="4" t="s">
        <v>4039</v>
      </c>
      <c r="M7" s="4" t="s">
        <v>6229</v>
      </c>
      <c r="N7" s="545" t="s">
        <v>6230</v>
      </c>
      <c r="O7" s="551"/>
      <c r="P7" s="146"/>
      <c r="S7" s="87"/>
    </row>
    <row r="8" spans="1:22" ht="15.95" customHeight="1" x14ac:dyDescent="0.35">
      <c r="A8" s="725"/>
      <c r="B8" s="725">
        <v>45712</v>
      </c>
      <c r="C8" s="725">
        <v>45726</v>
      </c>
      <c r="D8" s="1110" t="s">
        <v>6226</v>
      </c>
      <c r="E8" s="96" t="s">
        <v>4376</v>
      </c>
      <c r="F8" s="900" t="s">
        <v>6227</v>
      </c>
      <c r="G8" s="96">
        <v>150</v>
      </c>
      <c r="H8" s="96"/>
      <c r="I8" s="96" t="s">
        <v>126</v>
      </c>
      <c r="J8" s="96" t="s">
        <v>6231</v>
      </c>
      <c r="K8" s="86" t="s">
        <v>4664</v>
      </c>
      <c r="L8" s="4" t="s">
        <v>6232</v>
      </c>
      <c r="M8" s="4" t="s">
        <v>5353</v>
      </c>
      <c r="N8" s="545" t="s">
        <v>6233</v>
      </c>
      <c r="O8" s="551"/>
      <c r="P8" s="146"/>
      <c r="S8" s="87"/>
    </row>
    <row r="9" spans="1:22" ht="15.95" customHeight="1" x14ac:dyDescent="0.35">
      <c r="A9" s="725"/>
      <c r="B9" s="724">
        <v>45712</v>
      </c>
      <c r="C9" s="724">
        <v>45726</v>
      </c>
      <c r="D9" s="1098" t="s">
        <v>6226</v>
      </c>
      <c r="E9" s="607" t="s">
        <v>4376</v>
      </c>
      <c r="F9" s="1099" t="s">
        <v>6227</v>
      </c>
      <c r="G9" s="607">
        <v>150</v>
      </c>
      <c r="H9" s="607"/>
      <c r="I9" s="607" t="s">
        <v>126</v>
      </c>
      <c r="J9" s="607" t="s">
        <v>6234</v>
      </c>
      <c r="K9" s="872" t="s">
        <v>4955</v>
      </c>
      <c r="L9" s="609" t="s">
        <v>6235</v>
      </c>
      <c r="M9" s="609" t="s">
        <v>6236</v>
      </c>
      <c r="N9" s="1100" t="s">
        <v>6237</v>
      </c>
      <c r="O9" s="551"/>
      <c r="P9" s="1101" t="s">
        <v>6238</v>
      </c>
      <c r="S9" s="87"/>
    </row>
    <row r="10" spans="1:22" ht="15.95" customHeight="1" x14ac:dyDescent="0.35">
      <c r="A10" s="725"/>
      <c r="B10" s="725">
        <v>45712</v>
      </c>
      <c r="C10" s="725">
        <v>45726</v>
      </c>
      <c r="D10" s="1110" t="s">
        <v>6226</v>
      </c>
      <c r="E10" s="96" t="s">
        <v>4376</v>
      </c>
      <c r="F10" s="900" t="s">
        <v>6227</v>
      </c>
      <c r="G10" s="96">
        <v>150</v>
      </c>
      <c r="H10" s="96"/>
      <c r="I10" s="96" t="s">
        <v>126</v>
      </c>
      <c r="J10" s="96" t="s">
        <v>6239</v>
      </c>
      <c r="K10" s="86" t="s">
        <v>4955</v>
      </c>
      <c r="L10" s="4" t="s">
        <v>6240</v>
      </c>
      <c r="M10" s="4" t="s">
        <v>6241</v>
      </c>
      <c r="N10" s="545" t="s">
        <v>6242</v>
      </c>
      <c r="O10" s="551"/>
      <c r="P10" s="146" t="s">
        <v>6243</v>
      </c>
      <c r="S10" s="87"/>
    </row>
    <row r="11" spans="1:22" ht="15.95" customHeight="1" x14ac:dyDescent="0.35">
      <c r="A11" s="725"/>
      <c r="B11" s="725"/>
      <c r="C11" s="725"/>
      <c r="D11" s="746"/>
      <c r="E11" s="96"/>
      <c r="F11" s="900"/>
      <c r="G11" s="901"/>
      <c r="H11" s="96"/>
      <c r="I11" s="96"/>
      <c r="J11" s="96"/>
      <c r="K11" s="86"/>
      <c r="L11" s="4"/>
      <c r="M11" s="4"/>
      <c r="N11" s="545"/>
      <c r="O11" s="551"/>
      <c r="P11" s="146"/>
      <c r="S11" s="87"/>
    </row>
    <row r="12" spans="1:22" ht="15.95" customHeight="1" x14ac:dyDescent="0.35">
      <c r="A12" s="725"/>
      <c r="B12" s="725">
        <v>45742</v>
      </c>
      <c r="C12" s="725">
        <v>45756</v>
      </c>
      <c r="D12" s="1110" t="s">
        <v>6226</v>
      </c>
      <c r="E12" s="96" t="s">
        <v>4376</v>
      </c>
      <c r="F12" s="900" t="s">
        <v>6227</v>
      </c>
      <c r="G12" s="901">
        <v>0</v>
      </c>
      <c r="H12" s="96">
        <v>150</v>
      </c>
      <c r="I12" s="96" t="s">
        <v>126</v>
      </c>
      <c r="J12" s="484" t="s">
        <v>6244</v>
      </c>
      <c r="L12" s="507" t="s">
        <v>950</v>
      </c>
      <c r="M12" s="507"/>
      <c r="N12" s="1104" t="s">
        <v>6245</v>
      </c>
      <c r="O12" s="551"/>
      <c r="P12" s="146" t="s">
        <v>6246</v>
      </c>
      <c r="S12" s="87"/>
    </row>
    <row r="13" spans="1:22" ht="15.95" customHeight="1" x14ac:dyDescent="0.35">
      <c r="A13" s="725"/>
      <c r="B13" s="725">
        <v>45742</v>
      </c>
      <c r="C13" s="725">
        <v>45756</v>
      </c>
      <c r="D13" s="1110" t="s">
        <v>6226</v>
      </c>
      <c r="E13" s="96" t="s">
        <v>4376</v>
      </c>
      <c r="F13" s="900" t="s">
        <v>6227</v>
      </c>
      <c r="G13" s="901">
        <v>0</v>
      </c>
      <c r="H13" s="96">
        <v>150</v>
      </c>
      <c r="I13" s="96" t="s">
        <v>126</v>
      </c>
      <c r="J13" s="96" t="s">
        <v>6247</v>
      </c>
      <c r="K13" s="86"/>
      <c r="L13" s="507" t="s">
        <v>949</v>
      </c>
      <c r="M13" s="507"/>
      <c r="N13" s="545" t="s">
        <v>6248</v>
      </c>
      <c r="O13" s="551"/>
      <c r="P13" s="146" t="s">
        <v>6249</v>
      </c>
      <c r="S13" s="87"/>
    </row>
    <row r="14" spans="1:22" ht="15.95" customHeight="1" x14ac:dyDescent="0.35">
      <c r="A14" s="725"/>
      <c r="B14" s="725">
        <v>45742</v>
      </c>
      <c r="C14" s="725">
        <v>45756</v>
      </c>
      <c r="D14" s="1110" t="s">
        <v>6226</v>
      </c>
      <c r="E14" s="96" t="s">
        <v>4376</v>
      </c>
      <c r="F14" s="900" t="s">
        <v>6227</v>
      </c>
      <c r="G14" s="901">
        <v>0</v>
      </c>
      <c r="H14" s="96">
        <v>150</v>
      </c>
      <c r="I14" s="96" t="s">
        <v>126</v>
      </c>
      <c r="J14" s="96" t="s">
        <v>6250</v>
      </c>
      <c r="K14" s="86"/>
      <c r="L14" s="507" t="s">
        <v>948</v>
      </c>
      <c r="M14" s="507"/>
      <c r="N14" s="545" t="s">
        <v>6251</v>
      </c>
      <c r="O14" s="551"/>
      <c r="P14" s="146"/>
      <c r="S14" s="87"/>
    </row>
    <row r="15" spans="1:22" ht="15.95" customHeight="1" x14ac:dyDescent="0.35">
      <c r="A15" s="725"/>
      <c r="B15" s="725"/>
      <c r="C15" s="725"/>
      <c r="D15" s="746"/>
      <c r="E15" s="96"/>
      <c r="F15" s="900"/>
      <c r="G15" s="901"/>
      <c r="H15" s="96"/>
      <c r="I15" s="96"/>
      <c r="J15" s="96"/>
      <c r="K15" s="86"/>
      <c r="M15" s="507"/>
      <c r="N15" s="545"/>
      <c r="O15" s="551"/>
      <c r="P15" s="146"/>
      <c r="S15" s="87"/>
    </row>
    <row r="16" spans="1:22" ht="15.95" customHeight="1" x14ac:dyDescent="0.35">
      <c r="A16" s="725"/>
      <c r="B16" s="725"/>
      <c r="C16" s="725"/>
      <c r="D16" s="746"/>
      <c r="E16" s="96"/>
      <c r="F16" s="900"/>
      <c r="G16" s="901"/>
      <c r="H16" s="96"/>
      <c r="I16" s="96"/>
      <c r="J16" s="96"/>
      <c r="K16" s="86"/>
      <c r="M16" s="507"/>
      <c r="N16" s="545"/>
      <c r="O16" s="551"/>
      <c r="P16" s="146"/>
      <c r="S16" s="87"/>
    </row>
    <row r="17" spans="1:19" ht="15.95" customHeight="1" x14ac:dyDescent="0.35">
      <c r="A17" s="725"/>
      <c r="B17" s="725">
        <v>45763</v>
      </c>
      <c r="C17" s="725">
        <v>45791</v>
      </c>
      <c r="D17" s="1110" t="s">
        <v>6252</v>
      </c>
      <c r="E17" s="96" t="s">
        <v>4376</v>
      </c>
      <c r="F17" s="900" t="s">
        <v>6253</v>
      </c>
      <c r="G17" s="901">
        <v>250</v>
      </c>
      <c r="H17" s="96"/>
      <c r="I17" s="96" t="s">
        <v>174</v>
      </c>
      <c r="J17" s="96" t="s">
        <v>6254</v>
      </c>
      <c r="K17" s="86" t="s">
        <v>4664</v>
      </c>
      <c r="L17" s="4" t="s">
        <v>6232</v>
      </c>
      <c r="M17" s="507" t="s">
        <v>6255</v>
      </c>
      <c r="N17" s="545" t="s">
        <v>6256</v>
      </c>
      <c r="O17" s="551" t="s">
        <v>4879</v>
      </c>
      <c r="P17" s="146" t="s">
        <v>6257</v>
      </c>
      <c r="Q17" s="484" t="s">
        <v>6258</v>
      </c>
      <c r="R17" s="484" t="s">
        <v>6259</v>
      </c>
      <c r="S17" s="87" t="s">
        <v>4376</v>
      </c>
    </row>
    <row r="18" spans="1:19" ht="15.95" customHeight="1" x14ac:dyDescent="0.35">
      <c r="A18" s="725"/>
      <c r="B18" s="725">
        <v>45763</v>
      </c>
      <c r="C18" s="725">
        <v>45777</v>
      </c>
      <c r="D18" s="1110" t="s">
        <v>6226</v>
      </c>
      <c r="E18" s="96" t="s">
        <v>4376</v>
      </c>
      <c r="F18" s="900" t="s">
        <v>6227</v>
      </c>
      <c r="G18" s="901">
        <v>0</v>
      </c>
      <c r="H18" s="96">
        <v>150</v>
      </c>
      <c r="I18" s="96" t="s">
        <v>126</v>
      </c>
      <c r="J18" s="96" t="s">
        <v>6260</v>
      </c>
      <c r="K18" s="86"/>
      <c r="L18" s="507" t="s">
        <v>6261</v>
      </c>
      <c r="M18" s="507" t="s">
        <v>6262</v>
      </c>
      <c r="N18" s="545" t="s">
        <v>6263</v>
      </c>
      <c r="O18" s="551"/>
      <c r="P18" s="146"/>
      <c r="S18" s="87"/>
    </row>
    <row r="19" spans="1:19" ht="15.95" customHeight="1" x14ac:dyDescent="0.35">
      <c r="A19" s="725"/>
      <c r="B19" s="725">
        <v>45763</v>
      </c>
      <c r="C19" s="725">
        <v>45777</v>
      </c>
      <c r="D19" s="1110" t="s">
        <v>6226</v>
      </c>
      <c r="E19" s="96" t="s">
        <v>4376</v>
      </c>
      <c r="F19" s="900" t="s">
        <v>6227</v>
      </c>
      <c r="G19" s="901">
        <v>0</v>
      </c>
      <c r="H19" s="96">
        <v>150</v>
      </c>
      <c r="I19" s="96" t="s">
        <v>126</v>
      </c>
      <c r="J19" s="96" t="s">
        <v>6264</v>
      </c>
      <c r="K19" s="86"/>
      <c r="L19" s="507" t="s">
        <v>6265</v>
      </c>
      <c r="M19" s="507" t="s">
        <v>6266</v>
      </c>
      <c r="N19" s="545" t="s">
        <v>6267</v>
      </c>
      <c r="O19" s="551"/>
      <c r="P19" s="146"/>
      <c r="S19" s="87"/>
    </row>
    <row r="20" spans="1:19" ht="15.95" customHeight="1" x14ac:dyDescent="0.35">
      <c r="A20" s="725"/>
      <c r="B20" s="725">
        <v>45763</v>
      </c>
      <c r="C20" s="725">
        <v>45777</v>
      </c>
      <c r="D20" s="1110" t="s">
        <v>6226</v>
      </c>
      <c r="E20" s="96" t="s">
        <v>4376</v>
      </c>
      <c r="F20" s="900" t="s">
        <v>6227</v>
      </c>
      <c r="G20" s="901">
        <v>0</v>
      </c>
      <c r="H20" s="96">
        <v>150</v>
      </c>
      <c r="I20" s="96" t="s">
        <v>126</v>
      </c>
      <c r="J20" s="96" t="s">
        <v>6268</v>
      </c>
      <c r="K20" s="86"/>
      <c r="L20" s="507" t="s">
        <v>933</v>
      </c>
      <c r="M20" s="507"/>
      <c r="N20" s="545" t="s">
        <v>6269</v>
      </c>
      <c r="O20" s="551"/>
      <c r="P20" s="146" t="s">
        <v>6270</v>
      </c>
      <c r="S20" s="87"/>
    </row>
    <row r="21" spans="1:19" ht="15.95" customHeight="1" x14ac:dyDescent="0.35">
      <c r="A21" s="725"/>
      <c r="B21" s="725"/>
      <c r="C21" s="725"/>
      <c r="D21" s="746"/>
      <c r="E21" s="96"/>
      <c r="F21" s="900"/>
      <c r="G21" s="901"/>
      <c r="H21" s="96"/>
      <c r="I21" s="96"/>
      <c r="J21" s="96"/>
      <c r="K21" s="86"/>
      <c r="M21" s="507"/>
      <c r="N21" s="545"/>
      <c r="O21" s="551"/>
      <c r="P21" s="146"/>
      <c r="S21" s="87"/>
    </row>
    <row r="22" spans="1:19" ht="15.95" customHeight="1" x14ac:dyDescent="0.35">
      <c r="A22" s="725"/>
      <c r="B22" s="1108">
        <v>45776</v>
      </c>
      <c r="C22" s="1108">
        <v>45790</v>
      </c>
      <c r="D22" s="1109" t="s">
        <v>6271</v>
      </c>
      <c r="E22" s="96" t="s">
        <v>4376</v>
      </c>
      <c r="F22" s="900" t="s">
        <v>6227</v>
      </c>
      <c r="G22" s="901">
        <v>0</v>
      </c>
      <c r="H22" s="96">
        <v>150</v>
      </c>
      <c r="I22" s="96" t="s">
        <v>126</v>
      </c>
      <c r="J22" s="96" t="s">
        <v>6272</v>
      </c>
      <c r="K22" s="86"/>
      <c r="L22" s="507" t="s">
        <v>882</v>
      </c>
      <c r="M22" s="507"/>
      <c r="N22" s="545" t="s">
        <v>6273</v>
      </c>
      <c r="O22" s="551"/>
      <c r="P22" s="146" t="s">
        <v>6274</v>
      </c>
      <c r="S22" s="87"/>
    </row>
    <row r="23" spans="1:19" ht="15.95" customHeight="1" x14ac:dyDescent="0.35">
      <c r="A23" s="725"/>
      <c r="B23" s="1108">
        <v>45776</v>
      </c>
      <c r="C23" s="1108">
        <v>45790</v>
      </c>
      <c r="D23" s="1109" t="s">
        <v>6271</v>
      </c>
      <c r="E23" s="96" t="s">
        <v>4376</v>
      </c>
      <c r="F23" s="900" t="s">
        <v>6227</v>
      </c>
      <c r="G23" s="901">
        <v>0</v>
      </c>
      <c r="H23" s="96">
        <v>150</v>
      </c>
      <c r="I23" s="96" t="s">
        <v>126</v>
      </c>
      <c r="J23" s="96" t="s">
        <v>6275</v>
      </c>
      <c r="K23" s="86"/>
      <c r="L23" s="507" t="s">
        <v>881</v>
      </c>
      <c r="M23" s="507"/>
      <c r="N23" s="545" t="s">
        <v>6276</v>
      </c>
      <c r="O23" s="551"/>
      <c r="P23" s="146" t="s">
        <v>6277</v>
      </c>
      <c r="R23" s="287" t="s">
        <v>6278</v>
      </c>
      <c r="S23" s="87"/>
    </row>
    <row r="24" spans="1:19" ht="15.95" customHeight="1" x14ac:dyDescent="0.35">
      <c r="A24" s="725"/>
      <c r="B24" s="1108">
        <v>45776</v>
      </c>
      <c r="C24" s="1108">
        <v>45790</v>
      </c>
      <c r="D24" s="1109" t="s">
        <v>6271</v>
      </c>
      <c r="E24" s="96" t="s">
        <v>4376</v>
      </c>
      <c r="F24" s="900" t="s">
        <v>6227</v>
      </c>
      <c r="G24" s="901">
        <v>0</v>
      </c>
      <c r="H24" s="96">
        <v>150</v>
      </c>
      <c r="I24" s="96" t="s">
        <v>126</v>
      </c>
      <c r="J24" s="96" t="s">
        <v>6279</v>
      </c>
      <c r="K24" s="86"/>
      <c r="L24" s="507" t="s">
        <v>883</v>
      </c>
      <c r="M24" s="507"/>
      <c r="N24" s="545" t="s">
        <v>6280</v>
      </c>
      <c r="O24" s="551"/>
      <c r="P24" s="146"/>
      <c r="R24" s="287"/>
      <c r="S24" s="87"/>
    </row>
    <row r="25" spans="1:19" ht="15.95" customHeight="1" x14ac:dyDescent="0.35">
      <c r="A25" s="725"/>
      <c r="K25" s="86"/>
      <c r="M25" s="507"/>
      <c r="O25" s="551"/>
      <c r="P25" s="146"/>
      <c r="R25" s="287"/>
      <c r="S25" s="87"/>
    </row>
    <row r="26" spans="1:19" ht="15.95" customHeight="1" x14ac:dyDescent="0.35">
      <c r="A26" s="725"/>
      <c r="B26" s="1108"/>
      <c r="C26" s="1108"/>
      <c r="D26" s="1109"/>
      <c r="E26" s="96"/>
      <c r="F26" s="900"/>
      <c r="G26" s="901"/>
      <c r="H26" s="96"/>
      <c r="I26" s="96"/>
      <c r="K26" s="86"/>
      <c r="M26" s="507"/>
      <c r="O26" s="551"/>
      <c r="P26" s="146"/>
      <c r="R26" s="287"/>
      <c r="S26" s="87"/>
    </row>
    <row r="27" spans="1:19" ht="15.95" customHeight="1" x14ac:dyDescent="0.35">
      <c r="A27" s="725"/>
      <c r="B27" s="1108">
        <v>45798</v>
      </c>
      <c r="C27" s="1108">
        <f>B27+14</f>
        <v>45812</v>
      </c>
      <c r="D27" s="1109" t="s">
        <v>6271</v>
      </c>
      <c r="E27" s="96" t="s">
        <v>4376</v>
      </c>
      <c r="F27" s="900" t="s">
        <v>6227</v>
      </c>
      <c r="G27" s="901">
        <v>0</v>
      </c>
      <c r="H27" s="484">
        <v>150</v>
      </c>
      <c r="I27" s="84" t="s">
        <v>126</v>
      </c>
      <c r="J27" s="484" t="s">
        <v>6281</v>
      </c>
      <c r="K27" s="86"/>
      <c r="L27" s="4" t="s">
        <v>845</v>
      </c>
      <c r="M27" s="507"/>
      <c r="N27" s="1104" t="s">
        <v>6242</v>
      </c>
      <c r="O27" s="551"/>
      <c r="P27" s="146" t="s">
        <v>6243</v>
      </c>
      <c r="R27" s="287"/>
      <c r="S27" s="87"/>
    </row>
    <row r="28" spans="1:19" ht="15.95" customHeight="1" x14ac:dyDescent="0.35">
      <c r="A28" s="725"/>
      <c r="B28" s="1108">
        <v>45798</v>
      </c>
      <c r="C28" s="1108">
        <f>B28+14</f>
        <v>45812</v>
      </c>
      <c r="D28" s="1109" t="s">
        <v>6271</v>
      </c>
      <c r="E28" s="96" t="s">
        <v>4376</v>
      </c>
      <c r="F28" s="900" t="s">
        <v>6227</v>
      </c>
      <c r="G28" s="901">
        <v>0</v>
      </c>
      <c r="H28" s="484">
        <v>150</v>
      </c>
      <c r="I28" s="84" t="s">
        <v>126</v>
      </c>
      <c r="J28" s="484" t="s">
        <v>6282</v>
      </c>
      <c r="K28" s="86"/>
      <c r="L28" s="507" t="s">
        <v>844</v>
      </c>
      <c r="M28" s="507"/>
      <c r="N28" s="1104" t="s">
        <v>6283</v>
      </c>
      <c r="O28" s="551"/>
      <c r="P28" s="146" t="s">
        <v>6284</v>
      </c>
      <c r="R28" s="287"/>
      <c r="S28" s="87"/>
    </row>
    <row r="29" spans="1:19" ht="15.95" customHeight="1" x14ac:dyDescent="0.35">
      <c r="A29" s="725"/>
      <c r="K29" s="86"/>
      <c r="M29" s="507"/>
      <c r="O29" s="551"/>
      <c r="P29" s="146"/>
      <c r="R29" s="287"/>
      <c r="S29" s="87"/>
    </row>
    <row r="30" spans="1:19" ht="15.95" customHeight="1" x14ac:dyDescent="0.35">
      <c r="A30" s="725"/>
      <c r="B30" s="725"/>
      <c r="C30" s="725"/>
      <c r="D30" s="746"/>
      <c r="E30" s="96"/>
      <c r="F30" s="900"/>
      <c r="G30" s="901"/>
      <c r="H30" s="96"/>
      <c r="I30" s="96"/>
      <c r="J30" s="96"/>
      <c r="K30" s="86"/>
      <c r="M30" s="507"/>
      <c r="N30" s="545"/>
      <c r="O30" s="551"/>
      <c r="P30" s="146"/>
      <c r="S30" s="87"/>
    </row>
    <row r="31" spans="1:19" ht="15.95" customHeight="1" x14ac:dyDescent="0.35">
      <c r="A31" s="725"/>
      <c r="B31" s="725">
        <v>45804</v>
      </c>
      <c r="C31" s="725">
        <v>45818</v>
      </c>
      <c r="D31" s="1110" t="s">
        <v>6226</v>
      </c>
      <c r="E31" s="96" t="s">
        <v>4376</v>
      </c>
      <c r="F31" s="900" t="s">
        <v>6227</v>
      </c>
      <c r="G31" s="901">
        <v>0</v>
      </c>
      <c r="H31" s="96">
        <v>150</v>
      </c>
      <c r="I31" s="96" t="s">
        <v>126</v>
      </c>
      <c r="J31" s="96" t="s">
        <v>6285</v>
      </c>
      <c r="K31" s="86"/>
      <c r="L31" s="507" t="s">
        <v>6286</v>
      </c>
      <c r="M31" s="507" t="s">
        <v>5587</v>
      </c>
      <c r="N31" s="545" t="s">
        <v>6287</v>
      </c>
      <c r="O31" s="551"/>
      <c r="P31" s="146"/>
      <c r="S31" s="87"/>
    </row>
    <row r="32" spans="1:19" ht="15.95" customHeight="1" x14ac:dyDescent="0.35">
      <c r="A32" s="725"/>
      <c r="B32" s="725">
        <v>45804</v>
      </c>
      <c r="C32" s="725">
        <v>45818</v>
      </c>
      <c r="D32" s="1110" t="s">
        <v>6226</v>
      </c>
      <c r="E32" s="96" t="s">
        <v>4376</v>
      </c>
      <c r="F32" s="900" t="s">
        <v>6227</v>
      </c>
      <c r="G32" s="901"/>
      <c r="H32" s="96">
        <v>150</v>
      </c>
      <c r="I32" s="96" t="s">
        <v>126</v>
      </c>
      <c r="J32" s="96" t="s">
        <v>6288</v>
      </c>
      <c r="K32" s="86"/>
      <c r="L32" s="507" t="s">
        <v>6289</v>
      </c>
      <c r="M32" s="507" t="s">
        <v>6290</v>
      </c>
      <c r="N32" s="549" t="s">
        <v>6291</v>
      </c>
      <c r="O32" s="551"/>
      <c r="P32" s="146"/>
      <c r="S32" s="87"/>
    </row>
    <row r="33" spans="1:19" ht="15.95" customHeight="1" x14ac:dyDescent="0.35">
      <c r="A33" s="725"/>
      <c r="B33" s="725">
        <v>45804</v>
      </c>
      <c r="C33" s="725">
        <v>45818</v>
      </c>
      <c r="D33" s="1110" t="s">
        <v>6226</v>
      </c>
      <c r="E33" s="96" t="s">
        <v>4376</v>
      </c>
      <c r="F33" s="900" t="s">
        <v>6227</v>
      </c>
      <c r="G33" s="901"/>
      <c r="H33" s="96">
        <v>150</v>
      </c>
      <c r="I33" s="96" t="s">
        <v>126</v>
      </c>
      <c r="J33" s="96" t="s">
        <v>6292</v>
      </c>
      <c r="K33" s="86"/>
      <c r="L33" s="507" t="s">
        <v>213</v>
      </c>
      <c r="M33" s="507"/>
      <c r="N33" s="549" t="s">
        <v>6293</v>
      </c>
      <c r="O33" s="551"/>
      <c r="P33" s="146"/>
      <c r="S33" s="87"/>
    </row>
    <row r="34" spans="1:19" ht="15.95" customHeight="1" x14ac:dyDescent="0.35">
      <c r="A34" s="725"/>
      <c r="B34" s="725">
        <v>45804</v>
      </c>
      <c r="C34" s="725">
        <v>45818</v>
      </c>
      <c r="D34" s="1110" t="s">
        <v>6226</v>
      </c>
      <c r="E34" s="96" t="s">
        <v>4376</v>
      </c>
      <c r="F34" s="900" t="s">
        <v>6227</v>
      </c>
      <c r="G34" s="901"/>
      <c r="H34" s="96">
        <v>150</v>
      </c>
      <c r="I34" s="96" t="s">
        <v>126</v>
      </c>
      <c r="J34" s="96" t="s">
        <v>6294</v>
      </c>
      <c r="K34" s="86"/>
      <c r="L34" s="507" t="s">
        <v>827</v>
      </c>
      <c r="M34" s="507"/>
      <c r="N34" s="291" t="s">
        <v>6295</v>
      </c>
      <c r="O34" s="551"/>
      <c r="P34" s="146"/>
      <c r="S34" s="87"/>
    </row>
    <row r="35" spans="1:19" ht="15.95" customHeight="1" x14ac:dyDescent="0.35">
      <c r="A35" s="725"/>
      <c r="B35" s="725"/>
      <c r="C35" s="725"/>
      <c r="D35" s="1110"/>
      <c r="E35" s="96"/>
      <c r="F35" s="900"/>
      <c r="G35" s="901"/>
      <c r="H35" s="96"/>
      <c r="I35" s="96"/>
      <c r="J35" s="96"/>
      <c r="K35" s="86"/>
      <c r="M35" s="507"/>
      <c r="N35" s="291"/>
      <c r="O35" s="551"/>
      <c r="P35" s="146"/>
      <c r="S35" s="87"/>
    </row>
    <row r="36" spans="1:19" ht="15.95" customHeight="1" x14ac:dyDescent="0.35">
      <c r="A36" s="725"/>
      <c r="B36" s="725">
        <v>45820</v>
      </c>
      <c r="C36" s="725">
        <v>45834</v>
      </c>
      <c r="D36" s="1110" t="s">
        <v>6226</v>
      </c>
      <c r="E36" s="96" t="s">
        <v>4376</v>
      </c>
      <c r="F36" s="900" t="s">
        <v>6227</v>
      </c>
      <c r="G36" s="901"/>
      <c r="H36" s="96">
        <v>150</v>
      </c>
      <c r="I36" s="96" t="s">
        <v>126</v>
      </c>
      <c r="J36" s="96" t="s">
        <v>6296</v>
      </c>
      <c r="K36" s="86"/>
      <c r="L36" s="507" t="s">
        <v>814</v>
      </c>
      <c r="M36" s="507"/>
      <c r="N36" s="291" t="s">
        <v>6297</v>
      </c>
      <c r="O36" s="551"/>
      <c r="P36" s="146" t="s">
        <v>6298</v>
      </c>
      <c r="S36" s="87"/>
    </row>
    <row r="37" spans="1:19" ht="15.95" customHeight="1" x14ac:dyDescent="0.35">
      <c r="A37" s="725"/>
      <c r="B37" s="725">
        <v>45820</v>
      </c>
      <c r="C37" s="725">
        <v>45834</v>
      </c>
      <c r="D37" s="1110" t="s">
        <v>6226</v>
      </c>
      <c r="E37" s="96" t="s">
        <v>4376</v>
      </c>
      <c r="F37" s="900" t="s">
        <v>6227</v>
      </c>
      <c r="G37" s="901"/>
      <c r="H37" s="96">
        <v>150</v>
      </c>
      <c r="I37" s="96" t="s">
        <v>126</v>
      </c>
      <c r="J37" s="96" t="s">
        <v>6299</v>
      </c>
      <c r="K37" s="86"/>
      <c r="L37" s="507" t="s">
        <v>815</v>
      </c>
      <c r="M37" s="507"/>
      <c r="N37" s="291" t="s">
        <v>6300</v>
      </c>
      <c r="O37" s="551"/>
      <c r="P37" s="146" t="s">
        <v>6301</v>
      </c>
      <c r="S37" s="87"/>
    </row>
    <row r="38" spans="1:19" ht="15.95" customHeight="1" x14ac:dyDescent="0.35">
      <c r="A38" s="725"/>
      <c r="B38" s="725">
        <v>45820</v>
      </c>
      <c r="C38" s="725">
        <v>45834</v>
      </c>
      <c r="D38" s="1110" t="s">
        <v>6226</v>
      </c>
      <c r="E38" s="96" t="s">
        <v>4376</v>
      </c>
      <c r="F38" s="900" t="s">
        <v>6227</v>
      </c>
      <c r="G38" s="901"/>
      <c r="H38" s="96">
        <v>150</v>
      </c>
      <c r="I38" s="96" t="s">
        <v>174</v>
      </c>
      <c r="J38" s="96" t="s">
        <v>6302</v>
      </c>
      <c r="K38" s="86" t="s">
        <v>4664</v>
      </c>
      <c r="L38" s="4" t="s">
        <v>6303</v>
      </c>
      <c r="M38" s="4" t="s">
        <v>6304</v>
      </c>
      <c r="N38" s="291" t="s">
        <v>6305</v>
      </c>
      <c r="O38" s="551" t="s">
        <v>4788</v>
      </c>
      <c r="P38" s="146" t="s">
        <v>6306</v>
      </c>
      <c r="S38" s="87"/>
    </row>
    <row r="39" spans="1:19" ht="15.95" customHeight="1" x14ac:dyDescent="0.35">
      <c r="A39" s="725"/>
      <c r="B39" s="725"/>
      <c r="C39" s="725"/>
      <c r="D39" s="1110"/>
      <c r="E39" s="96"/>
      <c r="F39" s="900"/>
      <c r="G39" s="901"/>
      <c r="H39" s="96"/>
      <c r="I39" s="96"/>
      <c r="J39" s="96"/>
      <c r="K39" s="86"/>
      <c r="M39" s="507"/>
      <c r="N39" s="291"/>
      <c r="O39" s="551"/>
      <c r="P39" s="146"/>
      <c r="S39" s="87"/>
    </row>
    <row r="40" spans="1:19" ht="15.95" customHeight="1" x14ac:dyDescent="0.35">
      <c r="A40" s="725"/>
      <c r="B40" s="725"/>
      <c r="C40" s="725"/>
      <c r="D40" s="746"/>
      <c r="E40" s="96"/>
      <c r="F40" s="900"/>
      <c r="G40" s="901"/>
      <c r="H40" s="96"/>
      <c r="I40" s="96"/>
      <c r="J40" s="96"/>
      <c r="K40" s="86"/>
      <c r="M40" s="507"/>
      <c r="N40" s="549"/>
      <c r="O40" s="551"/>
      <c r="P40" s="146"/>
      <c r="S40" s="87"/>
    </row>
    <row r="41" spans="1:19" ht="15.95" customHeight="1" x14ac:dyDescent="0.35">
      <c r="A41" s="725"/>
      <c r="B41" s="725">
        <v>45840</v>
      </c>
      <c r="C41" s="725">
        <v>45854</v>
      </c>
      <c r="D41" s="1110" t="s">
        <v>6226</v>
      </c>
      <c r="E41" s="96" t="s">
        <v>4376</v>
      </c>
      <c r="F41" s="900" t="s">
        <v>6227</v>
      </c>
      <c r="G41" s="901"/>
      <c r="H41" s="96">
        <v>150</v>
      </c>
      <c r="I41" s="96" t="s">
        <v>126</v>
      </c>
      <c r="J41" s="96" t="s">
        <v>6307</v>
      </c>
      <c r="K41" s="86"/>
      <c r="L41" s="507" t="s">
        <v>796</v>
      </c>
      <c r="M41" s="507"/>
      <c r="N41" s="549" t="s">
        <v>6308</v>
      </c>
      <c r="O41" s="551"/>
      <c r="P41" s="146"/>
      <c r="S41" s="87"/>
    </row>
    <row r="42" spans="1:19" ht="15.95" customHeight="1" x14ac:dyDescent="0.35">
      <c r="A42" s="725"/>
      <c r="B42" s="725">
        <v>45840</v>
      </c>
      <c r="C42" s="725">
        <v>45854</v>
      </c>
      <c r="D42" s="1110" t="s">
        <v>6226</v>
      </c>
      <c r="E42" s="96" t="s">
        <v>4376</v>
      </c>
      <c r="F42" s="900" t="s">
        <v>6227</v>
      </c>
      <c r="G42" s="901"/>
      <c r="H42" s="96">
        <v>150</v>
      </c>
      <c r="I42" s="96" t="s">
        <v>126</v>
      </c>
      <c r="J42" s="96" t="s">
        <v>6309</v>
      </c>
      <c r="K42" s="86"/>
      <c r="L42" s="507" t="s">
        <v>797</v>
      </c>
      <c r="M42" s="507"/>
      <c r="N42" s="1111" t="s">
        <v>6310</v>
      </c>
      <c r="O42" s="551"/>
      <c r="P42" s="146"/>
      <c r="S42" s="87"/>
    </row>
    <row r="43" spans="1:19" ht="15.95" customHeight="1" x14ac:dyDescent="0.35">
      <c r="A43" s="725"/>
      <c r="B43" s="725">
        <v>45840</v>
      </c>
      <c r="C43" s="725">
        <v>45854</v>
      </c>
      <c r="D43" s="1110" t="s">
        <v>6226</v>
      </c>
      <c r="E43" s="96" t="s">
        <v>4376</v>
      </c>
      <c r="F43" s="900" t="s">
        <v>6227</v>
      </c>
      <c r="G43" s="901"/>
      <c r="H43" s="96">
        <v>150</v>
      </c>
      <c r="I43" s="96" t="s">
        <v>126</v>
      </c>
      <c r="J43" s="96" t="s">
        <v>6311</v>
      </c>
      <c r="K43" s="86"/>
      <c r="L43" s="507" t="s">
        <v>798</v>
      </c>
      <c r="M43" s="507"/>
      <c r="N43" s="549" t="s">
        <v>6312</v>
      </c>
      <c r="O43" s="551"/>
      <c r="P43" s="146"/>
      <c r="S43" s="87"/>
    </row>
    <row r="44" spans="1:19" ht="15.95" customHeight="1" x14ac:dyDescent="0.35">
      <c r="A44" s="725"/>
      <c r="B44" s="725">
        <v>45840</v>
      </c>
      <c r="C44" s="725">
        <v>45854</v>
      </c>
      <c r="D44" s="1110" t="s">
        <v>6226</v>
      </c>
      <c r="E44" s="96" t="s">
        <v>4376</v>
      </c>
      <c r="F44" s="900" t="s">
        <v>6227</v>
      </c>
      <c r="G44" s="901"/>
      <c r="H44" s="96">
        <v>150</v>
      </c>
      <c r="I44" s="96" t="s">
        <v>126</v>
      </c>
      <c r="J44" s="96" t="s">
        <v>6313</v>
      </c>
      <c r="K44" s="86"/>
      <c r="L44" s="507" t="s">
        <v>799</v>
      </c>
      <c r="M44" s="507"/>
      <c r="N44" s="549" t="s">
        <v>6314</v>
      </c>
      <c r="O44" s="551"/>
      <c r="P44" s="146" t="s">
        <v>6315</v>
      </c>
      <c r="S44" s="87"/>
    </row>
    <row r="45" spans="1:19" ht="15.95" customHeight="1" x14ac:dyDescent="0.35">
      <c r="A45" s="725"/>
      <c r="B45" s="725"/>
      <c r="C45" s="725"/>
      <c r="D45" s="746"/>
      <c r="E45" s="96"/>
      <c r="F45" s="900"/>
      <c r="G45" s="901"/>
      <c r="H45" s="96"/>
      <c r="I45" s="96"/>
      <c r="J45" s="96"/>
      <c r="K45" s="86"/>
      <c r="M45" s="507"/>
      <c r="N45" s="549"/>
      <c r="O45" s="551"/>
      <c r="P45" s="146"/>
      <c r="S45" s="87"/>
    </row>
    <row r="46" spans="1:19" ht="15.95" customHeight="1" x14ac:dyDescent="0.35">
      <c r="A46" s="725"/>
      <c r="B46" s="725"/>
      <c r="C46" s="725"/>
      <c r="D46" s="746"/>
      <c r="E46" s="96"/>
      <c r="F46" s="900"/>
      <c r="G46" s="901"/>
      <c r="H46" s="96"/>
      <c r="I46" s="96"/>
      <c r="J46" s="96"/>
      <c r="K46" s="86"/>
      <c r="M46" s="507"/>
      <c r="N46" s="549"/>
      <c r="O46" s="551"/>
      <c r="P46" s="146"/>
      <c r="S46" s="87"/>
    </row>
    <row r="47" spans="1:19" ht="15.95" customHeight="1" x14ac:dyDescent="0.35">
      <c r="A47" s="725"/>
      <c r="B47" s="1108">
        <v>45903</v>
      </c>
      <c r="C47" s="1108">
        <v>45917</v>
      </c>
      <c r="D47" s="1109" t="s">
        <v>6271</v>
      </c>
      <c r="E47" s="96" t="s">
        <v>4376</v>
      </c>
      <c r="F47" s="900" t="s">
        <v>6227</v>
      </c>
      <c r="G47" s="901"/>
      <c r="H47" s="96">
        <v>150</v>
      </c>
      <c r="I47" s="96" t="s">
        <v>126</v>
      </c>
      <c r="J47" s="96" t="s">
        <v>6316</v>
      </c>
      <c r="K47" s="86"/>
      <c r="L47" s="507" t="s">
        <v>665</v>
      </c>
      <c r="M47" s="507"/>
      <c r="N47" s="549" t="s">
        <v>6317</v>
      </c>
      <c r="O47" s="551"/>
      <c r="P47" s="146"/>
      <c r="S47" s="87"/>
    </row>
    <row r="48" spans="1:19" ht="15.95" customHeight="1" x14ac:dyDescent="0.35">
      <c r="A48" s="725"/>
      <c r="B48" s="1108">
        <v>45903</v>
      </c>
      <c r="C48" s="1108">
        <v>45917</v>
      </c>
      <c r="D48" s="1109" t="s">
        <v>6271</v>
      </c>
      <c r="E48" s="96" t="s">
        <v>4376</v>
      </c>
      <c r="F48" s="900" t="s">
        <v>6227</v>
      </c>
      <c r="G48" s="901"/>
      <c r="H48" s="96">
        <v>150</v>
      </c>
      <c r="I48" s="96" t="s">
        <v>126</v>
      </c>
      <c r="J48" s="96" t="s">
        <v>6318</v>
      </c>
      <c r="K48" s="86"/>
      <c r="L48" s="507" t="s">
        <v>591</v>
      </c>
      <c r="M48" s="507"/>
      <c r="N48" s="549" t="s">
        <v>6319</v>
      </c>
      <c r="O48" s="551"/>
      <c r="P48" s="146"/>
      <c r="S48" s="87"/>
    </row>
    <row r="49" spans="1:19" ht="15.95" customHeight="1" x14ac:dyDescent="0.35">
      <c r="A49" s="725"/>
      <c r="B49" s="1108"/>
      <c r="C49" s="1108"/>
      <c r="D49" s="1109"/>
      <c r="E49" s="96"/>
      <c r="F49" s="900"/>
      <c r="G49" s="901"/>
      <c r="H49" s="96"/>
      <c r="I49" s="96"/>
      <c r="J49" s="96"/>
      <c r="K49" s="86"/>
      <c r="M49" s="507"/>
      <c r="N49" s="549"/>
      <c r="O49" s="551"/>
      <c r="P49" s="146"/>
      <c r="S49" s="87"/>
    </row>
    <row r="50" spans="1:19" ht="15.95" customHeight="1" x14ac:dyDescent="0.35">
      <c r="A50" s="725"/>
      <c r="B50" s="1108"/>
      <c r="C50" s="1108"/>
      <c r="D50" s="1109"/>
      <c r="E50" s="96"/>
      <c r="F50" s="900"/>
      <c r="G50" s="901"/>
      <c r="H50" s="96"/>
      <c r="I50" s="96"/>
      <c r="J50" s="96"/>
      <c r="K50" s="86"/>
      <c r="M50" s="507"/>
      <c r="N50" s="549"/>
      <c r="O50" s="551"/>
      <c r="P50" s="146"/>
      <c r="S50" s="87"/>
    </row>
    <row r="51" spans="1:19" ht="15.95" customHeight="1" x14ac:dyDescent="0.35">
      <c r="A51" s="725"/>
      <c r="B51" s="725">
        <v>45908</v>
      </c>
      <c r="C51" s="725">
        <v>45922</v>
      </c>
      <c r="D51" s="1110" t="s">
        <v>6226</v>
      </c>
      <c r="E51" s="96" t="s">
        <v>4376</v>
      </c>
      <c r="F51" s="900" t="s">
        <v>6227</v>
      </c>
      <c r="G51" s="901"/>
      <c r="H51" s="96">
        <v>150</v>
      </c>
      <c r="I51" s="96" t="s">
        <v>126</v>
      </c>
      <c r="J51" s="96" t="s">
        <v>6320</v>
      </c>
      <c r="K51" s="86"/>
      <c r="L51" s="507" t="s">
        <v>667</v>
      </c>
      <c r="M51" s="507"/>
      <c r="N51" s="549" t="s">
        <v>6321</v>
      </c>
      <c r="O51" s="551"/>
      <c r="P51" s="146" t="s">
        <v>6322</v>
      </c>
      <c r="S51" s="87"/>
    </row>
    <row r="52" spans="1:19" ht="15.95" customHeight="1" x14ac:dyDescent="0.35">
      <c r="A52" s="725"/>
      <c r="B52" s="725">
        <v>45908</v>
      </c>
      <c r="C52" s="725">
        <v>45922</v>
      </c>
      <c r="D52" s="1110" t="s">
        <v>6226</v>
      </c>
      <c r="E52" s="96" t="s">
        <v>4376</v>
      </c>
      <c r="F52" s="900" t="s">
        <v>6227</v>
      </c>
      <c r="G52" s="901"/>
      <c r="H52" s="96">
        <v>150</v>
      </c>
      <c r="I52" s="96" t="s">
        <v>126</v>
      </c>
      <c r="J52" s="96" t="s">
        <v>6323</v>
      </c>
      <c r="K52" s="86"/>
      <c r="L52" s="507" t="s">
        <v>668</v>
      </c>
      <c r="M52" s="507"/>
      <c r="N52" s="549" t="s">
        <v>6324</v>
      </c>
      <c r="O52" s="551"/>
      <c r="P52" s="146"/>
      <c r="S52" s="87"/>
    </row>
    <row r="53" spans="1:19" ht="15.95" customHeight="1" x14ac:dyDescent="0.35">
      <c r="A53" s="725"/>
      <c r="B53" s="725">
        <v>45908</v>
      </c>
      <c r="C53" s="725">
        <v>45922</v>
      </c>
      <c r="D53" s="1110" t="s">
        <v>6226</v>
      </c>
      <c r="E53" s="96" t="s">
        <v>4376</v>
      </c>
      <c r="F53" s="900" t="s">
        <v>6227</v>
      </c>
      <c r="G53" s="901"/>
      <c r="H53" s="96">
        <v>150</v>
      </c>
      <c r="I53" s="96" t="s">
        <v>126</v>
      </c>
      <c r="J53" s="96" t="s">
        <v>6325</v>
      </c>
      <c r="K53" s="86"/>
      <c r="L53" s="507" t="s">
        <v>670</v>
      </c>
      <c r="M53" s="507"/>
      <c r="N53" s="549" t="s">
        <v>6326</v>
      </c>
      <c r="O53" s="551"/>
      <c r="P53" s="146" t="s">
        <v>6327</v>
      </c>
      <c r="S53" s="87"/>
    </row>
    <row r="54" spans="1:19" ht="15.95" customHeight="1" x14ac:dyDescent="0.35">
      <c r="A54" s="725"/>
      <c r="B54" s="725">
        <v>45908</v>
      </c>
      <c r="C54" s="725">
        <v>45922</v>
      </c>
      <c r="D54" s="1110" t="s">
        <v>6226</v>
      </c>
      <c r="E54" s="96" t="s">
        <v>4376</v>
      </c>
      <c r="F54" s="900" t="s">
        <v>6227</v>
      </c>
      <c r="G54" s="901"/>
      <c r="H54" s="96">
        <v>150</v>
      </c>
      <c r="I54" s="96" t="s">
        <v>126</v>
      </c>
      <c r="J54" s="96" t="s">
        <v>6328</v>
      </c>
      <c r="K54" s="86"/>
      <c r="L54" s="507" t="s">
        <v>669</v>
      </c>
      <c r="M54" s="507"/>
      <c r="N54" s="549" t="s">
        <v>6329</v>
      </c>
      <c r="O54" s="551"/>
      <c r="P54" s="146"/>
      <c r="S54" s="87"/>
    </row>
    <row r="55" spans="1:19" ht="15.95" customHeight="1" x14ac:dyDescent="0.35">
      <c r="A55" s="725"/>
      <c r="B55" s="725"/>
      <c r="C55" s="725"/>
      <c r="D55" s="1110"/>
      <c r="E55" s="96"/>
      <c r="F55" s="900"/>
      <c r="G55" s="901"/>
      <c r="H55" s="96"/>
      <c r="I55" s="96"/>
      <c r="J55" s="96"/>
      <c r="K55" s="86"/>
      <c r="M55" s="507"/>
      <c r="N55" s="549"/>
      <c r="O55" s="551"/>
      <c r="P55" s="146"/>
      <c r="S55" s="87"/>
    </row>
    <row r="56" spans="1:19" ht="15.95" customHeight="1" x14ac:dyDescent="0.35">
      <c r="A56" s="725"/>
      <c r="B56" s="725">
        <v>45911</v>
      </c>
      <c r="C56" s="725">
        <v>45925</v>
      </c>
      <c r="D56" s="1110" t="s">
        <v>6226</v>
      </c>
      <c r="E56" s="96" t="s">
        <v>4376</v>
      </c>
      <c r="F56" s="900" t="s">
        <v>6227</v>
      </c>
      <c r="G56" s="901"/>
      <c r="H56" s="96">
        <v>150</v>
      </c>
      <c r="I56" s="96" t="s">
        <v>126</v>
      </c>
      <c r="J56" s="96" t="s">
        <v>6330</v>
      </c>
      <c r="L56" s="507" t="s">
        <v>671</v>
      </c>
      <c r="M56" s="507"/>
      <c r="N56" s="1168" t="s">
        <v>6331</v>
      </c>
      <c r="O56" s="551"/>
      <c r="P56" s="146"/>
      <c r="S56" s="87"/>
    </row>
    <row r="57" spans="1:19" ht="15.95" customHeight="1" x14ac:dyDescent="0.35">
      <c r="A57" s="725"/>
      <c r="B57" s="725">
        <v>45911</v>
      </c>
      <c r="C57" s="725">
        <v>45925</v>
      </c>
      <c r="D57" s="1110" t="s">
        <v>6226</v>
      </c>
      <c r="E57" s="96" t="s">
        <v>4376</v>
      </c>
      <c r="F57" s="900" t="s">
        <v>6227</v>
      </c>
      <c r="G57" s="901"/>
      <c r="H57" s="96">
        <v>150</v>
      </c>
      <c r="I57" s="96" t="s">
        <v>126</v>
      </c>
      <c r="J57" s="96" t="s">
        <v>6332</v>
      </c>
      <c r="K57" s="86"/>
      <c r="L57" s="507" t="s">
        <v>672</v>
      </c>
      <c r="N57" s="1111" t="s">
        <v>6333</v>
      </c>
      <c r="O57" s="551"/>
      <c r="P57" s="146"/>
      <c r="S57" s="87"/>
    </row>
    <row r="58" spans="1:19" ht="15.95" customHeight="1" x14ac:dyDescent="0.35">
      <c r="A58" s="725"/>
      <c r="B58" s="725">
        <v>45911</v>
      </c>
      <c r="C58" s="725">
        <v>45925</v>
      </c>
      <c r="D58" s="1110" t="s">
        <v>6226</v>
      </c>
      <c r="E58" s="96" t="s">
        <v>4376</v>
      </c>
      <c r="F58" s="900" t="s">
        <v>6227</v>
      </c>
      <c r="G58" s="901">
        <v>150</v>
      </c>
      <c r="H58" s="96"/>
      <c r="I58" s="96" t="s">
        <v>174</v>
      </c>
      <c r="J58" s="96" t="s">
        <v>5321</v>
      </c>
      <c r="K58" s="86"/>
      <c r="L58" s="507" t="s">
        <v>6334</v>
      </c>
      <c r="M58" s="4" t="s">
        <v>4135</v>
      </c>
      <c r="N58" s="549" t="s">
        <v>6335</v>
      </c>
      <c r="O58" s="551" t="s">
        <v>4705</v>
      </c>
      <c r="P58" s="146" t="s">
        <v>6336</v>
      </c>
      <c r="S58" s="87"/>
    </row>
    <row r="59" spans="1:19" ht="15.95" customHeight="1" x14ac:dyDescent="0.35">
      <c r="A59" s="725"/>
      <c r="B59" s="725">
        <v>45911</v>
      </c>
      <c r="C59" s="725">
        <v>45925</v>
      </c>
      <c r="D59" s="1110" t="s">
        <v>6226</v>
      </c>
      <c r="E59" s="96" t="s">
        <v>4376</v>
      </c>
      <c r="F59" s="900" t="s">
        <v>6227</v>
      </c>
      <c r="G59" s="901">
        <v>150</v>
      </c>
      <c r="H59" s="96"/>
      <c r="I59" s="96" t="s">
        <v>174</v>
      </c>
      <c r="J59" s="96" t="s">
        <v>6337</v>
      </c>
      <c r="K59" s="86"/>
      <c r="L59" s="507" t="s">
        <v>6338</v>
      </c>
      <c r="M59" s="507" t="s">
        <v>6339</v>
      </c>
      <c r="N59" s="549" t="s">
        <v>6340</v>
      </c>
      <c r="O59" s="551" t="s">
        <v>6341</v>
      </c>
      <c r="P59" s="146" t="s">
        <v>6342</v>
      </c>
      <c r="S59" s="87"/>
    </row>
    <row r="60" spans="1:19" ht="15.95" customHeight="1" x14ac:dyDescent="0.35">
      <c r="A60" s="725"/>
      <c r="B60" s="725"/>
      <c r="C60" s="725"/>
      <c r="D60" s="1110"/>
      <c r="E60" s="96"/>
      <c r="F60" s="900"/>
      <c r="G60" s="901"/>
      <c r="H60" s="96"/>
      <c r="I60" s="96"/>
      <c r="J60" s="96"/>
      <c r="K60" s="86"/>
      <c r="M60" s="507"/>
      <c r="N60" s="549"/>
      <c r="O60" s="551"/>
      <c r="P60" s="146"/>
      <c r="S60" s="87"/>
    </row>
    <row r="61" spans="1:19" ht="15.95" customHeight="1" x14ac:dyDescent="0.35">
      <c r="A61" s="725"/>
      <c r="B61" s="725">
        <v>45932</v>
      </c>
      <c r="C61" s="725">
        <v>45946</v>
      </c>
      <c r="D61" s="1110" t="s">
        <v>6226</v>
      </c>
      <c r="E61" s="96" t="s">
        <v>4376</v>
      </c>
      <c r="F61" s="900" t="s">
        <v>6227</v>
      </c>
      <c r="G61" s="901"/>
      <c r="H61" s="96">
        <v>150</v>
      </c>
      <c r="I61" s="96" t="s">
        <v>126</v>
      </c>
      <c r="J61" s="96" t="s">
        <v>6343</v>
      </c>
      <c r="K61" s="86"/>
      <c r="L61" s="507" t="s">
        <v>685</v>
      </c>
      <c r="M61" s="507"/>
      <c r="N61" s="549" t="s">
        <v>6344</v>
      </c>
      <c r="O61" s="551"/>
      <c r="P61" s="146" t="s">
        <v>6345</v>
      </c>
      <c r="S61" s="87"/>
    </row>
    <row r="62" spans="1:19" ht="15.95" customHeight="1" x14ac:dyDescent="0.35">
      <c r="A62" s="725"/>
      <c r="B62" s="724">
        <v>45932</v>
      </c>
      <c r="C62" s="724">
        <v>45946</v>
      </c>
      <c r="D62" s="1098" t="s">
        <v>6226</v>
      </c>
      <c r="E62" s="607" t="s">
        <v>4376</v>
      </c>
      <c r="F62" s="1099" t="s">
        <v>6227</v>
      </c>
      <c r="G62" s="1180"/>
      <c r="H62" s="607">
        <v>150</v>
      </c>
      <c r="I62" s="607" t="s">
        <v>126</v>
      </c>
      <c r="J62" s="607" t="s">
        <v>6346</v>
      </c>
      <c r="K62" s="872"/>
      <c r="L62" s="609" t="s">
        <v>686</v>
      </c>
      <c r="M62" s="609"/>
      <c r="N62" s="549" t="s">
        <v>6347</v>
      </c>
      <c r="O62" s="551"/>
      <c r="P62" s="146"/>
      <c r="S62" s="87"/>
    </row>
    <row r="63" spans="1:19" ht="15.95" customHeight="1" x14ac:dyDescent="0.35">
      <c r="A63" s="725"/>
      <c r="B63" s="725">
        <v>45932</v>
      </c>
      <c r="C63" s="725">
        <v>45946</v>
      </c>
      <c r="D63" s="1110" t="s">
        <v>6226</v>
      </c>
      <c r="E63" s="96" t="s">
        <v>4376</v>
      </c>
      <c r="F63" s="900" t="s">
        <v>6227</v>
      </c>
      <c r="G63" s="901"/>
      <c r="H63" s="96">
        <v>150</v>
      </c>
      <c r="I63" s="96" t="s">
        <v>126</v>
      </c>
      <c r="J63" s="96" t="s">
        <v>6348</v>
      </c>
      <c r="K63" s="86"/>
      <c r="L63" s="507" t="s">
        <v>687</v>
      </c>
      <c r="M63" s="507"/>
      <c r="N63" s="549" t="s">
        <v>6349</v>
      </c>
      <c r="O63" s="551"/>
      <c r="P63" s="146"/>
      <c r="S63" s="87"/>
    </row>
    <row r="64" spans="1:19" ht="15.95" customHeight="1" x14ac:dyDescent="0.35">
      <c r="A64" s="725"/>
      <c r="B64" s="725">
        <v>45932</v>
      </c>
      <c r="C64" s="725">
        <v>45946</v>
      </c>
      <c r="D64" s="1110" t="s">
        <v>6226</v>
      </c>
      <c r="E64" s="96" t="s">
        <v>4376</v>
      </c>
      <c r="F64" s="900" t="s">
        <v>6227</v>
      </c>
      <c r="G64" s="901"/>
      <c r="H64" s="96">
        <v>150</v>
      </c>
      <c r="I64" s="96" t="s">
        <v>126</v>
      </c>
      <c r="J64" s="96" t="s">
        <v>6350</v>
      </c>
      <c r="K64" s="86"/>
      <c r="L64" s="507" t="s">
        <v>688</v>
      </c>
      <c r="M64" s="507"/>
      <c r="N64" s="549" t="s">
        <v>6351</v>
      </c>
      <c r="O64" s="551"/>
      <c r="P64" s="146"/>
      <c r="S64" s="87"/>
    </row>
    <row r="65" spans="1:19" ht="15.95" customHeight="1" x14ac:dyDescent="0.35">
      <c r="A65" s="725"/>
      <c r="B65" s="725"/>
      <c r="C65" s="725"/>
      <c r="D65" s="746"/>
      <c r="E65" s="96"/>
      <c r="F65" s="900"/>
      <c r="G65" s="901"/>
      <c r="H65" s="96"/>
      <c r="I65" s="96"/>
      <c r="J65" s="96"/>
      <c r="K65" s="86"/>
      <c r="M65" s="507"/>
      <c r="N65" s="549"/>
      <c r="O65" s="551"/>
      <c r="P65" s="146"/>
      <c r="S65" s="87"/>
    </row>
    <row r="66" spans="1:19" ht="15.95" customHeight="1" x14ac:dyDescent="0.35">
      <c r="A66" s="725"/>
      <c r="B66" s="725">
        <v>45936</v>
      </c>
      <c r="C66" s="725">
        <v>45950</v>
      </c>
      <c r="D66" s="1110" t="s">
        <v>6226</v>
      </c>
      <c r="E66" s="96" t="s">
        <v>4376</v>
      </c>
      <c r="F66" s="900" t="s">
        <v>6227</v>
      </c>
      <c r="G66" s="901"/>
      <c r="H66" s="96">
        <v>150</v>
      </c>
      <c r="I66" s="96" t="s">
        <v>6352</v>
      </c>
      <c r="J66" s="96" t="s">
        <v>6353</v>
      </c>
      <c r="K66" s="86"/>
      <c r="L66" s="4" t="s">
        <v>6354</v>
      </c>
      <c r="M66" s="507" t="s">
        <v>6355</v>
      </c>
      <c r="N66" s="549" t="s">
        <v>6356</v>
      </c>
      <c r="O66" s="551" t="s">
        <v>4808</v>
      </c>
      <c r="P66" s="146" t="s">
        <v>6357</v>
      </c>
      <c r="S66" s="87"/>
    </row>
    <row r="67" spans="1:19" ht="15.95" customHeight="1" x14ac:dyDescent="0.35">
      <c r="A67" s="725"/>
      <c r="B67" s="725">
        <v>45936</v>
      </c>
      <c r="C67" s="725">
        <v>45950</v>
      </c>
      <c r="D67" s="1110" t="s">
        <v>6226</v>
      </c>
      <c r="E67" s="96" t="s">
        <v>4376</v>
      </c>
      <c r="F67" s="900" t="s">
        <v>6227</v>
      </c>
      <c r="G67" s="901">
        <v>150</v>
      </c>
      <c r="H67" s="96">
        <v>0</v>
      </c>
      <c r="I67" s="96" t="s">
        <v>6352</v>
      </c>
      <c r="J67" s="96" t="s">
        <v>6358</v>
      </c>
      <c r="K67" s="86" t="s">
        <v>4664</v>
      </c>
      <c r="L67" s="4" t="s">
        <v>4058</v>
      </c>
      <c r="M67" s="4" t="s">
        <v>6359</v>
      </c>
      <c r="N67" s="549" t="s">
        <v>6360</v>
      </c>
      <c r="O67" s="551"/>
      <c r="P67" s="146" t="s">
        <v>6361</v>
      </c>
      <c r="S67" s="87"/>
    </row>
    <row r="68" spans="1:19" ht="15.95" customHeight="1" x14ac:dyDescent="0.35">
      <c r="A68" s="725"/>
      <c r="B68" s="725">
        <v>45936</v>
      </c>
      <c r="C68" s="725">
        <v>45950</v>
      </c>
      <c r="D68" s="1110" t="s">
        <v>6226</v>
      </c>
      <c r="E68" s="96" t="s">
        <v>4376</v>
      </c>
      <c r="F68" s="900" t="s">
        <v>6227</v>
      </c>
      <c r="G68" s="901">
        <v>150</v>
      </c>
      <c r="H68" s="96">
        <v>0</v>
      </c>
      <c r="I68" s="96" t="s">
        <v>6352</v>
      </c>
      <c r="J68" s="96" t="s">
        <v>6362</v>
      </c>
      <c r="K68" s="86" t="s">
        <v>4955</v>
      </c>
      <c r="L68" s="4" t="s">
        <v>6363</v>
      </c>
      <c r="M68" s="4" t="s">
        <v>6364</v>
      </c>
      <c r="N68" s="549" t="s">
        <v>6365</v>
      </c>
      <c r="O68" s="551" t="s">
        <v>5014</v>
      </c>
      <c r="P68" s="146" t="s">
        <v>6366</v>
      </c>
      <c r="Q68" s="484" t="s">
        <v>6367</v>
      </c>
      <c r="S68" s="87"/>
    </row>
    <row r="69" spans="1:19" ht="15.95" customHeight="1" x14ac:dyDescent="0.35">
      <c r="A69" s="725"/>
      <c r="B69" s="725">
        <v>45936</v>
      </c>
      <c r="C69" s="725">
        <v>45950</v>
      </c>
      <c r="D69" s="1110" t="s">
        <v>6226</v>
      </c>
      <c r="E69" s="96" t="s">
        <v>4376</v>
      </c>
      <c r="F69" s="900" t="s">
        <v>6227</v>
      </c>
      <c r="G69" s="901"/>
      <c r="H69" s="96">
        <v>150</v>
      </c>
      <c r="I69" s="96" t="s">
        <v>126</v>
      </c>
      <c r="J69" s="96" t="s">
        <v>6368</v>
      </c>
      <c r="K69" s="86"/>
      <c r="L69" s="507" t="s">
        <v>689</v>
      </c>
      <c r="N69" s="549" t="s">
        <v>6369</v>
      </c>
      <c r="O69" s="551"/>
      <c r="P69" s="146" t="s">
        <v>6370</v>
      </c>
      <c r="Q69" s="287" t="s">
        <v>6371</v>
      </c>
      <c r="S69" s="87"/>
    </row>
    <row r="70" spans="1:19" ht="15.95" customHeight="1" x14ac:dyDescent="0.35">
      <c r="A70" s="725"/>
      <c r="B70" s="725"/>
      <c r="C70" s="725"/>
      <c r="D70" s="746"/>
      <c r="E70" s="96"/>
      <c r="F70" s="900"/>
      <c r="G70" s="901"/>
      <c r="H70" s="96"/>
      <c r="I70" s="96"/>
      <c r="J70" s="96"/>
      <c r="K70" s="86"/>
      <c r="M70" s="507"/>
      <c r="N70" s="549"/>
      <c r="O70" s="551"/>
      <c r="P70" s="146"/>
      <c r="S70" s="87"/>
    </row>
    <row r="71" spans="1:19" ht="15.95" customHeight="1" x14ac:dyDescent="0.35">
      <c r="A71" s="725"/>
      <c r="B71" s="725"/>
      <c r="C71" s="725"/>
      <c r="D71" s="746"/>
      <c r="E71" s="96"/>
      <c r="F71" s="900"/>
      <c r="G71" s="901"/>
      <c r="H71" s="96"/>
      <c r="I71" s="96"/>
      <c r="J71" s="96"/>
      <c r="K71" s="86"/>
      <c r="M71" s="507"/>
      <c r="N71" s="549"/>
      <c r="O71" s="551"/>
      <c r="P71" s="146"/>
      <c r="S71" s="87"/>
    </row>
    <row r="72" spans="1:19" ht="15" customHeight="1" x14ac:dyDescent="0.35">
      <c r="A72" s="725" t="s">
        <v>6372</v>
      </c>
      <c r="B72" s="724">
        <v>45964</v>
      </c>
      <c r="C72" s="724">
        <f>B72+21</f>
        <v>45985</v>
      </c>
      <c r="D72" s="1110" t="s">
        <v>6226</v>
      </c>
      <c r="E72" s="96" t="s">
        <v>4376</v>
      </c>
      <c r="F72" s="900" t="s">
        <v>6227</v>
      </c>
      <c r="G72" s="901"/>
      <c r="H72" s="96">
        <v>150</v>
      </c>
      <c r="I72" s="96" t="s">
        <v>126</v>
      </c>
      <c r="J72" s="96" t="s">
        <v>6373</v>
      </c>
      <c r="K72" s="86"/>
      <c r="L72" s="507" t="s">
        <v>579</v>
      </c>
      <c r="M72" s="507"/>
      <c r="N72" s="549" t="s">
        <v>6374</v>
      </c>
      <c r="O72" s="551"/>
      <c r="P72" s="146" t="s">
        <v>6375</v>
      </c>
      <c r="S72" s="87"/>
    </row>
    <row r="73" spans="1:19" ht="15.95" customHeight="1" x14ac:dyDescent="0.35">
      <c r="A73" s="725" t="s">
        <v>6376</v>
      </c>
      <c r="B73" s="724">
        <v>45964</v>
      </c>
      <c r="C73" s="724">
        <f>B73+21</f>
        <v>45985</v>
      </c>
      <c r="D73" s="1110" t="s">
        <v>6226</v>
      </c>
      <c r="E73" s="96" t="s">
        <v>4376</v>
      </c>
      <c r="F73" s="900" t="s">
        <v>6227</v>
      </c>
      <c r="G73" s="901"/>
      <c r="H73" s="96">
        <v>150</v>
      </c>
      <c r="I73" s="96" t="s">
        <v>111</v>
      </c>
      <c r="J73" s="829" t="s">
        <v>6377</v>
      </c>
      <c r="K73" s="86"/>
      <c r="L73" s="4" t="s">
        <v>721</v>
      </c>
      <c r="M73" s="507"/>
      <c r="N73" s="1181" t="s">
        <v>6378</v>
      </c>
      <c r="O73" s="551"/>
      <c r="P73" s="146" t="s">
        <v>6100</v>
      </c>
      <c r="S73" s="87"/>
    </row>
    <row r="74" spans="1:19" ht="15.95" customHeight="1" x14ac:dyDescent="0.35">
      <c r="A74" s="725"/>
      <c r="B74" s="725">
        <v>45964</v>
      </c>
      <c r="C74" s="725">
        <f>B74+21</f>
        <v>45985</v>
      </c>
      <c r="D74" s="1110" t="s">
        <v>6226</v>
      </c>
      <c r="E74" s="96" t="s">
        <v>4376</v>
      </c>
      <c r="F74" s="900" t="s">
        <v>6227</v>
      </c>
      <c r="G74" s="901"/>
      <c r="H74" s="96">
        <v>150</v>
      </c>
      <c r="I74" s="96" t="s">
        <v>174</v>
      </c>
      <c r="J74" s="829" t="s">
        <v>6379</v>
      </c>
      <c r="K74" s="86" t="s">
        <v>4955</v>
      </c>
      <c r="L74" s="4" t="s">
        <v>4179</v>
      </c>
      <c r="M74" s="4" t="s">
        <v>6380</v>
      </c>
      <c r="N74" s="1181" t="s">
        <v>6381</v>
      </c>
      <c r="O74" s="551" t="s">
        <v>6382</v>
      </c>
      <c r="P74" s="146" t="s">
        <v>6383</v>
      </c>
      <c r="S74" s="87"/>
    </row>
    <row r="75" spans="1:19" ht="15.95" customHeight="1" x14ac:dyDescent="0.35">
      <c r="A75" s="725"/>
      <c r="B75" s="725">
        <v>45964</v>
      </c>
      <c r="C75" s="725">
        <f>B75+21</f>
        <v>45985</v>
      </c>
      <c r="D75" s="1110" t="s">
        <v>6226</v>
      </c>
      <c r="E75" s="96" t="s">
        <v>4376</v>
      </c>
      <c r="F75" s="900" t="s">
        <v>6227</v>
      </c>
      <c r="G75" s="901"/>
      <c r="H75" s="96">
        <v>150</v>
      </c>
      <c r="I75" s="96" t="s">
        <v>174</v>
      </c>
      <c r="J75" s="829" t="s">
        <v>6379</v>
      </c>
      <c r="K75" s="86" t="s">
        <v>4955</v>
      </c>
      <c r="L75" s="4" t="s">
        <v>4179</v>
      </c>
      <c r="M75" s="4" t="s">
        <v>6380</v>
      </c>
      <c r="N75" s="1181" t="s">
        <v>6381</v>
      </c>
      <c r="O75" s="551" t="s">
        <v>6382</v>
      </c>
      <c r="P75" s="146" t="s">
        <v>6383</v>
      </c>
      <c r="S75" s="87"/>
    </row>
    <row r="76" spans="1:19" ht="15.95" customHeight="1" x14ac:dyDescent="0.35">
      <c r="A76" s="725"/>
      <c r="B76" s="725"/>
      <c r="C76" s="725"/>
      <c r="D76" s="746"/>
      <c r="E76" s="96"/>
      <c r="F76" s="900"/>
      <c r="G76" s="901"/>
      <c r="H76" s="96"/>
      <c r="I76" s="96"/>
      <c r="J76" s="96"/>
      <c r="K76" s="86"/>
      <c r="M76" s="507"/>
      <c r="N76" s="549"/>
      <c r="O76" s="551"/>
      <c r="P76" s="146"/>
      <c r="S76" s="87"/>
    </row>
    <row r="77" spans="1:19" ht="15.95" customHeight="1" x14ac:dyDescent="0.35">
      <c r="A77" s="725"/>
      <c r="B77" s="725">
        <v>45993</v>
      </c>
      <c r="C77" s="725">
        <v>46007</v>
      </c>
      <c r="D77" s="1110" t="s">
        <v>6226</v>
      </c>
      <c r="E77" s="96" t="s">
        <v>4376</v>
      </c>
      <c r="F77" s="900" t="s">
        <v>6227</v>
      </c>
      <c r="G77" s="901"/>
      <c r="H77" s="96">
        <v>150</v>
      </c>
      <c r="I77" s="96" t="s">
        <v>174</v>
      </c>
      <c r="J77" s="96" t="s">
        <v>6384</v>
      </c>
      <c r="K77" s="86"/>
      <c r="L77" s="507" t="s">
        <v>691</v>
      </c>
      <c r="M77" s="507"/>
      <c r="N77" s="549" t="s">
        <v>6385</v>
      </c>
      <c r="O77" s="551" t="s">
        <v>5485</v>
      </c>
      <c r="P77" s="146" t="s">
        <v>6386</v>
      </c>
      <c r="S77" s="87"/>
    </row>
    <row r="78" spans="1:19" ht="15.95" customHeight="1" x14ac:dyDescent="0.35">
      <c r="A78" s="1022"/>
      <c r="B78" s="1022"/>
      <c r="C78" s="1022"/>
      <c r="D78" s="1023"/>
      <c r="E78" s="961"/>
      <c r="F78" s="1024"/>
      <c r="G78" s="1025"/>
      <c r="H78" s="961"/>
      <c r="I78" s="961"/>
      <c r="J78" s="961"/>
      <c r="K78" s="875"/>
      <c r="L78" s="712"/>
      <c r="M78" s="712"/>
      <c r="N78" s="721"/>
      <c r="O78" s="722"/>
      <c r="P78" s="877"/>
      <c r="Q78" s="713"/>
      <c r="R78" s="713"/>
      <c r="S78" s="874"/>
    </row>
    <row r="79" spans="1:19" ht="15.95" customHeight="1" x14ac:dyDescent="0.35">
      <c r="A79" s="725"/>
      <c r="B79" s="725">
        <v>46028</v>
      </c>
      <c r="C79" s="725">
        <v>46042</v>
      </c>
      <c r="D79" s="1110" t="s">
        <v>6226</v>
      </c>
      <c r="E79" s="96" t="s">
        <v>4376</v>
      </c>
      <c r="F79" s="900" t="s">
        <v>6227</v>
      </c>
      <c r="G79" s="901"/>
      <c r="H79" s="96">
        <v>150</v>
      </c>
      <c r="I79" s="96" t="s">
        <v>174</v>
      </c>
      <c r="J79" s="96" t="s">
        <v>6387</v>
      </c>
      <c r="K79" s="86"/>
      <c r="L79" s="507" t="s">
        <v>655</v>
      </c>
      <c r="M79" s="507"/>
      <c r="N79" s="549" t="s">
        <v>6388</v>
      </c>
      <c r="O79" s="551" t="s">
        <v>4804</v>
      </c>
      <c r="P79" s="146" t="s">
        <v>6389</v>
      </c>
      <c r="S79" s="87"/>
    </row>
    <row r="80" spans="1:19" ht="15.95" customHeight="1" x14ac:dyDescent="0.35">
      <c r="A80" s="725"/>
      <c r="B80" s="725">
        <v>46028</v>
      </c>
      <c r="C80" s="725">
        <v>46042</v>
      </c>
      <c r="D80" s="1110" t="s">
        <v>6226</v>
      </c>
      <c r="E80" s="96" t="s">
        <v>4376</v>
      </c>
      <c r="F80" s="900" t="s">
        <v>6227</v>
      </c>
      <c r="G80" s="901"/>
      <c r="H80" s="96">
        <v>150</v>
      </c>
      <c r="I80" s="96" t="s">
        <v>174</v>
      </c>
      <c r="J80" s="96" t="s">
        <v>6223</v>
      </c>
      <c r="K80" s="86"/>
      <c r="L80" s="4" t="s">
        <v>625</v>
      </c>
      <c r="M80" s="507"/>
      <c r="N80" s="549" t="s">
        <v>6390</v>
      </c>
      <c r="O80" s="551" t="s">
        <v>5008</v>
      </c>
      <c r="P80" s="146" t="s">
        <v>6225</v>
      </c>
      <c r="S80" s="87"/>
    </row>
    <row r="81" spans="1:19" ht="15.95" customHeight="1" x14ac:dyDescent="0.35">
      <c r="A81" s="725"/>
      <c r="B81" s="725">
        <v>46028</v>
      </c>
      <c r="C81" s="725">
        <v>46042</v>
      </c>
      <c r="D81" s="1110" t="s">
        <v>6226</v>
      </c>
      <c r="E81" s="96" t="s">
        <v>4376</v>
      </c>
      <c r="F81" s="900" t="s">
        <v>6227</v>
      </c>
      <c r="G81" s="901"/>
      <c r="H81" s="96">
        <v>120</v>
      </c>
      <c r="I81" s="96" t="s">
        <v>1594</v>
      </c>
      <c r="J81" s="829" t="s">
        <v>6391</v>
      </c>
      <c r="K81" s="86" t="s">
        <v>4955</v>
      </c>
      <c r="L81" s="507" t="s">
        <v>6392</v>
      </c>
      <c r="M81" s="507" t="s">
        <v>6393</v>
      </c>
      <c r="N81" s="767" t="s">
        <v>6394</v>
      </c>
      <c r="O81" s="551"/>
      <c r="P81" s="146" t="s">
        <v>6395</v>
      </c>
      <c r="S81" s="87"/>
    </row>
    <row r="82" spans="1:19" ht="15.95" customHeight="1" x14ac:dyDescent="0.35">
      <c r="A82" s="725"/>
      <c r="B82" s="725">
        <v>46028</v>
      </c>
      <c r="C82" s="725">
        <v>46042</v>
      </c>
      <c r="D82" s="1110" t="s">
        <v>6226</v>
      </c>
      <c r="E82" s="96" t="s">
        <v>4376</v>
      </c>
      <c r="F82" s="900" t="s">
        <v>6227</v>
      </c>
      <c r="G82" s="901"/>
      <c r="H82" s="96">
        <v>150</v>
      </c>
      <c r="I82" s="96" t="s">
        <v>174</v>
      </c>
      <c r="J82" s="96" t="s">
        <v>6396</v>
      </c>
      <c r="K82" s="86"/>
      <c r="L82" s="507" t="s">
        <v>610</v>
      </c>
      <c r="M82" s="507"/>
      <c r="N82" s="549" t="s">
        <v>6397</v>
      </c>
      <c r="O82" s="551" t="s">
        <v>6398</v>
      </c>
      <c r="P82" s="146" t="s">
        <v>6399</v>
      </c>
      <c r="S82" s="87"/>
    </row>
    <row r="83" spans="1:19" ht="15.95" customHeight="1" x14ac:dyDescent="0.35">
      <c r="A83" s="725"/>
      <c r="B83" s="725"/>
      <c r="C83" s="725"/>
      <c r="D83" s="1110"/>
      <c r="E83" s="96"/>
      <c r="F83" s="900"/>
      <c r="G83" s="901"/>
      <c r="H83" s="96"/>
      <c r="I83" s="96"/>
      <c r="J83" s="96"/>
      <c r="K83" s="86"/>
      <c r="M83" s="507"/>
      <c r="N83" s="549"/>
      <c r="O83" s="551"/>
      <c r="P83" s="146"/>
      <c r="S83" s="87"/>
    </row>
    <row r="84" spans="1:19" ht="15.95" customHeight="1" x14ac:dyDescent="0.35">
      <c r="S84" s="87"/>
    </row>
    <row r="85" spans="1:19" ht="15.95" customHeight="1" x14ac:dyDescent="0.35">
      <c r="A85" s="725"/>
      <c r="S85" s="87"/>
    </row>
    <row r="86" spans="1:19" ht="15.95" customHeight="1" x14ac:dyDescent="0.35">
      <c r="A86" s="725"/>
      <c r="B86" s="725"/>
      <c r="C86" s="725"/>
      <c r="D86" s="1110"/>
      <c r="E86" s="96"/>
      <c r="F86" s="900"/>
      <c r="G86" s="901"/>
      <c r="H86" s="96"/>
      <c r="I86" s="96"/>
      <c r="J86" s="96"/>
      <c r="K86" s="86"/>
      <c r="M86" s="507"/>
      <c r="N86" s="549"/>
      <c r="O86" s="551"/>
      <c r="P86" s="146"/>
      <c r="S86" s="87"/>
    </row>
    <row r="87" spans="1:19" ht="15.95" customHeight="1" x14ac:dyDescent="0.35">
      <c r="A87" s="725"/>
      <c r="B87" s="725"/>
      <c r="C87" s="725"/>
      <c r="D87" s="1110"/>
      <c r="E87" s="96"/>
      <c r="F87" s="900"/>
      <c r="G87" s="901"/>
      <c r="H87" s="96"/>
      <c r="I87" s="96"/>
      <c r="J87" s="96"/>
      <c r="K87" s="86"/>
      <c r="M87" s="507"/>
      <c r="N87" s="549"/>
      <c r="O87" s="551"/>
      <c r="P87" s="146"/>
      <c r="S87" s="87"/>
    </row>
    <row r="88" spans="1:19" ht="15.95" customHeight="1" x14ac:dyDescent="0.35">
      <c r="S88" s="87"/>
    </row>
    <row r="89" spans="1:19" ht="15.95" customHeight="1" x14ac:dyDescent="0.35">
      <c r="A89" s="725"/>
      <c r="B89" s="725"/>
      <c r="C89" s="725"/>
      <c r="D89" s="1109"/>
      <c r="E89" s="96"/>
      <c r="F89" s="900"/>
      <c r="G89" s="901"/>
      <c r="H89" s="96"/>
      <c r="I89" s="96"/>
      <c r="J89" s="96"/>
      <c r="K89" s="86"/>
      <c r="L89" s="4"/>
      <c r="M89" s="4"/>
      <c r="N89" s="549"/>
      <c r="O89" s="551"/>
      <c r="P89" s="146"/>
      <c r="S89" s="87"/>
    </row>
    <row r="90" spans="1:19" ht="15.95" customHeight="1" x14ac:dyDescent="0.35">
      <c r="A90" s="725"/>
      <c r="B90" s="725">
        <v>46086</v>
      </c>
      <c r="C90" s="725">
        <v>46100</v>
      </c>
      <c r="D90" s="1110" t="s">
        <v>6226</v>
      </c>
      <c r="E90" s="96" t="s">
        <v>4376</v>
      </c>
      <c r="F90" s="900" t="s">
        <v>6227</v>
      </c>
      <c r="G90" s="901">
        <v>150</v>
      </c>
      <c r="H90" s="96"/>
      <c r="I90" s="96" t="s">
        <v>174</v>
      </c>
      <c r="J90" s="96" t="s">
        <v>6400</v>
      </c>
      <c r="K90" s="86"/>
      <c r="L90" s="507" t="s">
        <v>370</v>
      </c>
      <c r="M90" s="507"/>
      <c r="N90" s="549" t="s">
        <v>6401</v>
      </c>
      <c r="O90" s="551" t="s">
        <v>5610</v>
      </c>
      <c r="P90" s="146" t="s">
        <v>6402</v>
      </c>
      <c r="S90" s="87"/>
    </row>
    <row r="91" spans="1:19" ht="15.95" customHeight="1" x14ac:dyDescent="0.35">
      <c r="A91" s="725"/>
      <c r="B91" s="725">
        <v>46086</v>
      </c>
      <c r="C91" s="725">
        <v>46100</v>
      </c>
      <c r="D91" s="1110" t="s">
        <v>6226</v>
      </c>
      <c r="E91" s="96" t="s">
        <v>4376</v>
      </c>
      <c r="F91" s="900" t="s">
        <v>6227</v>
      </c>
      <c r="G91" s="901">
        <v>150</v>
      </c>
      <c r="H91" s="96"/>
      <c r="I91" s="96" t="s">
        <v>174</v>
      </c>
      <c r="J91" s="96" t="s">
        <v>6403</v>
      </c>
      <c r="K91" s="86"/>
      <c r="L91" s="507" t="s">
        <v>355</v>
      </c>
      <c r="M91" s="507"/>
      <c r="N91" s="549" t="s">
        <v>6404</v>
      </c>
      <c r="O91" s="551" t="s">
        <v>5741</v>
      </c>
      <c r="P91" s="146" t="s">
        <v>6405</v>
      </c>
      <c r="S91" s="87"/>
    </row>
    <row r="92" spans="1:19" ht="15.95" customHeight="1" x14ac:dyDescent="0.35">
      <c r="A92" s="725"/>
      <c r="B92" s="725"/>
      <c r="C92" s="725"/>
      <c r="D92" s="1109"/>
      <c r="E92" s="96"/>
      <c r="F92" s="900"/>
      <c r="G92" s="901"/>
      <c r="H92" s="96"/>
      <c r="I92" s="96"/>
      <c r="J92" s="96"/>
      <c r="K92" s="86"/>
      <c r="L92" s="4"/>
      <c r="M92" s="4"/>
      <c r="N92" s="549"/>
      <c r="O92" s="551"/>
      <c r="P92" s="146"/>
      <c r="S92" s="87"/>
    </row>
    <row r="93" spans="1:19" ht="15.95" customHeight="1" x14ac:dyDescent="0.35">
      <c r="A93" s="725"/>
      <c r="B93" s="725"/>
      <c r="C93" s="725"/>
      <c r="D93" s="1110"/>
      <c r="E93" s="96"/>
      <c r="F93" s="900"/>
      <c r="G93" s="901"/>
      <c r="H93" s="96"/>
      <c r="I93" s="96"/>
      <c r="J93" s="96"/>
      <c r="K93" s="86"/>
      <c r="M93" s="507"/>
      <c r="N93" s="549"/>
      <c r="O93" s="551"/>
      <c r="P93" s="146"/>
      <c r="S93" s="87"/>
    </row>
    <row r="94" spans="1:19" ht="15.95" customHeight="1" x14ac:dyDescent="0.35">
      <c r="A94" s="725" t="s">
        <v>6406</v>
      </c>
      <c r="B94" s="725">
        <v>46090</v>
      </c>
      <c r="C94" s="725">
        <v>46104</v>
      </c>
      <c r="D94" s="1110" t="s">
        <v>6226</v>
      </c>
      <c r="E94" s="96" t="s">
        <v>4376</v>
      </c>
      <c r="F94" s="900" t="s">
        <v>6227</v>
      </c>
      <c r="G94" s="901">
        <v>150</v>
      </c>
      <c r="H94" s="96"/>
      <c r="I94" s="96" t="s">
        <v>174</v>
      </c>
      <c r="J94" s="96" t="s">
        <v>6407</v>
      </c>
      <c r="K94" s="86"/>
      <c r="L94" s="507" t="s">
        <v>407</v>
      </c>
      <c r="M94" s="507"/>
      <c r="N94" s="549" t="s">
        <v>6408</v>
      </c>
      <c r="O94" s="551" t="s">
        <v>5014</v>
      </c>
      <c r="P94" s="146" t="s">
        <v>6409</v>
      </c>
      <c r="S94" s="87"/>
    </row>
    <row r="95" spans="1:19" ht="15.95" customHeight="1" x14ac:dyDescent="0.35">
      <c r="A95" s="725"/>
      <c r="B95" s="725">
        <v>46090</v>
      </c>
      <c r="C95" s="725">
        <v>46104</v>
      </c>
      <c r="D95" s="1110" t="s">
        <v>6226</v>
      </c>
      <c r="E95" s="96" t="s">
        <v>4376</v>
      </c>
      <c r="F95" s="900" t="s">
        <v>6227</v>
      </c>
      <c r="G95" s="901">
        <v>150</v>
      </c>
      <c r="H95" s="96"/>
      <c r="I95" s="96" t="s">
        <v>174</v>
      </c>
      <c r="J95" s="96" t="s">
        <v>6410</v>
      </c>
      <c r="K95" s="86"/>
      <c r="L95" s="507" t="s">
        <v>365</v>
      </c>
      <c r="M95" s="507"/>
      <c r="N95" s="549" t="s">
        <v>6411</v>
      </c>
      <c r="O95" s="551" t="s">
        <v>5631</v>
      </c>
      <c r="P95" s="146" t="s">
        <v>6412</v>
      </c>
      <c r="S95" s="87"/>
    </row>
    <row r="96" spans="1:19" ht="15.95" customHeight="1" x14ac:dyDescent="0.35">
      <c r="A96" s="725"/>
      <c r="B96" s="725"/>
      <c r="C96" s="725"/>
      <c r="D96" s="1110"/>
      <c r="E96" s="96"/>
      <c r="F96" s="900"/>
      <c r="G96" s="901"/>
      <c r="H96" s="96"/>
      <c r="I96" s="96"/>
      <c r="J96" s="96"/>
      <c r="K96" s="86"/>
      <c r="M96" s="507"/>
      <c r="N96" s="549"/>
      <c r="O96" s="551"/>
      <c r="P96" s="146"/>
      <c r="S96" s="87"/>
    </row>
    <row r="98" spans="1:19" ht="15.95" customHeight="1" x14ac:dyDescent="0.35">
      <c r="A98" s="725"/>
      <c r="B98" s="725">
        <v>46113</v>
      </c>
      <c r="C98" s="725">
        <v>46127</v>
      </c>
      <c r="D98" s="1110" t="s">
        <v>6226</v>
      </c>
      <c r="E98" s="96" t="s">
        <v>4376</v>
      </c>
      <c r="F98" s="900" t="s">
        <v>6227</v>
      </c>
      <c r="G98" s="96">
        <v>150</v>
      </c>
      <c r="H98" s="96">
        <v>0</v>
      </c>
      <c r="I98" s="96" t="s">
        <v>174</v>
      </c>
      <c r="J98" s="96" t="s">
        <v>6413</v>
      </c>
      <c r="K98" s="86"/>
      <c r="L98" s="4" t="s">
        <v>404</v>
      </c>
      <c r="M98" s="4"/>
      <c r="N98" s="549" t="s">
        <v>6414</v>
      </c>
      <c r="O98" s="551" t="s">
        <v>5014</v>
      </c>
      <c r="P98" s="146" t="s">
        <v>6415</v>
      </c>
      <c r="S98" s="87"/>
    </row>
    <row r="99" spans="1:19" ht="15.95" customHeight="1" x14ac:dyDescent="0.35">
      <c r="A99" s="725"/>
      <c r="B99" s="725">
        <v>46113</v>
      </c>
      <c r="C99" s="725">
        <v>46127</v>
      </c>
      <c r="D99" s="1110" t="s">
        <v>6226</v>
      </c>
      <c r="E99" s="96" t="s">
        <v>4376</v>
      </c>
      <c r="F99" s="900" t="s">
        <v>6227</v>
      </c>
      <c r="G99" s="96">
        <v>150</v>
      </c>
      <c r="H99" s="96">
        <v>0</v>
      </c>
      <c r="I99" s="96" t="s">
        <v>174</v>
      </c>
      <c r="J99" s="96" t="s">
        <v>6413</v>
      </c>
      <c r="K99" s="86"/>
      <c r="L99" s="4" t="s">
        <v>6416</v>
      </c>
      <c r="M99" s="4"/>
      <c r="O99" s="551"/>
      <c r="P99" s="146"/>
      <c r="S99" s="87"/>
    </row>
    <row r="100" spans="1:19" ht="15.95" customHeight="1" x14ac:dyDescent="0.35">
      <c r="A100" s="724" t="s">
        <v>6417</v>
      </c>
      <c r="B100" s="725">
        <v>46113</v>
      </c>
      <c r="C100" s="725">
        <v>46127</v>
      </c>
      <c r="D100" s="1110" t="s">
        <v>6226</v>
      </c>
      <c r="E100" s="96" t="s">
        <v>4376</v>
      </c>
      <c r="F100" s="900" t="s">
        <v>6227</v>
      </c>
      <c r="G100" s="901">
        <v>150</v>
      </c>
      <c r="H100" s="96">
        <v>0</v>
      </c>
      <c r="I100" s="96" t="s">
        <v>174</v>
      </c>
      <c r="J100" s="96" t="s">
        <v>6418</v>
      </c>
      <c r="K100" s="86"/>
      <c r="L100" s="507" t="s">
        <v>381</v>
      </c>
      <c r="M100" s="507"/>
      <c r="N100" s="549" t="s">
        <v>6419</v>
      </c>
      <c r="O100" s="551" t="s">
        <v>4716</v>
      </c>
      <c r="P100" s="146" t="s">
        <v>6420</v>
      </c>
      <c r="S100" s="87"/>
    </row>
    <row r="101" spans="1:19" ht="15.95" customHeight="1" x14ac:dyDescent="0.35">
      <c r="A101" s="724"/>
      <c r="B101" s="725"/>
      <c r="C101" s="725"/>
      <c r="D101" s="1110"/>
      <c r="E101" s="96"/>
      <c r="F101" s="900"/>
      <c r="G101" s="901"/>
      <c r="H101" s="96"/>
      <c r="I101" s="96"/>
      <c r="J101" s="96"/>
      <c r="K101" s="86"/>
      <c r="M101" s="507"/>
      <c r="N101" s="549"/>
      <c r="O101" s="551"/>
      <c r="P101" s="146"/>
      <c r="S101" s="87"/>
    </row>
    <row r="102" spans="1:19" ht="15.95" customHeight="1" x14ac:dyDescent="0.35">
      <c r="A102" s="724"/>
      <c r="B102" s="725">
        <v>46147</v>
      </c>
      <c r="C102" s="725">
        <v>46161</v>
      </c>
      <c r="D102" s="1110" t="s">
        <v>6226</v>
      </c>
      <c r="E102" s="96" t="s">
        <v>4376</v>
      </c>
      <c r="F102" s="900" t="s">
        <v>6227</v>
      </c>
      <c r="G102" s="901">
        <v>150</v>
      </c>
      <c r="H102" s="96"/>
      <c r="I102" s="96" t="s">
        <v>174</v>
      </c>
      <c r="J102" s="96" t="s">
        <v>6421</v>
      </c>
      <c r="K102" s="86"/>
      <c r="L102" s="4" t="s">
        <v>330</v>
      </c>
      <c r="M102" s="507"/>
      <c r="N102" s="549" t="s">
        <v>6422</v>
      </c>
      <c r="O102" s="551" t="s">
        <v>5014</v>
      </c>
      <c r="P102" s="146" t="s">
        <v>6423</v>
      </c>
      <c r="S102" s="87"/>
    </row>
    <row r="103" spans="1:19" ht="15.95" customHeight="1" x14ac:dyDescent="0.35">
      <c r="A103" s="724"/>
      <c r="B103" s="725">
        <v>46147</v>
      </c>
      <c r="C103" s="725">
        <v>46161</v>
      </c>
      <c r="D103" s="1110" t="s">
        <v>6226</v>
      </c>
      <c r="E103" s="96" t="s">
        <v>4376</v>
      </c>
      <c r="F103" s="900" t="s">
        <v>6227</v>
      </c>
      <c r="G103" s="901">
        <v>50</v>
      </c>
      <c r="H103" s="96">
        <v>100</v>
      </c>
      <c r="I103" s="96" t="s">
        <v>126</v>
      </c>
      <c r="J103" s="829" t="s">
        <v>6424</v>
      </c>
      <c r="K103" s="86"/>
      <c r="L103" s="507" t="s">
        <v>261</v>
      </c>
      <c r="N103" s="1111" t="s">
        <v>6425</v>
      </c>
      <c r="O103" s="551"/>
      <c r="P103" s="146" t="s">
        <v>6426</v>
      </c>
      <c r="S103" s="87"/>
    </row>
    <row r="104" spans="1:19" ht="15.95" customHeight="1" x14ac:dyDescent="0.35">
      <c r="A104" s="725"/>
      <c r="B104" s="725">
        <v>46147</v>
      </c>
      <c r="C104" s="725">
        <v>46161</v>
      </c>
      <c r="D104" s="1110" t="s">
        <v>6226</v>
      </c>
      <c r="E104" s="96" t="s">
        <v>4376</v>
      </c>
      <c r="F104" s="900" t="s">
        <v>6227</v>
      </c>
      <c r="G104" s="901">
        <v>50</v>
      </c>
      <c r="H104" s="96">
        <v>100</v>
      </c>
      <c r="I104" s="96" t="s">
        <v>126</v>
      </c>
      <c r="J104" s="484" t="s">
        <v>6427</v>
      </c>
      <c r="K104" s="86"/>
      <c r="L104" s="96" t="s">
        <v>275</v>
      </c>
      <c r="M104" s="4"/>
      <c r="N104" s="549" t="s">
        <v>6428</v>
      </c>
      <c r="O104" s="551"/>
      <c r="P104" s="146" t="s">
        <v>6429</v>
      </c>
      <c r="S104" s="87"/>
    </row>
    <row r="105" spans="1:19" ht="15.95" customHeight="1" x14ac:dyDescent="0.35">
      <c r="A105" s="725"/>
      <c r="B105" s="725">
        <v>46147</v>
      </c>
      <c r="C105" s="725">
        <v>46161</v>
      </c>
      <c r="D105" s="1110" t="s">
        <v>6226</v>
      </c>
      <c r="E105" s="96" t="s">
        <v>4376</v>
      </c>
      <c r="F105" s="900" t="s">
        <v>6227</v>
      </c>
      <c r="G105" s="901">
        <v>50</v>
      </c>
      <c r="H105" s="96">
        <v>100</v>
      </c>
      <c r="I105" s="96" t="s">
        <v>126</v>
      </c>
      <c r="J105" s="484" t="s">
        <v>6430</v>
      </c>
      <c r="K105" s="86"/>
      <c r="L105" s="96" t="s">
        <v>6431</v>
      </c>
      <c r="M105" s="4"/>
      <c r="N105" s="549" t="s">
        <v>6432</v>
      </c>
      <c r="O105" s="551"/>
      <c r="P105" s="146" t="s">
        <v>6433</v>
      </c>
      <c r="S105" s="87"/>
    </row>
    <row r="106" spans="1:19" ht="15.95" customHeight="1" x14ac:dyDescent="0.35">
      <c r="A106" s="725"/>
      <c r="B106" s="725"/>
      <c r="C106" s="725"/>
      <c r="D106" s="746"/>
      <c r="E106" s="96"/>
      <c r="F106" s="900"/>
      <c r="G106" s="901"/>
      <c r="H106" s="96"/>
      <c r="I106" s="96"/>
      <c r="J106" s="96"/>
      <c r="K106" s="86"/>
      <c r="L106" s="4"/>
      <c r="M106" s="4"/>
      <c r="N106" s="549"/>
      <c r="O106" s="551"/>
      <c r="P106" s="146"/>
      <c r="S106" s="87"/>
    </row>
    <row r="107" spans="1:19" ht="15.95" customHeight="1" x14ac:dyDescent="0.35">
      <c r="A107" s="725"/>
      <c r="B107" s="725">
        <v>46149</v>
      </c>
      <c r="C107" s="725">
        <v>46163</v>
      </c>
      <c r="D107" s="1110" t="s">
        <v>6226</v>
      </c>
      <c r="E107" s="96" t="s">
        <v>4376</v>
      </c>
      <c r="F107" s="900" t="s">
        <v>6227</v>
      </c>
      <c r="G107" s="901">
        <v>150</v>
      </c>
      <c r="H107" s="96">
        <v>0</v>
      </c>
      <c r="I107" s="96" t="s">
        <v>174</v>
      </c>
      <c r="J107" s="96" t="s">
        <v>5323</v>
      </c>
      <c r="K107" s="86"/>
      <c r="L107" s="4" t="s">
        <v>258</v>
      </c>
      <c r="M107" s="4"/>
      <c r="N107" s="549" t="s">
        <v>6434</v>
      </c>
      <c r="O107" s="551">
        <v>63</v>
      </c>
      <c r="P107" s="146" t="s">
        <v>6435</v>
      </c>
      <c r="S107" s="87"/>
    </row>
    <row r="108" spans="1:19" ht="15.95" customHeight="1" x14ac:dyDescent="0.35">
      <c r="A108" s="725"/>
      <c r="B108" s="725">
        <v>46149</v>
      </c>
      <c r="C108" s="725">
        <v>46163</v>
      </c>
      <c r="D108" s="1110" t="s">
        <v>6226</v>
      </c>
      <c r="E108" s="96" t="s">
        <v>4376</v>
      </c>
      <c r="F108" s="900" t="s">
        <v>6227</v>
      </c>
      <c r="G108" s="901">
        <v>150</v>
      </c>
      <c r="H108" s="96">
        <v>0</v>
      </c>
      <c r="I108" s="96" t="s">
        <v>174</v>
      </c>
      <c r="J108" s="96" t="s">
        <v>6436</v>
      </c>
      <c r="K108" s="86"/>
      <c r="L108" s="4" t="s">
        <v>217</v>
      </c>
      <c r="M108" s="4"/>
      <c r="N108" s="549" t="s">
        <v>6437</v>
      </c>
      <c r="O108" s="551" t="s">
        <v>6107</v>
      </c>
      <c r="P108" s="146" t="s">
        <v>6438</v>
      </c>
      <c r="S108" s="87"/>
    </row>
    <row r="109" spans="1:19" ht="15.95" customHeight="1" x14ac:dyDescent="0.35">
      <c r="A109" s="725"/>
      <c r="B109" s="725"/>
      <c r="C109" s="725"/>
      <c r="D109" s="746"/>
      <c r="E109" s="96"/>
      <c r="F109" s="900"/>
      <c r="G109" s="901"/>
      <c r="H109" s="96"/>
      <c r="I109" s="96"/>
      <c r="J109" s="96"/>
      <c r="K109" s="86"/>
      <c r="L109" s="4"/>
      <c r="M109" s="4"/>
      <c r="N109" s="549"/>
      <c r="O109" s="551"/>
      <c r="P109" s="146"/>
      <c r="S109" s="87"/>
    </row>
    <row r="110" spans="1:19" ht="15.95" customHeight="1" x14ac:dyDescent="0.35">
      <c r="A110" s="725"/>
      <c r="B110" s="725"/>
      <c r="C110" s="725"/>
      <c r="D110" s="746"/>
      <c r="E110" s="96"/>
      <c r="F110" s="900"/>
      <c r="G110" s="901"/>
      <c r="H110" s="96"/>
      <c r="I110" s="96"/>
      <c r="J110" s="96"/>
      <c r="K110" s="86"/>
      <c r="L110" s="4"/>
      <c r="M110" s="4"/>
      <c r="N110" s="549"/>
      <c r="O110" s="551"/>
      <c r="P110" s="146"/>
      <c r="S110" s="87"/>
    </row>
    <row r="111" spans="1:19" ht="15.95" customHeight="1" x14ac:dyDescent="0.35">
      <c r="A111" s="725"/>
      <c r="B111" s="725">
        <v>46155</v>
      </c>
      <c r="C111" s="725">
        <v>46169</v>
      </c>
      <c r="D111" s="1109" t="s">
        <v>6271</v>
      </c>
      <c r="E111" s="96" t="s">
        <v>4376</v>
      </c>
      <c r="F111" s="900" t="s">
        <v>6227</v>
      </c>
      <c r="G111" s="901">
        <v>150</v>
      </c>
      <c r="H111" s="96">
        <v>0</v>
      </c>
      <c r="I111" s="96" t="s">
        <v>174</v>
      </c>
      <c r="J111" s="96" t="s">
        <v>6439</v>
      </c>
      <c r="K111" s="86"/>
      <c r="L111" s="4" t="s">
        <v>4007</v>
      </c>
      <c r="M111" s="4" t="s">
        <v>6440</v>
      </c>
      <c r="N111" s="549" t="s">
        <v>6441</v>
      </c>
      <c r="O111" s="551" t="s">
        <v>5104</v>
      </c>
      <c r="P111" s="146" t="s">
        <v>6442</v>
      </c>
      <c r="S111" s="87"/>
    </row>
    <row r="112" spans="1:19" ht="15.95" customHeight="1" x14ac:dyDescent="0.35">
      <c r="A112" s="725"/>
      <c r="B112" s="725">
        <v>46155</v>
      </c>
      <c r="C112" s="725">
        <v>46169</v>
      </c>
      <c r="D112" s="1109" t="s">
        <v>6271</v>
      </c>
      <c r="E112" s="96" t="s">
        <v>4376</v>
      </c>
      <c r="F112" s="900" t="s">
        <v>6227</v>
      </c>
      <c r="G112" s="901">
        <v>150</v>
      </c>
      <c r="H112" s="96"/>
      <c r="I112" s="96" t="s">
        <v>175</v>
      </c>
      <c r="J112" s="96" t="s">
        <v>6443</v>
      </c>
      <c r="K112" s="86"/>
      <c r="L112" s="4" t="s">
        <v>290</v>
      </c>
      <c r="M112" s="4"/>
      <c r="N112" s="549" t="s">
        <v>6444</v>
      </c>
      <c r="O112" s="551" t="s">
        <v>5014</v>
      </c>
      <c r="P112" s="146" t="s">
        <v>6445</v>
      </c>
      <c r="S112" s="87"/>
    </row>
    <row r="113" spans="1:19" ht="15.95" customHeight="1" x14ac:dyDescent="0.35">
      <c r="A113" s="725"/>
      <c r="B113" s="725"/>
      <c r="C113" s="725"/>
      <c r="D113" s="1109"/>
      <c r="E113" s="96"/>
      <c r="F113" s="900"/>
      <c r="G113" s="901"/>
      <c r="H113" s="96"/>
      <c r="I113" s="96"/>
      <c r="J113" s="96"/>
      <c r="K113" s="86"/>
      <c r="L113" s="4"/>
      <c r="M113" s="4"/>
      <c r="N113" s="549"/>
      <c r="O113" s="551"/>
      <c r="P113" s="146"/>
      <c r="S113" s="87"/>
    </row>
    <row r="114" spans="1:19" ht="15.95" customHeight="1" x14ac:dyDescent="0.35">
      <c r="A114" s="725"/>
      <c r="B114" s="725">
        <v>46204</v>
      </c>
      <c r="C114" s="725">
        <v>46218</v>
      </c>
      <c r="D114" s="1110" t="s">
        <v>6226</v>
      </c>
      <c r="E114" s="96" t="s">
        <v>4376</v>
      </c>
      <c r="F114" s="900" t="s">
        <v>6227</v>
      </c>
      <c r="G114" s="901">
        <v>150</v>
      </c>
      <c r="H114" s="96"/>
      <c r="I114" s="96" t="s">
        <v>174</v>
      </c>
      <c r="J114" s="96" t="s">
        <v>6446</v>
      </c>
      <c r="K114" s="86"/>
      <c r="L114" s="4" t="s">
        <v>6155</v>
      </c>
      <c r="M114" s="4" t="s">
        <v>6447</v>
      </c>
      <c r="N114" s="549" t="s">
        <v>6448</v>
      </c>
      <c r="O114" s="551">
        <v>46</v>
      </c>
      <c r="P114" s="146" t="s">
        <v>6449</v>
      </c>
      <c r="S114" s="87"/>
    </row>
    <row r="115" spans="1:19" ht="15.95" customHeight="1" x14ac:dyDescent="0.35">
      <c r="A115" s="725"/>
      <c r="B115" s="725">
        <v>46204</v>
      </c>
      <c r="C115" s="725">
        <v>46218</v>
      </c>
      <c r="D115" s="1110" t="s">
        <v>6226</v>
      </c>
      <c r="E115" s="96" t="s">
        <v>4376</v>
      </c>
      <c r="F115" s="900" t="s">
        <v>6227</v>
      </c>
      <c r="G115" s="901">
        <v>120</v>
      </c>
      <c r="H115" s="96"/>
      <c r="I115" s="96" t="s">
        <v>180</v>
      </c>
      <c r="J115" s="96"/>
      <c r="K115" s="86"/>
      <c r="L115" s="4" t="s">
        <v>4005</v>
      </c>
      <c r="M115" s="4" t="s">
        <v>6450</v>
      </c>
      <c r="N115" s="549" t="s">
        <v>6451</v>
      </c>
      <c r="O115" s="551"/>
      <c r="P115" s="146" t="s">
        <v>6452</v>
      </c>
      <c r="S115" s="87"/>
    </row>
    <row r="116" spans="1:19" ht="15.95" customHeight="1" x14ac:dyDescent="0.35">
      <c r="A116" s="725"/>
      <c r="B116" s="725">
        <v>46204</v>
      </c>
      <c r="C116" s="725">
        <v>46218</v>
      </c>
      <c r="D116" s="1110" t="s">
        <v>6226</v>
      </c>
      <c r="E116" s="96" t="s">
        <v>4376</v>
      </c>
      <c r="F116" s="900" t="s">
        <v>6227</v>
      </c>
      <c r="G116" s="901">
        <v>120</v>
      </c>
      <c r="H116" s="96"/>
      <c r="I116" s="96" t="s">
        <v>180</v>
      </c>
      <c r="J116" s="96"/>
      <c r="K116" s="86"/>
      <c r="L116" s="4" t="s">
        <v>6453</v>
      </c>
      <c r="M116" s="4" t="s">
        <v>6450</v>
      </c>
      <c r="N116" s="549" t="s">
        <v>6451</v>
      </c>
      <c r="O116" s="551"/>
      <c r="P116" s="146" t="s">
        <v>6452</v>
      </c>
      <c r="S116" s="87"/>
    </row>
    <row r="117" spans="1:19" ht="15.95" customHeight="1" x14ac:dyDescent="0.35">
      <c r="A117" s="725"/>
      <c r="B117" s="725"/>
      <c r="C117" s="725"/>
      <c r="D117" s="1109"/>
      <c r="E117" s="96"/>
      <c r="F117" s="900"/>
      <c r="G117" s="901"/>
      <c r="H117" s="96"/>
      <c r="I117" s="96"/>
      <c r="J117" s="96"/>
      <c r="K117" s="86"/>
      <c r="L117" s="4"/>
      <c r="M117" s="4"/>
      <c r="N117" s="549"/>
      <c r="O117" s="551"/>
      <c r="P117" s="146"/>
      <c r="S117" s="87"/>
    </row>
    <row r="118" spans="1:19" ht="15.95" customHeight="1" x14ac:dyDescent="0.35">
      <c r="A118" s="725"/>
      <c r="B118" s="725">
        <v>46272</v>
      </c>
      <c r="C118" s="725">
        <v>46286</v>
      </c>
      <c r="D118" s="1109" t="s">
        <v>6271</v>
      </c>
      <c r="E118" s="96" t="s">
        <v>4376</v>
      </c>
      <c r="F118" s="900" t="s">
        <v>6227</v>
      </c>
      <c r="G118" s="901">
        <v>150</v>
      </c>
      <c r="H118" s="96">
        <v>0</v>
      </c>
      <c r="I118" s="96" t="s">
        <v>126</v>
      </c>
      <c r="J118" s="96" t="s">
        <v>6454</v>
      </c>
      <c r="K118" s="86"/>
      <c r="L118" s="4" t="s">
        <v>213</v>
      </c>
      <c r="M118" s="4"/>
      <c r="N118" s="549" t="s">
        <v>6293</v>
      </c>
      <c r="O118" s="551"/>
      <c r="P118" s="146"/>
      <c r="S118" s="87"/>
    </row>
    <row r="119" spans="1:19" ht="15.95" customHeight="1" x14ac:dyDescent="0.35">
      <c r="A119" s="725"/>
      <c r="B119" s="725"/>
      <c r="C119" s="725"/>
      <c r="D119" s="1109"/>
      <c r="E119" s="96"/>
      <c r="F119" s="900"/>
      <c r="G119" s="901"/>
      <c r="H119" s="96"/>
      <c r="I119" s="96"/>
      <c r="J119" s="96"/>
      <c r="K119" s="86"/>
      <c r="L119" s="4"/>
      <c r="M119" s="4"/>
      <c r="N119" s="549"/>
      <c r="O119" s="551"/>
      <c r="P119" s="146"/>
      <c r="S119" s="87"/>
    </row>
    <row r="120" spans="1:19" ht="15.95" customHeight="1" x14ac:dyDescent="0.35">
      <c r="A120" s="725"/>
      <c r="B120" s="725"/>
      <c r="C120" s="725"/>
      <c r="D120" s="1109"/>
      <c r="E120" s="96"/>
      <c r="F120" s="900"/>
      <c r="G120" s="901"/>
      <c r="H120" s="96"/>
      <c r="I120" s="96"/>
      <c r="J120" s="96"/>
      <c r="K120" s="86"/>
      <c r="L120" s="4"/>
      <c r="M120" s="4"/>
      <c r="N120" s="549"/>
      <c r="O120" s="551"/>
      <c r="P120" s="146"/>
      <c r="S120" s="87"/>
    </row>
    <row r="121" spans="1:19" ht="15.95" customHeight="1" x14ac:dyDescent="0.35">
      <c r="A121" s="725"/>
      <c r="B121" s="725"/>
      <c r="C121" s="725"/>
      <c r="D121" s="1109"/>
      <c r="E121" s="96"/>
      <c r="F121" s="900"/>
      <c r="G121" s="901"/>
      <c r="H121" s="96"/>
      <c r="I121" s="96"/>
      <c r="J121" s="96"/>
      <c r="K121" s="86"/>
      <c r="L121" s="4"/>
      <c r="M121" s="4"/>
      <c r="N121" s="549"/>
      <c r="O121" s="551"/>
      <c r="P121" s="146"/>
      <c r="S121" s="87"/>
    </row>
    <row r="122" spans="1:19" ht="15.95" customHeight="1" x14ac:dyDescent="0.35">
      <c r="A122" s="725"/>
      <c r="B122" s="725"/>
      <c r="C122" s="725"/>
      <c r="D122" s="1109"/>
      <c r="E122" s="96"/>
      <c r="F122" s="900"/>
      <c r="G122" s="901"/>
      <c r="H122" s="96"/>
      <c r="I122" s="96"/>
      <c r="J122" s="96"/>
      <c r="K122" s="86"/>
      <c r="L122" s="4"/>
      <c r="M122" s="4"/>
      <c r="N122" s="549"/>
      <c r="O122" s="551"/>
      <c r="P122" s="146"/>
      <c r="S122" s="87"/>
    </row>
    <row r="123" spans="1:19" ht="15.95" customHeight="1" x14ac:dyDescent="0.35">
      <c r="A123" s="725"/>
      <c r="S123" s="87"/>
    </row>
    <row r="124" spans="1:19" s="713" customFormat="1" ht="15.95" customHeight="1" x14ac:dyDescent="0.35">
      <c r="A124" s="720"/>
      <c r="B124" s="720"/>
      <c r="C124" s="709"/>
      <c r="D124" s="709"/>
      <c r="E124" s="709"/>
      <c r="F124" s="709"/>
      <c r="G124" s="710"/>
      <c r="H124" s="710"/>
      <c r="I124" s="606"/>
      <c r="J124" s="606"/>
      <c r="K124" s="711"/>
      <c r="L124" s="712"/>
      <c r="N124" s="721"/>
      <c r="O124" s="722"/>
      <c r="S124" s="723"/>
    </row>
    <row r="125" spans="1:19" x14ac:dyDescent="0.35">
      <c r="A125" s="543"/>
      <c r="C125" s="517"/>
      <c r="D125" s="517"/>
      <c r="E125" s="543" t="s">
        <v>6455</v>
      </c>
      <c r="F125" s="640">
        <f>COUNTIF(N5:N112,"")</f>
        <v>40</v>
      </c>
      <c r="G125" s="87"/>
      <c r="H125" s="511"/>
      <c r="I125" s="507"/>
      <c r="N125" s="551"/>
      <c r="P125" s="545"/>
      <c r="Q125" s="299"/>
      <c r="R125" s="299"/>
      <c r="S125" s="552"/>
    </row>
    <row r="126" spans="1:19" x14ac:dyDescent="0.35">
      <c r="A126" s="543"/>
      <c r="C126" s="199"/>
      <c r="D126" s="199"/>
      <c r="E126" s="543"/>
      <c r="G126" s="87"/>
      <c r="H126" s="511"/>
      <c r="I126" s="507"/>
      <c r="N126" s="551"/>
      <c r="P126" s="545"/>
      <c r="Q126" s="299"/>
      <c r="R126" s="299"/>
      <c r="S126" s="552"/>
    </row>
    <row r="127" spans="1:19" x14ac:dyDescent="0.35">
      <c r="A127" s="543"/>
      <c r="B127" s="84"/>
      <c r="C127" s="517"/>
      <c r="D127" s="517"/>
      <c r="E127" s="543" t="s">
        <v>6456</v>
      </c>
      <c r="F127" s="84"/>
      <c r="G127" s="299"/>
      <c r="H127" s="511"/>
      <c r="I127" s="507"/>
      <c r="N127" s="551"/>
      <c r="P127" s="299"/>
      <c r="Q127" s="299"/>
      <c r="R127" s="299"/>
      <c r="S127" s="552"/>
    </row>
    <row r="129" spans="2:9" x14ac:dyDescent="0.35">
      <c r="B129" s="84" t="s">
        <v>5374</v>
      </c>
      <c r="C129" s="517"/>
      <c r="D129" s="517"/>
      <c r="E129" s="715" t="s">
        <v>6456</v>
      </c>
      <c r="G129" s="87"/>
      <c r="H129" s="511"/>
      <c r="I129" s="507"/>
    </row>
    <row r="130" spans="2:9" x14ac:dyDescent="0.35">
      <c r="B130" s="84" t="s">
        <v>5375</v>
      </c>
      <c r="C130" s="517"/>
      <c r="D130" s="517"/>
      <c r="E130" s="715" t="s">
        <v>6456</v>
      </c>
      <c r="F130" s="84"/>
      <c r="G130" s="299"/>
      <c r="H130" s="511"/>
      <c r="I130" s="507"/>
    </row>
    <row r="131" spans="2:9" x14ac:dyDescent="0.35">
      <c r="B131" s="84" t="s">
        <v>6457</v>
      </c>
      <c r="C131" s="517"/>
      <c r="D131" s="517"/>
      <c r="E131" s="715" t="s">
        <v>6456</v>
      </c>
      <c r="F131" s="84"/>
      <c r="G131" s="299"/>
      <c r="H131" s="511"/>
      <c r="I131" s="507"/>
    </row>
    <row r="132" spans="2:9" x14ac:dyDescent="0.35">
      <c r="B132" s="84" t="s">
        <v>4358</v>
      </c>
      <c r="C132" s="517"/>
      <c r="D132" s="517"/>
      <c r="E132" s="715" t="s">
        <v>6456</v>
      </c>
      <c r="F132" s="84"/>
      <c r="G132" s="299"/>
      <c r="H132" s="511"/>
      <c r="I132" s="507"/>
    </row>
    <row r="133" spans="2:9" x14ac:dyDescent="0.35">
      <c r="B133" s="84" t="s">
        <v>4357</v>
      </c>
      <c r="C133" s="517"/>
      <c r="D133" s="517"/>
      <c r="E133" s="715" t="s">
        <v>6456</v>
      </c>
      <c r="F133" s="84"/>
      <c r="G133" s="299"/>
      <c r="H133" s="511"/>
      <c r="I133" s="507"/>
    </row>
    <row r="134" spans="2:9" x14ac:dyDescent="0.35">
      <c r="B134" s="84"/>
      <c r="C134" s="517"/>
      <c r="D134" s="517"/>
      <c r="E134" s="543"/>
      <c r="F134" s="84"/>
      <c r="G134" s="299"/>
      <c r="H134" s="511"/>
      <c r="I134" s="507"/>
    </row>
    <row r="135" spans="2:9" x14ac:dyDescent="0.35">
      <c r="C135" s="517"/>
      <c r="D135" s="517"/>
      <c r="E135" s="518"/>
      <c r="G135" s="87"/>
      <c r="H135" s="511"/>
      <c r="I135" s="507"/>
    </row>
    <row r="136" spans="2:9" x14ac:dyDescent="0.35">
      <c r="B136" s="520"/>
      <c r="C136" s="517"/>
      <c r="D136" s="517"/>
      <c r="E136" s="519" t="s">
        <v>63</v>
      </c>
      <c r="F136" s="714" t="e">
        <f>COUNTIF(#REF!,"")</f>
        <v>#REF!</v>
      </c>
      <c r="G136" s="719">
        <f>SUM(G3:G135)</f>
        <v>4090</v>
      </c>
      <c r="H136" s="719">
        <f>SUM(H3:H135)</f>
        <v>7170</v>
      </c>
      <c r="I136" s="523">
        <f>H136+G136</f>
        <v>11260</v>
      </c>
    </row>
    <row r="137" spans="2:9" x14ac:dyDescent="0.35">
      <c r="C137" s="517"/>
      <c r="D137" s="517"/>
      <c r="E137" s="504"/>
      <c r="G137" s="87"/>
      <c r="I137" s="507"/>
    </row>
    <row r="138" spans="2:9" x14ac:dyDescent="0.35">
      <c r="G138" s="87" t="s">
        <v>18</v>
      </c>
      <c r="H138" s="511" t="s">
        <v>6458</v>
      </c>
      <c r="I138" s="507">
        <v>30000</v>
      </c>
    </row>
    <row r="139" spans="2:9" x14ac:dyDescent="0.35">
      <c r="G139" s="87"/>
      <c r="I139" s="507"/>
    </row>
    <row r="140" spans="2:9" x14ac:dyDescent="0.35">
      <c r="G140" s="87" t="s">
        <v>6459</v>
      </c>
      <c r="H140" s="484">
        <f>I140/12</f>
        <v>-2500</v>
      </c>
      <c r="I140" s="507">
        <f>N136-I138</f>
        <v>-30000</v>
      </c>
    </row>
    <row r="152" spans="3:4" x14ac:dyDescent="0.35">
      <c r="C152" s="484" t="s">
        <v>6460</v>
      </c>
      <c r="D152" s="484" t="s">
        <v>1236</v>
      </c>
    </row>
    <row r="153" spans="3:4" x14ac:dyDescent="0.35">
      <c r="C153" s="484" t="s">
        <v>6461</v>
      </c>
      <c r="D153" s="484" t="s">
        <v>6462</v>
      </c>
    </row>
    <row r="154" spans="3:4" x14ac:dyDescent="0.35">
      <c r="C154" s="484" t="s">
        <v>6463</v>
      </c>
      <c r="D154" s="484" t="s">
        <v>6464</v>
      </c>
    </row>
    <row r="155" spans="3:4" x14ac:dyDescent="0.35">
      <c r="C155" s="484" t="s">
        <v>6465</v>
      </c>
      <c r="D155" s="484" t="s">
        <v>6466</v>
      </c>
    </row>
    <row r="156" spans="3:4" x14ac:dyDescent="0.35">
      <c r="C156" s="484" t="s">
        <v>6467</v>
      </c>
      <c r="D156" s="484" t="s">
        <v>6468</v>
      </c>
    </row>
  </sheetData>
  <autoFilter ref="C2:S136" xr:uid="{00000000-0009-0000-0000-00001E000000}"/>
  <conditionalFormatting sqref="M2">
    <cfRule type="cellIs" dxfId="12" priority="19" operator="greaterThan">
      <formula>0</formula>
    </cfRule>
  </conditionalFormatting>
  <conditionalFormatting sqref="I140">
    <cfRule type="cellIs" dxfId="11" priority="15" operator="lessThan">
      <formula>0</formula>
    </cfRule>
    <cfRule type="cellIs" dxfId="10" priority="16" operator="greaterThan">
      <formula>0</formula>
    </cfRule>
    <cfRule type="cellIs" dxfId="9" priority="17" operator="lessThan">
      <formula>28.7</formula>
    </cfRule>
  </conditionalFormatting>
  <hyperlinks>
    <hyperlink ref="N12" r:id="rId1" xr:uid="{00000000-0004-0000-1E00-000000000000}"/>
    <hyperlink ref="R23" r:id="rId2" xr:uid="{00000000-0004-0000-1E00-000001000000}"/>
    <hyperlink ref="N27" r:id="rId3" xr:uid="{00000000-0004-0000-1E00-000002000000}"/>
    <hyperlink ref="N28" r:id="rId4" xr:uid="{00000000-0004-0000-1E00-000003000000}"/>
    <hyperlink ref="N34" r:id="rId5" xr:uid="{00000000-0004-0000-1E00-000004000000}"/>
    <hyperlink ref="N42" r:id="rId6" xr:uid="{00000000-0004-0000-1E00-000005000000}"/>
    <hyperlink ref="N56" r:id="rId7" xr:uid="{00000000-0004-0000-1E00-000006000000}"/>
    <hyperlink ref="N57" r:id="rId8" xr:uid="{00000000-0004-0000-1E00-000007000000}"/>
    <hyperlink ref="Q69" r:id="rId9" xr:uid="{00000000-0004-0000-1E00-000008000000}"/>
    <hyperlink ref="N81" r:id="rId10" xr:uid="{00000000-0004-0000-1E00-000009000000}"/>
    <hyperlink ref="N103" r:id="rId11" xr:uid="{00000000-0004-0000-1E00-00000A000000}"/>
  </hyperlinks>
  <pageMargins left="0.25" right="0.25" top="0.75" bottom="0.75" header="0.3" footer="0.3"/>
  <pageSetup paperSize="9" scale="23" orientation="landscape"/>
  <legacyDrawing r:id="rId1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>
    <tabColor theme="4" tint="-0.249977111117893"/>
    <pageSetUpPr fitToPage="1"/>
  </sheetPr>
  <dimension ref="A1:V594"/>
  <sheetViews>
    <sheetView workbookViewId="0">
      <pane ySplit="1" topLeftCell="A526" activePane="bottomLeft" state="frozen"/>
      <selection activeCell="V27" sqref="V27"/>
      <selection pane="bottomLeft" activeCell="P547" sqref="P547"/>
    </sheetView>
  </sheetViews>
  <sheetFormatPr defaultColWidth="9.1328125" defaultRowHeight="14.65" x14ac:dyDescent="0.35"/>
  <cols>
    <col min="1" max="1" width="21.19921875" style="484" customWidth="1"/>
    <col min="2" max="2" width="15.796875" style="484" customWidth="1"/>
    <col min="3" max="3" width="26" style="484" customWidth="1"/>
    <col min="4" max="4" width="42" style="484" customWidth="1"/>
    <col min="5" max="5" width="8.53125" style="484" customWidth="1"/>
    <col min="6" max="6" width="13.86328125" style="484" customWidth="1"/>
    <col min="7" max="7" width="22.46484375" style="505" customWidth="1"/>
    <col min="8" max="8" width="10.53125" style="484" customWidth="1"/>
    <col min="9" max="9" width="12.796875" style="507" customWidth="1"/>
    <col min="10" max="10" width="12.33203125" style="484" customWidth="1"/>
    <col min="11" max="11" width="5.86328125" style="484" customWidth="1"/>
    <col min="12" max="12" width="18.46484375" style="516" customWidth="1"/>
    <col min="13" max="13" width="13.53125" style="516" customWidth="1"/>
    <col min="14" max="14" width="33" style="484" customWidth="1"/>
    <col min="15" max="15" width="4.53125" style="484" customWidth="1"/>
    <col min="16" max="16" width="14.46484375" style="484" customWidth="1"/>
    <col min="17" max="17" width="12.46484375" style="484" customWidth="1"/>
    <col min="18" max="18" width="38.1328125" style="484" customWidth="1"/>
    <col min="19" max="19" width="20.6640625" style="484" bestFit="1" customWidth="1"/>
    <col min="20" max="20" width="9.1328125" style="484" customWidth="1"/>
    <col min="21" max="16384" width="9.1328125" style="484"/>
  </cols>
  <sheetData>
    <row r="1" spans="2:19" ht="43.9" customHeight="1" x14ac:dyDescent="0.35">
      <c r="B1" s="485" t="s">
        <v>4506</v>
      </c>
      <c r="C1" s="486" t="s">
        <v>4933</v>
      </c>
      <c r="D1" s="236" t="s">
        <v>6469</v>
      </c>
      <c r="E1" s="487" t="s">
        <v>4934</v>
      </c>
      <c r="F1" s="487" t="s">
        <v>4935</v>
      </c>
      <c r="G1" s="488" t="s">
        <v>4936</v>
      </c>
      <c r="H1" s="489" t="s">
        <v>4504</v>
      </c>
      <c r="I1" s="490" t="s">
        <v>129</v>
      </c>
      <c r="J1" s="487" t="s">
        <v>3880</v>
      </c>
      <c r="K1" s="489" t="s">
        <v>4938</v>
      </c>
      <c r="L1" s="493" t="s">
        <v>4939</v>
      </c>
      <c r="M1" s="493" t="s">
        <v>4940</v>
      </c>
      <c r="N1" s="489" t="s">
        <v>4502</v>
      </c>
      <c r="O1" s="491" t="s">
        <v>4941</v>
      </c>
      <c r="P1" s="492" t="s">
        <v>4942</v>
      </c>
      <c r="Q1" s="489" t="s">
        <v>4943</v>
      </c>
      <c r="R1" s="492" t="s">
        <v>4944</v>
      </c>
      <c r="S1" s="489" t="s">
        <v>4945</v>
      </c>
    </row>
    <row r="2" spans="2:19" x14ac:dyDescent="0.35">
      <c r="B2" s="494"/>
      <c r="C2" s="495"/>
      <c r="D2" s="495"/>
      <c r="E2" s="496"/>
      <c r="F2" s="496"/>
      <c r="G2" s="497"/>
      <c r="H2" s="498" t="s">
        <v>120</v>
      </c>
      <c r="I2" s="499"/>
      <c r="J2" s="499"/>
      <c r="K2" s="496"/>
      <c r="L2" s="739"/>
      <c r="M2" s="739"/>
      <c r="N2" s="500"/>
      <c r="O2" s="501"/>
      <c r="P2" s="502"/>
      <c r="Q2" s="496"/>
      <c r="R2" s="502"/>
      <c r="S2" s="496"/>
    </row>
    <row r="3" spans="2:19" ht="10.5" customHeight="1" x14ac:dyDescent="0.35">
      <c r="B3" s="503"/>
      <c r="C3" s="504"/>
      <c r="D3" s="504"/>
      <c r="H3" s="506"/>
      <c r="J3" s="507"/>
      <c r="N3" s="508"/>
      <c r="O3" s="509"/>
      <c r="P3" s="510"/>
      <c r="R3" s="510"/>
    </row>
    <row r="4" spans="2:19" x14ac:dyDescent="0.35">
      <c r="B4" s="960"/>
      <c r="C4" s="710"/>
      <c r="D4" s="710"/>
      <c r="E4" s="710"/>
      <c r="F4" s="710"/>
      <c r="G4" s="961"/>
      <c r="H4" s="962"/>
      <c r="I4" s="963"/>
      <c r="J4" s="961"/>
      <c r="K4" s="710"/>
      <c r="L4" s="710"/>
      <c r="M4" s="710"/>
      <c r="N4" s="964"/>
      <c r="O4" s="965"/>
      <c r="P4" s="965"/>
      <c r="Q4" s="710"/>
      <c r="R4" s="966"/>
      <c r="S4" s="961"/>
    </row>
    <row r="5" spans="2:19" x14ac:dyDescent="0.35">
      <c r="B5" s="851"/>
      <c r="C5" s="851"/>
      <c r="D5" s="783"/>
      <c r="E5" s="783"/>
      <c r="F5" s="783"/>
      <c r="G5" s="784"/>
      <c r="H5" s="785"/>
      <c r="I5" s="786"/>
      <c r="J5" s="784"/>
      <c r="K5" s="783"/>
      <c r="L5" s="783"/>
      <c r="M5" s="783"/>
      <c r="N5" s="287"/>
      <c r="O5" s="791"/>
      <c r="P5" s="791"/>
      <c r="Q5" s="783"/>
      <c r="R5" s="787"/>
      <c r="S5" s="784"/>
    </row>
    <row r="7" spans="2:19" x14ac:dyDescent="0.35">
      <c r="B7" s="879">
        <v>45312</v>
      </c>
      <c r="C7" s="879" t="s">
        <v>1426</v>
      </c>
      <c r="D7" s="878" t="s">
        <v>6470</v>
      </c>
      <c r="E7" s="783" t="s">
        <v>6471</v>
      </c>
      <c r="F7" s="783" t="s">
        <v>174</v>
      </c>
      <c r="G7" s="784" t="s">
        <v>6472</v>
      </c>
      <c r="H7" s="785">
        <v>45237</v>
      </c>
      <c r="I7" s="786">
        <v>125</v>
      </c>
      <c r="J7" s="784">
        <v>0</v>
      </c>
      <c r="K7" s="783" t="s">
        <v>4955</v>
      </c>
      <c r="L7" s="783" t="s">
        <v>4260</v>
      </c>
      <c r="M7" s="783" t="s">
        <v>6473</v>
      </c>
      <c r="N7" s="287" t="s">
        <v>6474</v>
      </c>
      <c r="O7" s="791" t="s">
        <v>4849</v>
      </c>
      <c r="P7" s="791" t="s">
        <v>6475</v>
      </c>
      <c r="Q7" s="783" t="s">
        <v>6476</v>
      </c>
      <c r="R7" s="787" t="s">
        <v>6477</v>
      </c>
      <c r="S7" s="784" t="s">
        <v>6478</v>
      </c>
    </row>
    <row r="8" spans="2:19" x14ac:dyDescent="0.35">
      <c r="B8" s="879">
        <v>45493</v>
      </c>
      <c r="C8" s="931" t="s">
        <v>6479</v>
      </c>
      <c r="D8" s="878"/>
      <c r="E8" s="783" t="s">
        <v>5374</v>
      </c>
      <c r="F8" s="783" t="s">
        <v>174</v>
      </c>
      <c r="G8" s="784" t="s">
        <v>6480</v>
      </c>
      <c r="H8" s="785">
        <v>45051</v>
      </c>
      <c r="I8" s="786">
        <v>75</v>
      </c>
      <c r="J8" s="784">
        <v>75</v>
      </c>
      <c r="K8" s="86" t="s">
        <v>4955</v>
      </c>
      <c r="L8" s="4" t="s">
        <v>6481</v>
      </c>
      <c r="M8" s="4" t="s">
        <v>6380</v>
      </c>
      <c r="N8" s="767" t="s">
        <v>6482</v>
      </c>
      <c r="O8" s="551" t="s">
        <v>5104</v>
      </c>
      <c r="P8" s="146" t="s">
        <v>6483</v>
      </c>
      <c r="Q8" s="484" t="s">
        <v>6484</v>
      </c>
      <c r="R8" s="484" t="s">
        <v>6485</v>
      </c>
      <c r="S8" s="87" t="s">
        <v>6486</v>
      </c>
    </row>
    <row r="10" spans="2:19" x14ac:dyDescent="0.35">
      <c r="B10" s="879"/>
      <c r="C10" s="783"/>
      <c r="D10" s="783"/>
      <c r="E10" s="84"/>
      <c r="F10" s="783"/>
      <c r="G10" s="784"/>
      <c r="H10" s="785"/>
      <c r="I10" s="786"/>
      <c r="J10" s="784"/>
      <c r="K10" s="86"/>
      <c r="L10" s="4"/>
      <c r="M10" s="4"/>
      <c r="N10" s="549"/>
      <c r="O10" s="551"/>
      <c r="P10" s="146"/>
      <c r="S10" s="87"/>
    </row>
    <row r="11" spans="2:19" x14ac:dyDescent="0.35">
      <c r="B11" s="1056"/>
      <c r="C11" s="1057"/>
      <c r="D11" s="1058"/>
      <c r="E11" s="710"/>
      <c r="F11" s="710"/>
      <c r="G11" s="961"/>
      <c r="H11" s="962"/>
      <c r="I11" s="963"/>
      <c r="J11" s="961"/>
      <c r="K11" s="875"/>
      <c r="L11" s="876"/>
      <c r="M11" s="876"/>
      <c r="N11" s="721" t="s">
        <v>6487</v>
      </c>
      <c r="O11" s="722"/>
      <c r="P11" s="877"/>
      <c r="Q11" s="713"/>
      <c r="R11" s="713"/>
      <c r="S11" s="874"/>
    </row>
    <row r="12" spans="2:19" x14ac:dyDescent="0.35">
      <c r="G12" s="484"/>
      <c r="I12" s="484"/>
      <c r="L12" s="484"/>
      <c r="M12" s="484"/>
    </row>
    <row r="13" spans="2:19" x14ac:dyDescent="0.35">
      <c r="G13" s="484"/>
      <c r="I13" s="484"/>
      <c r="L13" s="484"/>
      <c r="M13" s="484"/>
    </row>
    <row r="14" spans="2:19" x14ac:dyDescent="0.35">
      <c r="B14" s="851">
        <v>45660</v>
      </c>
      <c r="C14" s="783" t="s">
        <v>6488</v>
      </c>
      <c r="D14" s="783" t="s">
        <v>785</v>
      </c>
      <c r="E14" s="84" t="s">
        <v>5593</v>
      </c>
      <c r="F14" s="84" t="s">
        <v>175</v>
      </c>
      <c r="G14" s="87" t="s">
        <v>6489</v>
      </c>
      <c r="H14" s="511">
        <v>45589</v>
      </c>
      <c r="I14" s="507">
        <v>9.9499999999999993</v>
      </c>
      <c r="J14" s="484">
        <v>0</v>
      </c>
      <c r="K14" s="96" t="s">
        <v>4664</v>
      </c>
      <c r="L14" s="830" t="s">
        <v>4410</v>
      </c>
      <c r="M14" s="830" t="s">
        <v>4411</v>
      </c>
      <c r="N14" s="287" t="s">
        <v>6490</v>
      </c>
      <c r="O14" s="829" t="s">
        <v>4889</v>
      </c>
      <c r="P14" s="829" t="s">
        <v>6491</v>
      </c>
      <c r="Q14" s="96" t="s">
        <v>6492</v>
      </c>
      <c r="R14" s="96" t="s">
        <v>6493</v>
      </c>
      <c r="S14" s="96" t="s">
        <v>4370</v>
      </c>
    </row>
    <row r="15" spans="2:19" x14ac:dyDescent="0.35">
      <c r="B15" s="851">
        <v>45660</v>
      </c>
      <c r="C15" s="783" t="s">
        <v>6488</v>
      </c>
      <c r="D15" s="783" t="s">
        <v>785</v>
      </c>
      <c r="E15" s="84" t="s">
        <v>5593</v>
      </c>
      <c r="F15" s="783" t="s">
        <v>174</v>
      </c>
      <c r="G15" s="784" t="s">
        <v>6494</v>
      </c>
      <c r="H15" s="785">
        <v>45547</v>
      </c>
      <c r="I15" s="786">
        <v>9.9499999999999993</v>
      </c>
      <c r="J15" s="784">
        <v>0</v>
      </c>
      <c r="K15" s="86" t="s">
        <v>4955</v>
      </c>
      <c r="L15" s="4" t="s">
        <v>6495</v>
      </c>
      <c r="M15" s="4" t="s">
        <v>6496</v>
      </c>
      <c r="N15" s="549" t="s">
        <v>6497</v>
      </c>
      <c r="O15" s="551" t="s">
        <v>5588</v>
      </c>
      <c r="P15" s="146" t="s">
        <v>6498</v>
      </c>
      <c r="Q15" s="484" t="s">
        <v>6499</v>
      </c>
      <c r="R15" s="484" t="s">
        <v>6500</v>
      </c>
      <c r="S15" s="87" t="s">
        <v>316</v>
      </c>
    </row>
    <row r="16" spans="2:19" x14ac:dyDescent="0.35">
      <c r="B16" s="851">
        <v>45660</v>
      </c>
      <c r="C16" s="783" t="s">
        <v>6488</v>
      </c>
      <c r="D16" s="783" t="s">
        <v>785</v>
      </c>
      <c r="E16" s="84" t="s">
        <v>5593</v>
      </c>
      <c r="F16" s="84" t="s">
        <v>175</v>
      </c>
      <c r="G16" s="784" t="s">
        <v>6501</v>
      </c>
      <c r="H16" s="785">
        <v>45648</v>
      </c>
      <c r="I16" s="786">
        <v>15</v>
      </c>
      <c r="J16" s="784">
        <v>0</v>
      </c>
      <c r="K16" s="86" t="s">
        <v>4664</v>
      </c>
      <c r="L16" s="4" t="s">
        <v>4761</v>
      </c>
      <c r="M16" s="4" t="s">
        <v>6502</v>
      </c>
      <c r="N16" s="549" t="s">
        <v>6503</v>
      </c>
      <c r="O16" s="551" t="s">
        <v>4804</v>
      </c>
      <c r="P16" s="146" t="s">
        <v>6504</v>
      </c>
      <c r="Q16" s="484" t="s">
        <v>6505</v>
      </c>
      <c r="R16" s="484" t="s">
        <v>6506</v>
      </c>
      <c r="S16" s="87" t="s">
        <v>6507</v>
      </c>
    </row>
    <row r="17" spans="2:20" x14ac:dyDescent="0.35">
      <c r="B17" s="851">
        <v>45660</v>
      </c>
      <c r="C17" s="783" t="s">
        <v>6488</v>
      </c>
      <c r="D17" s="783" t="s">
        <v>785</v>
      </c>
      <c r="E17" s="84" t="s">
        <v>5593</v>
      </c>
      <c r="F17" s="783" t="s">
        <v>174</v>
      </c>
      <c r="G17" s="784" t="s">
        <v>6508</v>
      </c>
      <c r="H17" s="785">
        <v>45659</v>
      </c>
      <c r="I17" s="786">
        <v>15</v>
      </c>
      <c r="J17" s="784">
        <v>0</v>
      </c>
      <c r="K17" s="86" t="s">
        <v>4664</v>
      </c>
      <c r="L17" s="4" t="s">
        <v>6509</v>
      </c>
      <c r="M17" s="4" t="s">
        <v>6510</v>
      </c>
      <c r="N17" s="549" t="s">
        <v>6511</v>
      </c>
      <c r="O17" s="551" t="s">
        <v>6512</v>
      </c>
      <c r="P17" s="146" t="s">
        <v>6513</v>
      </c>
      <c r="Q17" s="484" t="s">
        <v>6514</v>
      </c>
      <c r="R17" s="484" t="s">
        <v>6515</v>
      </c>
      <c r="S17" s="87" t="s">
        <v>4407</v>
      </c>
    </row>
    <row r="18" spans="2:20" x14ac:dyDescent="0.35">
      <c r="B18" s="1052"/>
      <c r="C18" s="1052"/>
      <c r="D18" s="1052"/>
      <c r="E18" s="1052"/>
      <c r="F18" s="1052"/>
      <c r="G18" s="1053"/>
      <c r="H18" s="1052"/>
      <c r="I18" s="1054"/>
      <c r="J18" s="1052"/>
      <c r="K18" s="1052"/>
      <c r="L18" s="1055"/>
      <c r="M18" s="1055"/>
      <c r="N18" s="1052"/>
      <c r="O18" s="1052"/>
      <c r="P18" s="1052"/>
      <c r="Q18" s="1052"/>
      <c r="R18" s="1052"/>
      <c r="S18" s="1052"/>
      <c r="T18" s="1052"/>
    </row>
    <row r="19" spans="2:20" x14ac:dyDescent="0.35">
      <c r="B19" s="851"/>
      <c r="C19" s="851"/>
      <c r="D19" s="84"/>
      <c r="F19" s="84"/>
      <c r="G19" s="87"/>
      <c r="H19" s="785"/>
      <c r="K19" s="84"/>
      <c r="L19" s="127"/>
      <c r="M19" s="127"/>
      <c r="N19" s="287"/>
      <c r="O19" s="146"/>
      <c r="P19" s="146"/>
    </row>
    <row r="21" spans="2:20" x14ac:dyDescent="0.35">
      <c r="B21" s="851">
        <v>45703</v>
      </c>
      <c r="C21" s="84" t="s">
        <v>2587</v>
      </c>
      <c r="D21" s="84" t="s">
        <v>6516</v>
      </c>
      <c r="E21" s="84" t="s">
        <v>5374</v>
      </c>
      <c r="F21" s="84" t="s">
        <v>126</v>
      </c>
      <c r="G21" s="87" t="s">
        <v>6517</v>
      </c>
      <c r="H21" s="785">
        <v>28</v>
      </c>
      <c r="I21" s="507">
        <v>60</v>
      </c>
      <c r="J21" s="484">
        <v>0</v>
      </c>
      <c r="K21" s="84" t="s">
        <v>4664</v>
      </c>
      <c r="L21" s="127" t="s">
        <v>6518</v>
      </c>
      <c r="M21" s="127" t="s">
        <v>6519</v>
      </c>
      <c r="N21" s="287" t="s">
        <v>6520</v>
      </c>
      <c r="P21" s="287" t="s">
        <v>6521</v>
      </c>
    </row>
    <row r="23" spans="2:20" x14ac:dyDescent="0.35">
      <c r="B23" s="879">
        <v>45704</v>
      </c>
      <c r="C23" s="879">
        <v>45718</v>
      </c>
      <c r="D23" s="607" t="s">
        <v>6522</v>
      </c>
      <c r="E23" s="607" t="s">
        <v>6470</v>
      </c>
      <c r="F23" s="607" t="s">
        <v>174</v>
      </c>
      <c r="G23" s="608" t="s">
        <v>6523</v>
      </c>
      <c r="H23" s="899">
        <v>45419</v>
      </c>
      <c r="I23" s="609">
        <v>150</v>
      </c>
      <c r="J23" s="607">
        <v>0</v>
      </c>
      <c r="K23" s="84" t="s">
        <v>4664</v>
      </c>
      <c r="L23" s="127" t="s">
        <v>4533</v>
      </c>
      <c r="M23" s="127" t="s">
        <v>4534</v>
      </c>
      <c r="N23" s="287" t="s">
        <v>4532</v>
      </c>
      <c r="O23" s="146" t="s">
        <v>4879</v>
      </c>
      <c r="P23" s="146" t="s">
        <v>4535</v>
      </c>
      <c r="Q23" s="484" t="s">
        <v>6524</v>
      </c>
      <c r="R23" s="484" t="s">
        <v>6525</v>
      </c>
      <c r="S23" s="484" t="s">
        <v>6526</v>
      </c>
    </row>
    <row r="24" spans="2:20" x14ac:dyDescent="0.35">
      <c r="B24" s="851"/>
      <c r="C24" s="851"/>
      <c r="D24" s="84"/>
      <c r="E24" s="84"/>
      <c r="F24" s="84"/>
      <c r="G24" s="87"/>
      <c r="H24" s="785"/>
      <c r="K24" s="84"/>
      <c r="L24" s="127"/>
      <c r="M24" s="127"/>
      <c r="N24" s="287"/>
      <c r="O24" s="146"/>
      <c r="P24" s="146"/>
    </row>
    <row r="25" spans="2:20" x14ac:dyDescent="0.35">
      <c r="B25" s="851"/>
      <c r="C25" s="851"/>
      <c r="D25" s="84"/>
      <c r="E25" s="84"/>
      <c r="F25" s="84"/>
      <c r="G25" s="87"/>
      <c r="H25" s="785"/>
      <c r="K25" s="84"/>
      <c r="L25" s="127"/>
      <c r="M25" s="127"/>
      <c r="N25" s="287"/>
      <c r="O25" s="146"/>
      <c r="P25" s="146"/>
    </row>
    <row r="26" spans="2:20" x14ac:dyDescent="0.35">
      <c r="B26" s="851">
        <v>45708</v>
      </c>
      <c r="C26" s="851">
        <v>45711</v>
      </c>
      <c r="D26" s="84" t="s">
        <v>219</v>
      </c>
      <c r="E26" s="84" t="s">
        <v>4360</v>
      </c>
      <c r="F26" s="84" t="s">
        <v>174</v>
      </c>
      <c r="G26" s="87" t="s">
        <v>6527</v>
      </c>
      <c r="H26" s="785">
        <v>45593</v>
      </c>
      <c r="I26" s="507">
        <v>895</v>
      </c>
      <c r="J26" s="484">
        <v>0</v>
      </c>
      <c r="K26" s="84" t="s">
        <v>4664</v>
      </c>
      <c r="L26" s="127" t="s">
        <v>3975</v>
      </c>
      <c r="M26" s="127" t="s">
        <v>6528</v>
      </c>
      <c r="N26" s="287" t="s">
        <v>6529</v>
      </c>
      <c r="O26" s="146" t="s">
        <v>6530</v>
      </c>
      <c r="P26" s="146" t="s">
        <v>6531</v>
      </c>
      <c r="Q26" s="484" t="s">
        <v>6532</v>
      </c>
      <c r="R26" s="484" t="s">
        <v>6533</v>
      </c>
      <c r="S26" s="484" t="s">
        <v>6534</v>
      </c>
    </row>
    <row r="27" spans="2:20" x14ac:dyDescent="0.35">
      <c r="B27" s="851">
        <v>45708</v>
      </c>
      <c r="C27" s="851">
        <v>45711</v>
      </c>
      <c r="D27" s="84" t="s">
        <v>219</v>
      </c>
      <c r="E27" s="84" t="s">
        <v>4360</v>
      </c>
      <c r="F27" s="84" t="s">
        <v>174</v>
      </c>
      <c r="G27" s="87" t="s">
        <v>6523</v>
      </c>
      <c r="H27" s="785">
        <v>45419</v>
      </c>
      <c r="I27" s="507">
        <v>895</v>
      </c>
      <c r="J27" s="484">
        <v>0</v>
      </c>
      <c r="K27" s="84" t="s">
        <v>4664</v>
      </c>
      <c r="L27" s="127" t="s">
        <v>4533</v>
      </c>
      <c r="M27" s="127" t="s">
        <v>4534</v>
      </c>
      <c r="N27" s="287" t="s">
        <v>4532</v>
      </c>
      <c r="O27" s="146" t="s">
        <v>4879</v>
      </c>
      <c r="P27" s="146" t="s">
        <v>4535</v>
      </c>
      <c r="Q27" s="484" t="s">
        <v>6524</v>
      </c>
      <c r="R27" s="484" t="s">
        <v>6525</v>
      </c>
      <c r="S27" s="484" t="s">
        <v>6526</v>
      </c>
    </row>
    <row r="28" spans="2:20" x14ac:dyDescent="0.35">
      <c r="B28" s="851"/>
      <c r="C28" s="851"/>
      <c r="D28" s="84"/>
      <c r="E28" s="84"/>
      <c r="F28" s="84"/>
      <c r="G28" s="87"/>
      <c r="H28" s="785"/>
      <c r="K28" s="84"/>
      <c r="L28" s="127"/>
      <c r="M28" s="127"/>
      <c r="N28" s="287"/>
      <c r="O28" s="146"/>
      <c r="P28" s="146"/>
    </row>
    <row r="30" spans="2:20" x14ac:dyDescent="0.35">
      <c r="B30" s="851">
        <v>45715</v>
      </c>
      <c r="C30" s="851">
        <v>45718</v>
      </c>
      <c r="D30" s="84" t="s">
        <v>1010</v>
      </c>
      <c r="E30" s="84" t="s">
        <v>4360</v>
      </c>
      <c r="F30" s="84" t="s">
        <v>174</v>
      </c>
      <c r="G30" s="87" t="s">
        <v>6535</v>
      </c>
      <c r="H30" s="785">
        <v>45683</v>
      </c>
      <c r="I30" s="507">
        <v>995</v>
      </c>
      <c r="J30" s="484">
        <v>0</v>
      </c>
      <c r="K30" s="84" t="s">
        <v>4664</v>
      </c>
      <c r="L30" s="127" t="s">
        <v>5931</v>
      </c>
      <c r="M30" s="127" t="s">
        <v>6536</v>
      </c>
      <c r="N30" s="287" t="s">
        <v>6537</v>
      </c>
      <c r="O30" s="146" t="s">
        <v>4849</v>
      </c>
      <c r="P30" s="146" t="s">
        <v>6538</v>
      </c>
      <c r="Q30" s="484" t="s">
        <v>6539</v>
      </c>
      <c r="R30" s="484" t="s">
        <v>6540</v>
      </c>
      <c r="S30" s="84" t="s">
        <v>6541</v>
      </c>
    </row>
    <row r="31" spans="2:20" x14ac:dyDescent="0.35">
      <c r="B31" s="851">
        <v>45715</v>
      </c>
      <c r="C31" s="851">
        <v>45718</v>
      </c>
      <c r="D31" s="84" t="s">
        <v>1010</v>
      </c>
      <c r="E31" s="84" t="s">
        <v>4360</v>
      </c>
      <c r="F31" s="84" t="s">
        <v>5414</v>
      </c>
      <c r="G31" s="87" t="s">
        <v>6542</v>
      </c>
      <c r="H31" s="785">
        <v>45686</v>
      </c>
      <c r="I31" s="507">
        <v>845.75</v>
      </c>
      <c r="J31" s="484">
        <v>0</v>
      </c>
      <c r="K31" s="84" t="s">
        <v>4955</v>
      </c>
      <c r="L31" s="127" t="s">
        <v>5865</v>
      </c>
      <c r="M31" s="127" t="s">
        <v>3992</v>
      </c>
      <c r="N31" s="287" t="s">
        <v>5864</v>
      </c>
      <c r="O31" s="146" t="s">
        <v>5028</v>
      </c>
      <c r="P31" s="146" t="s">
        <v>5416</v>
      </c>
      <c r="Q31" s="484" t="s">
        <v>4398</v>
      </c>
      <c r="R31" s="484" t="s">
        <v>4397</v>
      </c>
      <c r="S31" s="84" t="s">
        <v>4376</v>
      </c>
    </row>
    <row r="32" spans="2:20" x14ac:dyDescent="0.35">
      <c r="B32" s="851">
        <v>45715</v>
      </c>
      <c r="C32" s="851">
        <v>45718</v>
      </c>
      <c r="D32" s="84" t="s">
        <v>1010</v>
      </c>
      <c r="E32" s="84" t="s">
        <v>4360</v>
      </c>
      <c r="F32" s="84" t="s">
        <v>5414</v>
      </c>
      <c r="G32" s="87" t="s">
        <v>6543</v>
      </c>
      <c r="H32" s="785">
        <v>45705</v>
      </c>
      <c r="I32" s="507">
        <v>995</v>
      </c>
      <c r="J32" s="484">
        <v>0</v>
      </c>
      <c r="K32" s="84" t="s">
        <v>4955</v>
      </c>
      <c r="L32" s="127" t="s">
        <v>6544</v>
      </c>
      <c r="M32" s="127" t="s">
        <v>6545</v>
      </c>
      <c r="N32" s="287" t="s">
        <v>6546</v>
      </c>
      <c r="O32" s="146"/>
      <c r="P32" s="146" t="s">
        <v>6547</v>
      </c>
      <c r="Q32" s="484" t="s">
        <v>6548</v>
      </c>
      <c r="R32" s="484" t="s">
        <v>6549</v>
      </c>
      <c r="S32" s="84" t="s">
        <v>6550</v>
      </c>
    </row>
    <row r="33" spans="2:19" x14ac:dyDescent="0.35">
      <c r="B33" s="851"/>
      <c r="C33" s="851"/>
      <c r="D33" s="84"/>
      <c r="E33" s="84"/>
      <c r="F33" s="84"/>
      <c r="G33" s="87"/>
      <c r="H33" s="785"/>
      <c r="K33" s="84"/>
      <c r="L33" s="127"/>
      <c r="M33" s="127"/>
      <c r="N33" s="287"/>
      <c r="O33" s="146"/>
      <c r="P33" s="146"/>
      <c r="S33" s="84"/>
    </row>
    <row r="34" spans="2:19" x14ac:dyDescent="0.35">
      <c r="B34" s="851">
        <v>45721</v>
      </c>
      <c r="C34" s="851">
        <v>45721</v>
      </c>
      <c r="D34" s="84" t="s">
        <v>6551</v>
      </c>
      <c r="E34" s="84" t="s">
        <v>5593</v>
      </c>
      <c r="F34" s="84" t="s">
        <v>126</v>
      </c>
      <c r="G34" s="87" t="s">
        <v>6552</v>
      </c>
      <c r="H34" s="785">
        <v>45685</v>
      </c>
      <c r="I34" s="507">
        <v>0</v>
      </c>
      <c r="J34" s="484">
        <v>12</v>
      </c>
      <c r="K34" s="84" t="s">
        <v>4955</v>
      </c>
      <c r="L34" s="127" t="s">
        <v>6553</v>
      </c>
      <c r="M34" s="146" t="s">
        <v>6554</v>
      </c>
      <c r="N34" s="287" t="s">
        <v>6555</v>
      </c>
      <c r="O34" s="146"/>
      <c r="P34" s="146" t="s">
        <v>6556</v>
      </c>
      <c r="S34" s="84"/>
    </row>
    <row r="35" spans="2:19" x14ac:dyDescent="0.35">
      <c r="B35" s="851">
        <v>45721</v>
      </c>
      <c r="C35" s="851">
        <v>45721</v>
      </c>
      <c r="D35" s="84" t="s">
        <v>6551</v>
      </c>
      <c r="E35" s="84" t="s">
        <v>5593</v>
      </c>
      <c r="F35" s="84" t="s">
        <v>126</v>
      </c>
      <c r="G35" s="87" t="s">
        <v>6557</v>
      </c>
      <c r="H35" s="785">
        <v>45685</v>
      </c>
      <c r="I35" s="507">
        <v>0</v>
      </c>
      <c r="J35" s="484">
        <v>12</v>
      </c>
      <c r="K35" s="84" t="s">
        <v>4955</v>
      </c>
      <c r="L35" s="127" t="s">
        <v>6558</v>
      </c>
      <c r="M35" s="127" t="s">
        <v>6559</v>
      </c>
      <c r="N35" s="287" t="s">
        <v>6560</v>
      </c>
      <c r="O35" s="146"/>
      <c r="P35" s="146" t="s">
        <v>6561</v>
      </c>
      <c r="S35" s="84"/>
    </row>
    <row r="36" spans="2:19" x14ac:dyDescent="0.35">
      <c r="B36" s="851">
        <v>45721</v>
      </c>
      <c r="C36" s="851">
        <v>45721</v>
      </c>
      <c r="D36" s="84" t="s">
        <v>6551</v>
      </c>
      <c r="F36" s="84" t="s">
        <v>174</v>
      </c>
      <c r="G36" s="87" t="s">
        <v>6562</v>
      </c>
      <c r="H36" s="785">
        <v>45567</v>
      </c>
      <c r="I36" s="507">
        <v>15</v>
      </c>
      <c r="J36" s="484">
        <v>0</v>
      </c>
      <c r="K36" s="84" t="s">
        <v>4664</v>
      </c>
      <c r="L36" s="127" t="s">
        <v>4145</v>
      </c>
      <c r="M36" s="127" t="s">
        <v>6563</v>
      </c>
      <c r="N36" s="287" t="s">
        <v>6564</v>
      </c>
      <c r="O36" s="146" t="s">
        <v>4755</v>
      </c>
      <c r="P36" s="146" t="s">
        <v>6565</v>
      </c>
      <c r="Q36" s="484" t="s">
        <v>6566</v>
      </c>
      <c r="R36" s="484" t="s">
        <v>6567</v>
      </c>
      <c r="S36" s="484" t="s">
        <v>6568</v>
      </c>
    </row>
    <row r="37" spans="2:19" x14ac:dyDescent="0.35">
      <c r="B37" s="851">
        <v>45721</v>
      </c>
      <c r="C37" s="851">
        <v>45721</v>
      </c>
      <c r="D37" s="84" t="s">
        <v>6551</v>
      </c>
      <c r="F37" s="84" t="s">
        <v>174</v>
      </c>
      <c r="G37" s="87" t="s">
        <v>6569</v>
      </c>
      <c r="H37" s="785">
        <v>45692</v>
      </c>
      <c r="I37" s="507">
        <v>15</v>
      </c>
      <c r="K37" s="84" t="s">
        <v>4664</v>
      </c>
      <c r="L37" s="127" t="s">
        <v>6570</v>
      </c>
      <c r="M37" s="127" t="s">
        <v>6571</v>
      </c>
      <c r="N37" s="287" t="s">
        <v>6572</v>
      </c>
      <c r="O37" s="146" t="s">
        <v>4886</v>
      </c>
      <c r="P37" s="146" t="s">
        <v>6573</v>
      </c>
      <c r="Q37" s="484" t="s">
        <v>6574</v>
      </c>
      <c r="R37" s="484" t="s">
        <v>6575</v>
      </c>
      <c r="S37" s="84" t="s">
        <v>5032</v>
      </c>
    </row>
    <row r="38" spans="2:19" x14ac:dyDescent="0.35">
      <c r="B38" s="879"/>
      <c r="C38" s="851"/>
      <c r="D38" s="84"/>
      <c r="F38" s="84"/>
      <c r="H38" s="785"/>
      <c r="K38" s="84"/>
      <c r="L38" s="127"/>
      <c r="M38" s="127"/>
      <c r="N38" s="287"/>
      <c r="O38" s="146"/>
      <c r="P38" s="146"/>
    </row>
    <row r="39" spans="2:19" x14ac:dyDescent="0.35">
      <c r="B39" s="879"/>
      <c r="C39" s="851"/>
      <c r="D39" s="84"/>
      <c r="F39" s="84"/>
      <c r="G39" s="87"/>
      <c r="H39" s="785"/>
      <c r="K39" s="84"/>
      <c r="L39" s="127"/>
      <c r="M39" s="127"/>
      <c r="N39" s="287"/>
      <c r="O39" s="146"/>
      <c r="P39" s="146"/>
    </row>
    <row r="40" spans="2:19" x14ac:dyDescent="0.35">
      <c r="B40" s="879"/>
      <c r="C40" s="851"/>
      <c r="D40" s="84"/>
      <c r="F40" s="84"/>
      <c r="G40" s="87"/>
      <c r="H40" s="785"/>
      <c r="K40" s="84"/>
      <c r="L40" s="127"/>
      <c r="M40" s="127"/>
      <c r="N40" s="287"/>
      <c r="O40" s="146"/>
      <c r="P40" s="146"/>
    </row>
    <row r="41" spans="2:19" x14ac:dyDescent="0.35">
      <c r="B41" s="851"/>
      <c r="C41" s="851"/>
      <c r="D41" s="84"/>
      <c r="E41" s="84"/>
      <c r="F41" s="84"/>
      <c r="G41" s="87"/>
      <c r="H41" s="785"/>
      <c r="K41" s="84"/>
      <c r="L41" s="127"/>
      <c r="M41" s="127"/>
      <c r="N41" s="287"/>
      <c r="O41" s="146"/>
      <c r="P41" s="146"/>
      <c r="S41" s="84"/>
    </row>
    <row r="42" spans="2:19" x14ac:dyDescent="0.35">
      <c r="B42" s="851">
        <v>45721</v>
      </c>
      <c r="C42" s="851">
        <v>45721</v>
      </c>
      <c r="D42" s="84" t="s">
        <v>681</v>
      </c>
      <c r="E42" s="84" t="s">
        <v>5593</v>
      </c>
      <c r="F42" s="84" t="s">
        <v>126</v>
      </c>
      <c r="G42" s="87" t="s">
        <v>6576</v>
      </c>
      <c r="H42" s="785">
        <v>45686</v>
      </c>
      <c r="I42" s="484">
        <v>50</v>
      </c>
      <c r="J42" s="484">
        <v>0</v>
      </c>
      <c r="K42" s="84" t="s">
        <v>4664</v>
      </c>
      <c r="L42" s="127" t="s">
        <v>6518</v>
      </c>
      <c r="M42" s="127" t="s">
        <v>6577</v>
      </c>
      <c r="N42" s="287" t="s">
        <v>6578</v>
      </c>
      <c r="O42" s="146"/>
      <c r="P42" s="146" t="s">
        <v>6579</v>
      </c>
      <c r="S42" s="84"/>
    </row>
    <row r="43" spans="2:19" x14ac:dyDescent="0.35">
      <c r="B43" s="851">
        <v>45721</v>
      </c>
      <c r="C43" s="851">
        <v>45721</v>
      </c>
      <c r="D43" s="84" t="s">
        <v>681</v>
      </c>
      <c r="E43" s="84" t="s">
        <v>5593</v>
      </c>
      <c r="F43" s="84" t="s">
        <v>126</v>
      </c>
      <c r="G43" s="87" t="s">
        <v>6576</v>
      </c>
      <c r="H43" s="785">
        <v>45691</v>
      </c>
      <c r="I43" s="484">
        <v>50</v>
      </c>
      <c r="J43" s="484">
        <v>0</v>
      </c>
      <c r="K43" s="84" t="s">
        <v>4664</v>
      </c>
      <c r="L43" s="127" t="s">
        <v>6580</v>
      </c>
      <c r="M43" s="127" t="s">
        <v>6581</v>
      </c>
      <c r="N43" s="287" t="s">
        <v>6582</v>
      </c>
      <c r="O43" s="146"/>
      <c r="P43" s="146" t="s">
        <v>6583</v>
      </c>
      <c r="S43" s="84"/>
    </row>
    <row r="44" spans="2:19" x14ac:dyDescent="0.35">
      <c r="B44" s="851">
        <v>45721</v>
      </c>
      <c r="C44" s="851">
        <v>45721</v>
      </c>
      <c r="D44" s="84" t="s">
        <v>681</v>
      </c>
      <c r="E44" s="84" t="s">
        <v>5593</v>
      </c>
      <c r="F44" s="84" t="s">
        <v>126</v>
      </c>
      <c r="G44" s="87" t="s">
        <v>6584</v>
      </c>
      <c r="H44" s="785">
        <v>45700</v>
      </c>
      <c r="I44" s="484">
        <v>50</v>
      </c>
      <c r="J44" s="484">
        <v>0</v>
      </c>
      <c r="K44" s="84"/>
      <c r="L44" s="127" t="s">
        <v>6585</v>
      </c>
      <c r="M44" s="127" t="s">
        <v>6586</v>
      </c>
      <c r="N44" s="287" t="s">
        <v>6587</v>
      </c>
      <c r="O44" s="146"/>
      <c r="P44" s="146" t="s">
        <v>6588</v>
      </c>
      <c r="S44" s="84"/>
    </row>
    <row r="45" spans="2:19" x14ac:dyDescent="0.35">
      <c r="B45" s="851">
        <v>45721</v>
      </c>
      <c r="C45" s="851">
        <v>45721</v>
      </c>
      <c r="D45" s="84" t="s">
        <v>681</v>
      </c>
      <c r="E45" s="84" t="s">
        <v>5593</v>
      </c>
      <c r="F45" s="84" t="s">
        <v>126</v>
      </c>
      <c r="G45" s="87" t="s">
        <v>6589</v>
      </c>
      <c r="H45" s="785">
        <v>45705</v>
      </c>
      <c r="I45" s="484">
        <v>50</v>
      </c>
      <c r="J45" s="484">
        <v>0</v>
      </c>
      <c r="K45" s="84" t="s">
        <v>4664</v>
      </c>
      <c r="L45" s="127" t="s">
        <v>4192</v>
      </c>
      <c r="M45" s="127" t="s">
        <v>6590</v>
      </c>
      <c r="N45" s="287" t="s">
        <v>6591</v>
      </c>
      <c r="O45" s="146"/>
      <c r="P45" s="146" t="s">
        <v>6592</v>
      </c>
      <c r="S45" s="84"/>
    </row>
    <row r="46" spans="2:19" x14ac:dyDescent="0.35">
      <c r="B46" s="851">
        <v>45721</v>
      </c>
      <c r="C46" s="851">
        <v>45721</v>
      </c>
      <c r="D46" s="84" t="s">
        <v>681</v>
      </c>
      <c r="E46" s="84" t="s">
        <v>5593</v>
      </c>
      <c r="F46" s="84" t="s">
        <v>176</v>
      </c>
      <c r="G46" s="87" t="s">
        <v>6593</v>
      </c>
      <c r="H46" s="785">
        <v>45705</v>
      </c>
      <c r="I46" s="484">
        <v>50</v>
      </c>
      <c r="J46" s="484">
        <v>0</v>
      </c>
      <c r="K46" s="84" t="s">
        <v>4664</v>
      </c>
      <c r="L46" s="127" t="s">
        <v>4058</v>
      </c>
      <c r="M46" s="127" t="s">
        <v>6594</v>
      </c>
      <c r="N46" s="287" t="s">
        <v>6595</v>
      </c>
      <c r="O46" s="146" t="s">
        <v>4749</v>
      </c>
      <c r="P46" s="146" t="s">
        <v>6596</v>
      </c>
      <c r="Q46" s="84" t="s">
        <v>6597</v>
      </c>
      <c r="R46" s="484" t="s">
        <v>6598</v>
      </c>
      <c r="S46" s="84" t="s">
        <v>4365</v>
      </c>
    </row>
    <row r="47" spans="2:19" x14ac:dyDescent="0.35">
      <c r="B47" s="851">
        <v>45721</v>
      </c>
      <c r="C47" s="851">
        <v>45721</v>
      </c>
      <c r="D47" s="84" t="s">
        <v>681</v>
      </c>
      <c r="E47" s="84" t="s">
        <v>5593</v>
      </c>
      <c r="F47" s="84" t="s">
        <v>126</v>
      </c>
      <c r="G47" s="87" t="s">
        <v>6599</v>
      </c>
      <c r="H47" s="785">
        <v>45706</v>
      </c>
      <c r="I47" s="484">
        <v>50</v>
      </c>
      <c r="J47" s="484">
        <v>0</v>
      </c>
      <c r="K47" s="84"/>
      <c r="L47" s="127" t="s">
        <v>870</v>
      </c>
      <c r="M47" s="127"/>
      <c r="N47" s="287" t="s">
        <v>6600</v>
      </c>
      <c r="O47" s="146"/>
      <c r="P47" s="146" t="s">
        <v>6601</v>
      </c>
      <c r="Q47" s="84"/>
      <c r="S47" s="84"/>
    </row>
    <row r="48" spans="2:19" x14ac:dyDescent="0.35">
      <c r="B48" s="851"/>
      <c r="C48" s="851"/>
      <c r="D48" s="84"/>
      <c r="E48" s="84"/>
      <c r="F48" s="84"/>
      <c r="G48" s="87"/>
      <c r="H48" s="785"/>
      <c r="K48" s="84"/>
      <c r="L48" s="127"/>
      <c r="M48" s="127"/>
      <c r="N48" s="287"/>
      <c r="O48" s="146"/>
      <c r="P48" s="146"/>
      <c r="S48" s="84"/>
    </row>
    <row r="50" spans="2:19" x14ac:dyDescent="0.35">
      <c r="B50" s="851">
        <v>45723</v>
      </c>
      <c r="C50" s="783" t="s">
        <v>224</v>
      </c>
      <c r="D50" s="84" t="s">
        <v>886</v>
      </c>
      <c r="E50" s="84" t="s">
        <v>5375</v>
      </c>
      <c r="F50" s="84" t="s">
        <v>176</v>
      </c>
      <c r="G50" s="784" t="s">
        <v>6602</v>
      </c>
      <c r="H50" s="785">
        <v>45472</v>
      </c>
      <c r="I50" s="786">
        <v>99</v>
      </c>
      <c r="J50" s="784">
        <v>0</v>
      </c>
      <c r="K50" s="86" t="s">
        <v>4664</v>
      </c>
      <c r="L50" s="4" t="s">
        <v>6603</v>
      </c>
      <c r="M50" s="4" t="s">
        <v>6604</v>
      </c>
      <c r="N50" s="549" t="s">
        <v>6605</v>
      </c>
      <c r="O50" s="551" t="s">
        <v>5709</v>
      </c>
      <c r="P50" s="146" t="s">
        <v>6606</v>
      </c>
      <c r="Q50" s="484" t="s">
        <v>6607</v>
      </c>
      <c r="R50" s="84" t="s">
        <v>6608</v>
      </c>
      <c r="S50" s="87" t="s">
        <v>5032</v>
      </c>
    </row>
    <row r="51" spans="2:19" x14ac:dyDescent="0.35">
      <c r="B51" s="851">
        <v>45723</v>
      </c>
      <c r="C51" s="783" t="s">
        <v>224</v>
      </c>
      <c r="D51" s="84" t="s">
        <v>886</v>
      </c>
      <c r="E51" s="84" t="s">
        <v>5375</v>
      </c>
      <c r="F51" s="84" t="s">
        <v>126</v>
      </c>
      <c r="G51" s="87" t="s">
        <v>6609</v>
      </c>
      <c r="H51" s="785">
        <v>45686</v>
      </c>
      <c r="I51" s="507">
        <v>0</v>
      </c>
      <c r="J51" s="484">
        <v>99</v>
      </c>
      <c r="K51" s="84" t="s">
        <v>4664</v>
      </c>
      <c r="L51" s="127" t="s">
        <v>6518</v>
      </c>
      <c r="M51" s="127" t="s">
        <v>6577</v>
      </c>
      <c r="N51" s="287" t="s">
        <v>6578</v>
      </c>
      <c r="O51" s="146"/>
      <c r="P51" s="146"/>
    </row>
    <row r="52" spans="2:19" x14ac:dyDescent="0.35">
      <c r="B52" s="851">
        <v>45723</v>
      </c>
      <c r="C52" s="783" t="s">
        <v>224</v>
      </c>
      <c r="D52" s="84" t="s">
        <v>886</v>
      </c>
      <c r="E52" s="84" t="s">
        <v>5375</v>
      </c>
      <c r="F52" s="84" t="s">
        <v>126</v>
      </c>
      <c r="G52" s="505" t="s">
        <v>6610</v>
      </c>
      <c r="H52" s="785">
        <v>45687</v>
      </c>
      <c r="I52" s="507">
        <v>0</v>
      </c>
      <c r="J52" s="484">
        <v>99</v>
      </c>
      <c r="K52" s="84" t="s">
        <v>4664</v>
      </c>
      <c r="L52" s="127" t="s">
        <v>532</v>
      </c>
      <c r="M52" s="127" t="s">
        <v>6611</v>
      </c>
      <c r="N52" s="287" t="s">
        <v>6612</v>
      </c>
      <c r="P52" s="146" t="s">
        <v>6613</v>
      </c>
    </row>
    <row r="53" spans="2:19" x14ac:dyDescent="0.35">
      <c r="B53" s="851">
        <v>45723</v>
      </c>
      <c r="C53" s="783" t="s">
        <v>224</v>
      </c>
      <c r="D53" s="84" t="s">
        <v>886</v>
      </c>
      <c r="E53" s="84" t="s">
        <v>5375</v>
      </c>
      <c r="F53" s="84" t="s">
        <v>126</v>
      </c>
      <c r="G53" s="505" t="s">
        <v>6614</v>
      </c>
      <c r="H53" s="785">
        <v>45691</v>
      </c>
      <c r="I53" s="507">
        <v>0</v>
      </c>
      <c r="J53" s="484">
        <v>99</v>
      </c>
      <c r="K53" s="96"/>
      <c r="L53" s="830" t="s">
        <v>6615</v>
      </c>
      <c r="M53" s="896" t="s">
        <v>6616</v>
      </c>
      <c r="N53" s="549" t="s">
        <v>6617</v>
      </c>
      <c r="O53" s="829"/>
      <c r="P53" s="967" t="s">
        <v>6618</v>
      </c>
      <c r="Q53" s="96"/>
      <c r="R53" s="96"/>
      <c r="S53" s="96"/>
    </row>
    <row r="54" spans="2:19" x14ac:dyDescent="0.35">
      <c r="B54" s="851"/>
      <c r="C54" s="783"/>
      <c r="D54" s="84"/>
      <c r="E54" s="84"/>
      <c r="F54" s="84"/>
      <c r="H54" s="785"/>
      <c r="K54" s="96"/>
      <c r="L54" s="830"/>
      <c r="M54" s="896"/>
      <c r="N54" s="549"/>
      <c r="O54" s="829"/>
      <c r="P54" s="967"/>
      <c r="Q54" s="96"/>
      <c r="R54" s="96"/>
      <c r="S54" s="96"/>
    </row>
    <row r="55" spans="2:19" x14ac:dyDescent="0.35">
      <c r="B55" s="851"/>
      <c r="C55" s="783"/>
      <c r="D55" s="84"/>
      <c r="E55" s="84"/>
      <c r="F55" s="84"/>
      <c r="H55" s="785"/>
      <c r="K55" s="96"/>
      <c r="L55" s="830"/>
      <c r="M55" s="896"/>
      <c r="N55" s="549"/>
      <c r="O55" s="829"/>
      <c r="P55" s="967"/>
      <c r="Q55" s="96"/>
      <c r="R55" s="96"/>
      <c r="S55" s="96"/>
    </row>
    <row r="56" spans="2:19" x14ac:dyDescent="0.35">
      <c r="B56" s="851"/>
      <c r="C56" s="783"/>
      <c r="D56" s="84"/>
      <c r="E56" s="84"/>
      <c r="F56" s="84"/>
      <c r="H56" s="785"/>
      <c r="K56" s="96"/>
      <c r="L56" s="830"/>
      <c r="M56" s="896"/>
      <c r="N56" s="549"/>
      <c r="O56" s="829"/>
      <c r="P56" s="967"/>
      <c r="Q56" s="96"/>
      <c r="R56" s="96"/>
      <c r="S56" s="96"/>
    </row>
    <row r="57" spans="2:19" x14ac:dyDescent="0.35">
      <c r="B57" s="851"/>
      <c r="C57" s="783"/>
      <c r="D57" s="84"/>
      <c r="E57" s="84"/>
      <c r="F57" s="84"/>
      <c r="H57" s="785"/>
      <c r="K57" s="96"/>
      <c r="L57" s="830"/>
      <c r="M57" s="896"/>
      <c r="N57" s="549"/>
      <c r="O57" s="829"/>
      <c r="P57" s="967"/>
      <c r="Q57" s="96"/>
      <c r="R57" s="96"/>
      <c r="S57" s="96"/>
    </row>
    <row r="58" spans="2:19" x14ac:dyDescent="0.35">
      <c r="O58" s="829"/>
      <c r="P58" s="967"/>
      <c r="Q58" s="96"/>
      <c r="R58" s="96"/>
      <c r="S58" s="96"/>
    </row>
    <row r="59" spans="2:19" x14ac:dyDescent="0.35">
      <c r="B59" s="851"/>
      <c r="C59" s="783"/>
      <c r="D59" s="84"/>
      <c r="E59" s="84"/>
      <c r="F59" s="84"/>
      <c r="H59" s="785"/>
      <c r="K59" s="96"/>
      <c r="L59" s="830"/>
      <c r="M59" s="896"/>
      <c r="N59" s="549"/>
      <c r="O59" s="829"/>
      <c r="P59" s="967"/>
      <c r="Q59" s="96"/>
      <c r="R59" s="96"/>
      <c r="S59" s="96"/>
    </row>
    <row r="60" spans="2:19" x14ac:dyDescent="0.35">
      <c r="B60" s="851"/>
      <c r="C60" s="783"/>
      <c r="D60" s="84"/>
      <c r="E60" s="84"/>
      <c r="F60" s="84"/>
      <c r="H60" s="785"/>
      <c r="K60" s="96"/>
      <c r="L60" s="830"/>
      <c r="M60" s="896"/>
      <c r="N60" s="549"/>
      <c r="O60" s="829"/>
      <c r="P60" s="967"/>
      <c r="Q60" s="96"/>
      <c r="R60" s="96"/>
      <c r="S60" s="96"/>
    </row>
    <row r="61" spans="2:19" x14ac:dyDescent="0.35">
      <c r="B61" s="851"/>
      <c r="C61" s="783"/>
      <c r="D61" s="84"/>
      <c r="E61" s="84"/>
      <c r="F61" s="84"/>
      <c r="H61" s="785"/>
      <c r="K61" s="96"/>
      <c r="L61" s="830"/>
      <c r="M61" s="896"/>
      <c r="N61" s="549"/>
      <c r="O61" s="829"/>
      <c r="P61" s="967"/>
      <c r="Q61" s="96"/>
      <c r="R61" s="96"/>
      <c r="S61" s="96"/>
    </row>
    <row r="62" spans="2:19" x14ac:dyDescent="0.35">
      <c r="B62" s="1047"/>
      <c r="C62" s="1048"/>
      <c r="D62" s="1048"/>
      <c r="E62" s="1048"/>
      <c r="F62" s="1048"/>
      <c r="G62" s="1049"/>
      <c r="H62" s="1050"/>
      <c r="I62" s="1051"/>
      <c r="J62" s="1049"/>
      <c r="K62" s="96"/>
      <c r="L62" s="830"/>
      <c r="M62" s="896"/>
      <c r="N62" s="549"/>
      <c r="O62" s="829"/>
      <c r="P62" s="967"/>
      <c r="Q62" s="96"/>
      <c r="R62" s="96"/>
      <c r="S62" s="96"/>
    </row>
    <row r="63" spans="2:19" x14ac:dyDescent="0.35">
      <c r="B63" s="851">
        <v>45757</v>
      </c>
      <c r="C63" s="783" t="s">
        <v>783</v>
      </c>
      <c r="D63" s="783" t="s">
        <v>316</v>
      </c>
      <c r="E63" s="783" t="s">
        <v>5374</v>
      </c>
      <c r="F63" s="783" t="s">
        <v>174</v>
      </c>
      <c r="G63" s="784" t="s">
        <v>6619</v>
      </c>
      <c r="H63" s="785">
        <v>45552</v>
      </c>
      <c r="I63" s="786">
        <v>50</v>
      </c>
      <c r="J63" s="784">
        <v>0</v>
      </c>
      <c r="K63" s="898" t="s">
        <v>4664</v>
      </c>
      <c r="L63" s="898" t="s">
        <v>5078</v>
      </c>
      <c r="M63" s="898" t="s">
        <v>6620</v>
      </c>
      <c r="N63" s="287" t="s">
        <v>6621</v>
      </c>
      <c r="O63" s="791" t="s">
        <v>4889</v>
      </c>
      <c r="P63" s="791" t="s">
        <v>6622</v>
      </c>
      <c r="Q63" s="783" t="s">
        <v>6623</v>
      </c>
      <c r="R63" s="787" t="s">
        <v>6624</v>
      </c>
      <c r="S63" s="784" t="s">
        <v>6625</v>
      </c>
    </row>
    <row r="64" spans="2:19" x14ac:dyDescent="0.35">
      <c r="B64" s="851">
        <v>45757</v>
      </c>
      <c r="C64" s="783" t="s">
        <v>783</v>
      </c>
      <c r="D64" s="783" t="s">
        <v>316</v>
      </c>
      <c r="E64" s="783" t="s">
        <v>5374</v>
      </c>
      <c r="F64" s="783" t="s">
        <v>174</v>
      </c>
      <c r="G64" s="784" t="s">
        <v>6626</v>
      </c>
      <c r="H64" s="785">
        <v>45570</v>
      </c>
      <c r="I64" s="786">
        <v>50</v>
      </c>
      <c r="J64" s="784">
        <v>0</v>
      </c>
      <c r="K64" s="898" t="s">
        <v>4664</v>
      </c>
      <c r="L64" s="898" t="s">
        <v>6627</v>
      </c>
      <c r="M64" s="898" t="s">
        <v>6628</v>
      </c>
      <c r="N64" s="287" t="s">
        <v>6629</v>
      </c>
      <c r="O64" s="791" t="s">
        <v>4804</v>
      </c>
      <c r="P64" s="791" t="s">
        <v>6630</v>
      </c>
      <c r="Q64" s="783" t="s">
        <v>6631</v>
      </c>
      <c r="R64" s="787" t="s">
        <v>6632</v>
      </c>
      <c r="S64" s="784" t="s">
        <v>6633</v>
      </c>
    </row>
    <row r="65" spans="2:19" x14ac:dyDescent="0.35">
      <c r="B65" s="851">
        <v>45757</v>
      </c>
      <c r="C65" s="783" t="s">
        <v>783</v>
      </c>
      <c r="D65" s="783" t="s">
        <v>316</v>
      </c>
      <c r="E65" s="84" t="s">
        <v>5375</v>
      </c>
      <c r="F65" s="84" t="s">
        <v>174</v>
      </c>
      <c r="G65" s="784" t="s">
        <v>6634</v>
      </c>
      <c r="H65" s="785">
        <v>45426</v>
      </c>
      <c r="I65" s="786">
        <v>50</v>
      </c>
      <c r="J65" s="784">
        <v>0</v>
      </c>
      <c r="K65" s="86" t="s">
        <v>4664</v>
      </c>
      <c r="L65" s="4" t="s">
        <v>4533</v>
      </c>
      <c r="M65" s="4" t="s">
        <v>4534</v>
      </c>
      <c r="N65" s="549" t="s">
        <v>6635</v>
      </c>
      <c r="O65" s="551" t="s">
        <v>4879</v>
      </c>
      <c r="P65" s="146" t="s">
        <v>4535</v>
      </c>
      <c r="Q65" s="484" t="s">
        <v>6524</v>
      </c>
      <c r="R65" s="84" t="s">
        <v>6525</v>
      </c>
      <c r="S65" s="87" t="s">
        <v>6636</v>
      </c>
    </row>
    <row r="66" spans="2:19" x14ac:dyDescent="0.35">
      <c r="B66" s="851">
        <v>45757</v>
      </c>
      <c r="C66" s="783" t="s">
        <v>783</v>
      </c>
      <c r="D66" s="783" t="s">
        <v>316</v>
      </c>
      <c r="E66" s="783" t="s">
        <v>5374</v>
      </c>
      <c r="F66" s="84" t="s">
        <v>126</v>
      </c>
      <c r="G66" s="784" t="s">
        <v>6637</v>
      </c>
      <c r="H66" s="785">
        <v>45686</v>
      </c>
      <c r="I66" s="507">
        <v>0</v>
      </c>
      <c r="J66" s="484">
        <v>50</v>
      </c>
      <c r="K66" s="84" t="s">
        <v>4664</v>
      </c>
      <c r="L66" s="127" t="s">
        <v>6518</v>
      </c>
      <c r="M66" s="127" t="s">
        <v>6519</v>
      </c>
      <c r="N66" s="287" t="s">
        <v>6520</v>
      </c>
      <c r="O66" s="551"/>
      <c r="P66" s="146" t="s">
        <v>6638</v>
      </c>
      <c r="R66" s="84"/>
      <c r="S66" s="87"/>
    </row>
    <row r="67" spans="2:19" x14ac:dyDescent="0.35">
      <c r="B67" s="851">
        <v>45757</v>
      </c>
      <c r="C67" s="783" t="s">
        <v>783</v>
      </c>
      <c r="D67" s="783" t="s">
        <v>316</v>
      </c>
      <c r="E67" s="783" t="s">
        <v>5374</v>
      </c>
      <c r="F67" s="84" t="s">
        <v>126</v>
      </c>
      <c r="G67" s="784" t="s">
        <v>6639</v>
      </c>
      <c r="H67" s="785">
        <v>45691</v>
      </c>
      <c r="J67" s="484">
        <v>50</v>
      </c>
      <c r="K67" s="84" t="s">
        <v>4664</v>
      </c>
      <c r="L67" s="127" t="s">
        <v>1388</v>
      </c>
      <c r="M67" s="127" t="s">
        <v>6640</v>
      </c>
      <c r="N67" s="287" t="s">
        <v>6641</v>
      </c>
      <c r="O67" s="551"/>
      <c r="P67" s="146" t="s">
        <v>6642</v>
      </c>
      <c r="R67" s="84"/>
      <c r="S67" s="87"/>
    </row>
    <row r="68" spans="2:19" x14ac:dyDescent="0.35">
      <c r="B68" s="851">
        <v>45757</v>
      </c>
      <c r="C68" s="783" t="s">
        <v>783</v>
      </c>
      <c r="D68" s="783" t="s">
        <v>316</v>
      </c>
      <c r="E68" s="783" t="s">
        <v>5374</v>
      </c>
      <c r="F68" s="84" t="s">
        <v>126</v>
      </c>
      <c r="G68" s="784" t="s">
        <v>6643</v>
      </c>
      <c r="H68" s="785">
        <v>45698</v>
      </c>
      <c r="I68" s="786"/>
      <c r="J68" s="784">
        <v>50</v>
      </c>
      <c r="K68" s="86" t="s">
        <v>4664</v>
      </c>
      <c r="L68" s="4" t="s">
        <v>6644</v>
      </c>
      <c r="M68" s="4" t="s">
        <v>6645</v>
      </c>
      <c r="N68" s="549" t="s">
        <v>6646</v>
      </c>
      <c r="O68" s="551"/>
      <c r="P68" s="146"/>
      <c r="R68" s="84"/>
      <c r="S68" s="87"/>
    </row>
    <row r="69" spans="2:19" x14ac:dyDescent="0.35">
      <c r="B69" s="851"/>
      <c r="C69" s="783"/>
      <c r="D69" s="783"/>
      <c r="E69" s="84"/>
      <c r="F69" s="84"/>
      <c r="G69" s="784"/>
      <c r="H69" s="785"/>
      <c r="I69" s="786"/>
      <c r="J69" s="784"/>
      <c r="K69" s="86"/>
      <c r="L69" s="4"/>
      <c r="M69" s="4"/>
      <c r="N69" s="549"/>
      <c r="O69" s="551"/>
      <c r="P69" s="146"/>
      <c r="R69" s="84"/>
      <c r="S69" s="87"/>
    </row>
    <row r="70" spans="2:19" x14ac:dyDescent="0.35">
      <c r="R70" s="84"/>
      <c r="S70" s="87"/>
    </row>
    <row r="71" spans="2:19" x14ac:dyDescent="0.35">
      <c r="B71" s="851">
        <v>45760</v>
      </c>
      <c r="C71" s="851" t="s">
        <v>1426</v>
      </c>
      <c r="D71" s="783" t="s">
        <v>6470</v>
      </c>
      <c r="E71" s="783" t="s">
        <v>6471</v>
      </c>
      <c r="F71" s="84"/>
      <c r="G71" s="784" t="s">
        <v>6647</v>
      </c>
      <c r="H71" s="785">
        <v>45735</v>
      </c>
      <c r="I71" s="786">
        <v>125</v>
      </c>
      <c r="J71" s="784">
        <v>0</v>
      </c>
      <c r="K71" s="86" t="s">
        <v>4955</v>
      </c>
      <c r="L71" s="4" t="s">
        <v>6648</v>
      </c>
      <c r="M71" s="4" t="s">
        <v>6649</v>
      </c>
      <c r="N71" s="549" t="s">
        <v>6650</v>
      </c>
      <c r="O71" s="551" t="s">
        <v>4808</v>
      </c>
      <c r="P71" s="146" t="s">
        <v>6243</v>
      </c>
      <c r="Q71" s="484" t="s">
        <v>6651</v>
      </c>
      <c r="R71" s="84" t="s">
        <v>6652</v>
      </c>
      <c r="S71" s="87" t="s">
        <v>4454</v>
      </c>
    </row>
    <row r="72" spans="2:19" x14ac:dyDescent="0.35">
      <c r="B72" s="851">
        <v>45760</v>
      </c>
      <c r="C72" s="851" t="s">
        <v>1426</v>
      </c>
      <c r="D72" s="783" t="s">
        <v>6470</v>
      </c>
      <c r="E72" s="783" t="s">
        <v>6471</v>
      </c>
      <c r="F72" s="84" t="s">
        <v>126</v>
      </c>
      <c r="G72" s="784" t="s">
        <v>6653</v>
      </c>
      <c r="H72" s="785">
        <v>45747</v>
      </c>
      <c r="I72" s="786"/>
      <c r="J72" s="784">
        <v>125</v>
      </c>
      <c r="K72" s="86"/>
      <c r="L72" s="4" t="s">
        <v>925</v>
      </c>
      <c r="M72" s="4"/>
      <c r="N72" s="549" t="s">
        <v>6654</v>
      </c>
      <c r="O72" s="551"/>
      <c r="P72" s="146" t="s">
        <v>6655</v>
      </c>
      <c r="R72" s="84"/>
      <c r="S72" s="87"/>
    </row>
    <row r="73" spans="2:19" x14ac:dyDescent="0.35">
      <c r="B73" s="851"/>
      <c r="C73" s="783"/>
      <c r="D73" s="783"/>
      <c r="E73" s="84"/>
      <c r="F73" s="84"/>
      <c r="G73" s="784"/>
      <c r="H73" s="785"/>
      <c r="I73" s="786"/>
      <c r="J73" s="784"/>
      <c r="K73" s="86"/>
      <c r="L73" s="4"/>
      <c r="M73" s="4"/>
      <c r="N73" s="549"/>
      <c r="O73" s="551"/>
      <c r="P73" s="146"/>
      <c r="R73" s="84"/>
      <c r="S73" s="87"/>
    </row>
    <row r="74" spans="2:19" x14ac:dyDescent="0.35">
      <c r="B74" s="851">
        <v>45761</v>
      </c>
      <c r="C74" s="783" t="s">
        <v>681</v>
      </c>
      <c r="D74" s="783" t="s">
        <v>4376</v>
      </c>
      <c r="E74" s="783" t="s">
        <v>5374</v>
      </c>
      <c r="F74" s="84" t="s">
        <v>126</v>
      </c>
      <c r="G74" s="784" t="s">
        <v>6656</v>
      </c>
      <c r="H74" s="785">
        <v>45734</v>
      </c>
      <c r="I74" s="786">
        <v>0</v>
      </c>
      <c r="J74" s="784">
        <v>50</v>
      </c>
      <c r="K74" s="86"/>
      <c r="L74" s="4" t="s">
        <v>907</v>
      </c>
      <c r="M74" s="4"/>
      <c r="N74" s="549" t="s">
        <v>6657</v>
      </c>
      <c r="O74" s="551"/>
      <c r="P74" s="146" t="s">
        <v>6658</v>
      </c>
      <c r="R74" s="84"/>
      <c r="S74" s="87"/>
    </row>
    <row r="75" spans="2:19" x14ac:dyDescent="0.35">
      <c r="B75" s="851">
        <v>45761</v>
      </c>
      <c r="C75" s="783" t="s">
        <v>681</v>
      </c>
      <c r="D75" s="783" t="s">
        <v>4376</v>
      </c>
      <c r="E75" s="783" t="s">
        <v>5374</v>
      </c>
      <c r="F75" s="84" t="s">
        <v>126</v>
      </c>
      <c r="G75" s="784" t="s">
        <v>6659</v>
      </c>
      <c r="H75" s="785">
        <v>45741</v>
      </c>
      <c r="I75" s="786">
        <v>0</v>
      </c>
      <c r="J75" s="784">
        <v>50</v>
      </c>
      <c r="K75" s="86"/>
      <c r="L75" s="4" t="s">
        <v>591</v>
      </c>
      <c r="M75" s="4"/>
      <c r="N75" s="549" t="s">
        <v>6319</v>
      </c>
      <c r="O75" s="551"/>
      <c r="P75" s="146"/>
      <c r="R75" s="84"/>
      <c r="S75" s="87"/>
    </row>
    <row r="76" spans="2:19" x14ac:dyDescent="0.35">
      <c r="B76" s="851">
        <v>45761</v>
      </c>
      <c r="C76" s="783" t="s">
        <v>681</v>
      </c>
      <c r="D76" s="783" t="s">
        <v>4376</v>
      </c>
      <c r="E76" s="783" t="s">
        <v>5374</v>
      </c>
      <c r="F76" s="84" t="s">
        <v>126</v>
      </c>
      <c r="G76" s="784" t="s">
        <v>6660</v>
      </c>
      <c r="H76" s="785">
        <v>45745</v>
      </c>
      <c r="I76" s="786">
        <v>0</v>
      </c>
      <c r="J76" s="784">
        <v>50</v>
      </c>
      <c r="K76" s="86"/>
      <c r="L76" s="4" t="s">
        <v>928</v>
      </c>
      <c r="M76" s="4"/>
      <c r="N76" s="549" t="s">
        <v>6661</v>
      </c>
      <c r="O76" s="551"/>
      <c r="P76" s="146" t="s">
        <v>6662</v>
      </c>
      <c r="R76" s="84"/>
      <c r="S76" s="87"/>
    </row>
    <row r="77" spans="2:19" x14ac:dyDescent="0.35">
      <c r="B77" s="851">
        <v>45761</v>
      </c>
      <c r="C77" s="783" t="s">
        <v>681</v>
      </c>
      <c r="D77" s="783" t="s">
        <v>4376</v>
      </c>
      <c r="E77" s="783" t="s">
        <v>5374</v>
      </c>
      <c r="F77" s="84" t="s">
        <v>126</v>
      </c>
      <c r="G77" s="784" t="s">
        <v>6663</v>
      </c>
      <c r="H77" s="785">
        <v>45747</v>
      </c>
      <c r="I77" s="786">
        <v>0</v>
      </c>
      <c r="J77" s="784">
        <v>50</v>
      </c>
      <c r="K77" s="86"/>
      <c r="L77" s="4" t="s">
        <v>390</v>
      </c>
      <c r="M77" s="4"/>
      <c r="N77" s="549" t="s">
        <v>6664</v>
      </c>
      <c r="O77" s="551"/>
      <c r="P77" s="146" t="s">
        <v>6665</v>
      </c>
      <c r="R77" s="84"/>
      <c r="S77" s="87"/>
    </row>
    <row r="78" spans="2:19" x14ac:dyDescent="0.35">
      <c r="B78" s="851">
        <v>45761</v>
      </c>
      <c r="C78" s="783" t="s">
        <v>681</v>
      </c>
      <c r="D78" s="783" t="s">
        <v>4376</v>
      </c>
      <c r="E78" s="783" t="s">
        <v>5374</v>
      </c>
      <c r="F78" s="84" t="s">
        <v>126</v>
      </c>
      <c r="G78" s="784" t="s">
        <v>6666</v>
      </c>
      <c r="H78" s="785">
        <v>45747</v>
      </c>
      <c r="I78" s="786">
        <v>0</v>
      </c>
      <c r="J78" s="784">
        <v>50</v>
      </c>
      <c r="K78" s="86"/>
      <c r="L78" s="4" t="s">
        <v>895</v>
      </c>
      <c r="M78" s="4"/>
      <c r="N78" s="549" t="s">
        <v>6667</v>
      </c>
      <c r="O78" s="551"/>
      <c r="P78" s="146" t="s">
        <v>6668</v>
      </c>
      <c r="R78" s="84"/>
      <c r="S78" s="87"/>
    </row>
    <row r="79" spans="2:19" x14ac:dyDescent="0.35">
      <c r="B79" s="851">
        <v>45761</v>
      </c>
      <c r="C79" s="783" t="s">
        <v>681</v>
      </c>
      <c r="D79" s="783" t="s">
        <v>4376</v>
      </c>
      <c r="E79" s="783" t="s">
        <v>5374</v>
      </c>
      <c r="F79" s="84" t="s">
        <v>126</v>
      </c>
      <c r="G79" s="784" t="s">
        <v>6669</v>
      </c>
      <c r="H79" s="785">
        <v>45749</v>
      </c>
      <c r="I79" s="786">
        <v>0</v>
      </c>
      <c r="J79" s="784">
        <v>50</v>
      </c>
      <c r="K79" s="86"/>
      <c r="L79" s="4" t="s">
        <v>929</v>
      </c>
      <c r="M79" s="4"/>
      <c r="N79" s="549" t="s">
        <v>6670</v>
      </c>
      <c r="O79" s="551"/>
      <c r="P79" s="146"/>
      <c r="R79" s="84"/>
      <c r="S79" s="87"/>
    </row>
    <row r="80" spans="2:19" x14ac:dyDescent="0.35">
      <c r="B80" s="851">
        <v>45761</v>
      </c>
      <c r="C80" s="783" t="s">
        <v>681</v>
      </c>
      <c r="D80" s="783" t="s">
        <v>4376</v>
      </c>
      <c r="E80" s="783" t="s">
        <v>5374</v>
      </c>
      <c r="F80" s="84" t="s">
        <v>126</v>
      </c>
      <c r="G80" s="784" t="s">
        <v>6671</v>
      </c>
      <c r="H80" s="785">
        <v>45757</v>
      </c>
      <c r="I80" s="786">
        <v>0</v>
      </c>
      <c r="J80" s="784">
        <v>50</v>
      </c>
      <c r="K80" s="84" t="s">
        <v>4664</v>
      </c>
      <c r="L80" s="127" t="s">
        <v>6518</v>
      </c>
      <c r="M80" s="127" t="s">
        <v>6519</v>
      </c>
      <c r="N80" s="287" t="s">
        <v>6520</v>
      </c>
      <c r="O80" s="551"/>
      <c r="P80" s="146" t="s">
        <v>6638</v>
      </c>
      <c r="R80" s="84"/>
      <c r="S80" s="87"/>
    </row>
    <row r="81" spans="2:19" x14ac:dyDescent="0.35">
      <c r="B81" s="851"/>
      <c r="C81" s="783"/>
      <c r="D81" s="783"/>
      <c r="E81" s="783"/>
      <c r="F81" s="84"/>
      <c r="G81" s="784"/>
      <c r="H81" s="785"/>
      <c r="I81" s="786"/>
      <c r="J81" s="784"/>
      <c r="K81" s="86"/>
      <c r="L81" s="4"/>
      <c r="M81" s="4"/>
      <c r="N81" s="549"/>
      <c r="O81" s="551"/>
      <c r="P81" s="146"/>
      <c r="R81" s="84"/>
      <c r="S81" s="87"/>
    </row>
    <row r="82" spans="2:19" x14ac:dyDescent="0.35">
      <c r="B82" s="879"/>
      <c r="C82" s="878"/>
      <c r="D82" s="783"/>
      <c r="E82" s="783"/>
      <c r="F82" s="783"/>
      <c r="G82" s="784"/>
      <c r="H82" s="785"/>
      <c r="I82" s="786"/>
      <c r="J82" s="784"/>
      <c r="K82" s="1039"/>
      <c r="L82" s="1040"/>
      <c r="M82" s="1040"/>
      <c r="N82" s="549"/>
      <c r="O82" s="829"/>
      <c r="P82" s="829"/>
      <c r="Q82" s="96"/>
      <c r="R82" s="96"/>
      <c r="S82" s="96"/>
    </row>
    <row r="83" spans="2:19" x14ac:dyDescent="0.35">
      <c r="B83" s="879">
        <v>45766</v>
      </c>
      <c r="C83" s="878" t="s">
        <v>6672</v>
      </c>
      <c r="D83" s="878" t="s">
        <v>6470</v>
      </c>
      <c r="E83" s="607"/>
      <c r="F83" s="607" t="s">
        <v>126</v>
      </c>
      <c r="G83" s="608" t="s">
        <v>6673</v>
      </c>
      <c r="H83" s="899">
        <v>45734</v>
      </c>
      <c r="I83" s="609">
        <v>0</v>
      </c>
      <c r="J83" s="607">
        <v>150</v>
      </c>
      <c r="K83" s="607"/>
      <c r="L83" s="1162" t="s">
        <v>903</v>
      </c>
      <c r="M83" s="1162"/>
      <c r="N83" s="849" t="s">
        <v>6674</v>
      </c>
      <c r="O83" s="1101"/>
      <c r="P83" s="1101" t="s">
        <v>6675</v>
      </c>
    </row>
    <row r="84" spans="2:19" x14ac:dyDescent="0.35">
      <c r="B84" s="851">
        <v>45766</v>
      </c>
      <c r="C84" s="783" t="s">
        <v>6672</v>
      </c>
      <c r="D84" s="783" t="s">
        <v>6470</v>
      </c>
      <c r="E84" s="898" t="s">
        <v>5509</v>
      </c>
      <c r="F84" s="783" t="s">
        <v>180</v>
      </c>
      <c r="G84" s="787" t="s">
        <v>6676</v>
      </c>
      <c r="H84" s="785">
        <v>45697</v>
      </c>
      <c r="I84" s="786">
        <v>140</v>
      </c>
      <c r="J84" s="784">
        <v>0</v>
      </c>
      <c r="K84" s="1039" t="s">
        <v>4664</v>
      </c>
      <c r="L84" s="1040" t="s">
        <v>6677</v>
      </c>
      <c r="M84" s="1040" t="s">
        <v>4259</v>
      </c>
      <c r="N84" s="549" t="s">
        <v>6678</v>
      </c>
      <c r="O84" s="829"/>
      <c r="P84" s="829" t="s">
        <v>6679</v>
      </c>
      <c r="Q84" s="96"/>
      <c r="R84" s="96"/>
      <c r="S84" s="96"/>
    </row>
    <row r="85" spans="2:19" x14ac:dyDescent="0.35">
      <c r="B85" s="879">
        <v>45766</v>
      </c>
      <c r="C85" s="878" t="s">
        <v>6672</v>
      </c>
      <c r="D85" s="783" t="s">
        <v>6470</v>
      </c>
      <c r="E85" s="898" t="s">
        <v>5509</v>
      </c>
      <c r="F85" s="84" t="s">
        <v>5414</v>
      </c>
      <c r="G85" s="87" t="s">
        <v>5289</v>
      </c>
      <c r="H85" s="785">
        <v>3.1428571412037041</v>
      </c>
      <c r="I85" s="507">
        <v>175</v>
      </c>
      <c r="J85" s="484">
        <v>0</v>
      </c>
      <c r="K85" s="84" t="s">
        <v>4664</v>
      </c>
      <c r="L85" s="127" t="s">
        <v>4058</v>
      </c>
      <c r="M85" s="127" t="s">
        <v>6680</v>
      </c>
      <c r="N85" s="287" t="s">
        <v>6681</v>
      </c>
      <c r="O85" s="146" t="s">
        <v>4746</v>
      </c>
      <c r="P85" s="146" t="s">
        <v>6682</v>
      </c>
      <c r="Q85" s="484" t="s">
        <v>6683</v>
      </c>
      <c r="R85" s="484" t="s">
        <v>6684</v>
      </c>
      <c r="S85" s="484" t="s">
        <v>6685</v>
      </c>
    </row>
    <row r="86" spans="2:19" x14ac:dyDescent="0.35">
      <c r="B86" s="851">
        <v>45766</v>
      </c>
      <c r="C86" s="783" t="s">
        <v>6672</v>
      </c>
      <c r="D86" s="783" t="s">
        <v>6470</v>
      </c>
      <c r="E86" s="898" t="s">
        <v>5509</v>
      </c>
      <c r="F86" s="84" t="s">
        <v>126</v>
      </c>
      <c r="G86" s="87" t="s">
        <v>6686</v>
      </c>
      <c r="H86" s="785">
        <v>45739</v>
      </c>
      <c r="I86" s="507">
        <v>0</v>
      </c>
      <c r="J86" s="484">
        <v>150</v>
      </c>
      <c r="K86" s="84"/>
      <c r="L86" s="127" t="s">
        <v>904</v>
      </c>
      <c r="M86" s="127"/>
      <c r="N86" s="287" t="s">
        <v>6687</v>
      </c>
      <c r="O86" s="146"/>
      <c r="P86" s="146" t="s">
        <v>6688</v>
      </c>
      <c r="S86" s="84"/>
    </row>
    <row r="87" spans="2:19" x14ac:dyDescent="0.35">
      <c r="B87" s="851">
        <v>45766</v>
      </c>
      <c r="C87" s="783" t="s">
        <v>6672</v>
      </c>
      <c r="D87" s="783" t="s">
        <v>6470</v>
      </c>
      <c r="E87" s="898" t="s">
        <v>5509</v>
      </c>
      <c r="F87" s="84" t="s">
        <v>126</v>
      </c>
      <c r="G87" s="87" t="s">
        <v>6689</v>
      </c>
      <c r="H87" s="785">
        <v>45751</v>
      </c>
      <c r="I87" s="507">
        <v>0</v>
      </c>
      <c r="J87" s="484">
        <v>150</v>
      </c>
      <c r="K87" s="84"/>
      <c r="L87" s="127" t="s">
        <v>905</v>
      </c>
      <c r="M87" s="127"/>
      <c r="N87" s="287" t="s">
        <v>6690</v>
      </c>
      <c r="O87" s="146"/>
      <c r="P87" s="146" t="s">
        <v>6691</v>
      </c>
      <c r="S87" s="84"/>
    </row>
    <row r="88" spans="2:19" x14ac:dyDescent="0.35">
      <c r="B88" s="851">
        <v>45766</v>
      </c>
      <c r="C88" s="783" t="s">
        <v>6672</v>
      </c>
      <c r="D88" s="783" t="s">
        <v>6692</v>
      </c>
      <c r="E88" s="783" t="s">
        <v>5375</v>
      </c>
      <c r="F88" s="783" t="s">
        <v>174</v>
      </c>
      <c r="G88" s="784" t="s">
        <v>6693</v>
      </c>
      <c r="H88" s="785">
        <v>45714</v>
      </c>
      <c r="I88" s="786">
        <v>99</v>
      </c>
      <c r="J88" s="784">
        <v>0</v>
      </c>
      <c r="K88" s="1039" t="s">
        <v>4955</v>
      </c>
      <c r="L88" s="1040" t="s">
        <v>5839</v>
      </c>
      <c r="M88" s="1040" t="s">
        <v>6694</v>
      </c>
      <c r="N88" s="549" t="s">
        <v>6695</v>
      </c>
      <c r="O88" s="829" t="s">
        <v>5918</v>
      </c>
      <c r="P88" s="829" t="s">
        <v>6696</v>
      </c>
      <c r="Q88" s="96" t="s">
        <v>6697</v>
      </c>
      <c r="R88" s="96" t="s">
        <v>6698</v>
      </c>
      <c r="S88" s="96" t="s">
        <v>6699</v>
      </c>
    </row>
    <row r="89" spans="2:19" x14ac:dyDescent="0.35">
      <c r="B89" s="851">
        <v>45766</v>
      </c>
      <c r="C89" s="783" t="s">
        <v>6672</v>
      </c>
      <c r="D89" s="783" t="s">
        <v>6700</v>
      </c>
      <c r="E89" s="783" t="s">
        <v>5375</v>
      </c>
      <c r="F89" s="84" t="s">
        <v>174</v>
      </c>
      <c r="G89" s="87" t="s">
        <v>6701</v>
      </c>
      <c r="H89" s="785">
        <v>45642</v>
      </c>
      <c r="I89" s="507">
        <v>125</v>
      </c>
      <c r="J89" s="484">
        <v>0</v>
      </c>
      <c r="K89" s="84" t="s">
        <v>4664</v>
      </c>
      <c r="L89" s="127" t="s">
        <v>4472</v>
      </c>
      <c r="M89" s="127" t="s">
        <v>6702</v>
      </c>
      <c r="N89" s="287" t="s">
        <v>6703</v>
      </c>
      <c r="O89" s="146" t="s">
        <v>5750</v>
      </c>
      <c r="P89" s="146" t="s">
        <v>6704</v>
      </c>
      <c r="Q89" s="484" t="s">
        <v>6705</v>
      </c>
      <c r="R89" s="484" t="s">
        <v>6706</v>
      </c>
      <c r="S89" s="84" t="s">
        <v>6707</v>
      </c>
    </row>
    <row r="90" spans="2:19" x14ac:dyDescent="0.35">
      <c r="B90" s="879">
        <v>45766</v>
      </c>
      <c r="C90" s="878" t="s">
        <v>6672</v>
      </c>
      <c r="D90" s="783" t="s">
        <v>6700</v>
      </c>
      <c r="E90" s="783" t="s">
        <v>5375</v>
      </c>
      <c r="F90" s="84" t="s">
        <v>126</v>
      </c>
      <c r="G90" s="87" t="s">
        <v>6708</v>
      </c>
      <c r="H90" s="785">
        <v>45734</v>
      </c>
      <c r="I90" s="507">
        <v>0</v>
      </c>
      <c r="J90" s="484">
        <v>99</v>
      </c>
      <c r="K90" s="84"/>
      <c r="L90" s="127" t="s">
        <v>907</v>
      </c>
      <c r="M90" s="127"/>
      <c r="N90" s="287" t="s">
        <v>6657</v>
      </c>
      <c r="O90" s="146"/>
      <c r="P90" s="146" t="s">
        <v>6658</v>
      </c>
      <c r="S90" s="84"/>
    </row>
    <row r="91" spans="2:19" x14ac:dyDescent="0.35">
      <c r="B91" s="851">
        <v>45766</v>
      </c>
      <c r="C91" s="783" t="s">
        <v>6672</v>
      </c>
      <c r="D91" s="783" t="s">
        <v>6700</v>
      </c>
      <c r="E91" s="783" t="s">
        <v>5375</v>
      </c>
      <c r="F91" s="84" t="s">
        <v>126</v>
      </c>
      <c r="G91" s="87" t="s">
        <v>6709</v>
      </c>
      <c r="H91" s="785">
        <v>45738</v>
      </c>
      <c r="I91" s="507">
        <v>0</v>
      </c>
      <c r="J91" s="484">
        <v>99</v>
      </c>
      <c r="K91" s="84"/>
      <c r="L91" s="127" t="s">
        <v>908</v>
      </c>
      <c r="M91" s="127"/>
      <c r="N91" s="287" t="s">
        <v>6710</v>
      </c>
      <c r="O91" s="146"/>
      <c r="P91" s="146" t="s">
        <v>6711</v>
      </c>
      <c r="S91" s="84"/>
    </row>
    <row r="92" spans="2:19" x14ac:dyDescent="0.35">
      <c r="B92" s="851"/>
      <c r="C92" s="783"/>
      <c r="D92" s="84"/>
      <c r="F92" s="84"/>
      <c r="G92" s="87"/>
      <c r="H92" s="785"/>
      <c r="K92" s="84"/>
      <c r="L92" s="127"/>
      <c r="M92" s="127"/>
      <c r="N92" s="287"/>
      <c r="O92" s="146"/>
      <c r="P92" s="146"/>
      <c r="S92" s="84"/>
    </row>
    <row r="93" spans="2:19" x14ac:dyDescent="0.35">
      <c r="B93" s="851"/>
      <c r="C93" s="783"/>
      <c r="D93" s="84"/>
      <c r="F93" s="84"/>
      <c r="G93" s="87"/>
      <c r="H93" s="785"/>
      <c r="K93" s="84"/>
      <c r="L93" s="127"/>
      <c r="M93" s="127"/>
      <c r="N93" s="287"/>
      <c r="O93" s="146"/>
      <c r="P93" s="146"/>
      <c r="S93" s="84"/>
    </row>
    <row r="94" spans="2:19" x14ac:dyDescent="0.35">
      <c r="B94" s="851">
        <v>45767</v>
      </c>
      <c r="C94" s="878" t="s">
        <v>6672</v>
      </c>
      <c r="D94" s="783" t="s">
        <v>6692</v>
      </c>
      <c r="E94" s="783" t="s">
        <v>5375</v>
      </c>
      <c r="F94" s="84" t="s">
        <v>6352</v>
      </c>
      <c r="G94" s="87" t="s">
        <v>6712</v>
      </c>
      <c r="H94" s="785">
        <v>45739</v>
      </c>
      <c r="I94" s="507">
        <v>99</v>
      </c>
      <c r="J94" s="484">
        <v>0</v>
      </c>
      <c r="K94" s="84" t="s">
        <v>4664</v>
      </c>
      <c r="L94" s="127" t="s">
        <v>6713</v>
      </c>
      <c r="M94" s="127" t="s">
        <v>6714</v>
      </c>
      <c r="N94" s="287" t="s">
        <v>6715</v>
      </c>
      <c r="O94" s="146" t="s">
        <v>5741</v>
      </c>
      <c r="P94" s="146" t="s">
        <v>6716</v>
      </c>
      <c r="Q94" s="484" t="s">
        <v>6717</v>
      </c>
      <c r="R94" s="484" t="s">
        <v>6718</v>
      </c>
      <c r="S94" s="84" t="s">
        <v>6719</v>
      </c>
    </row>
    <row r="95" spans="2:19" x14ac:dyDescent="0.35">
      <c r="B95" s="851">
        <v>45767</v>
      </c>
      <c r="C95" s="783" t="s">
        <v>6672</v>
      </c>
      <c r="D95" s="783" t="s">
        <v>6692</v>
      </c>
      <c r="E95" s="783" t="s">
        <v>5375</v>
      </c>
      <c r="F95" s="84" t="s">
        <v>6352</v>
      </c>
      <c r="G95" s="784" t="s">
        <v>6720</v>
      </c>
      <c r="H95" s="785">
        <v>45763</v>
      </c>
      <c r="I95" s="786">
        <v>99</v>
      </c>
      <c r="J95" s="784">
        <v>0</v>
      </c>
      <c r="K95" s="1039" t="s">
        <v>4664</v>
      </c>
      <c r="L95" s="1040" t="s">
        <v>6721</v>
      </c>
      <c r="M95" s="1040" t="s">
        <v>6722</v>
      </c>
      <c r="N95" s="549" t="s">
        <v>6723</v>
      </c>
      <c r="O95" s="829" t="s">
        <v>4716</v>
      </c>
      <c r="P95" s="829" t="s">
        <v>6724</v>
      </c>
      <c r="Q95" s="484" t="s">
        <v>6725</v>
      </c>
      <c r="R95" s="484" t="s">
        <v>6726</v>
      </c>
      <c r="S95" s="84" t="s">
        <v>6727</v>
      </c>
    </row>
    <row r="96" spans="2:19" x14ac:dyDescent="0.35">
      <c r="B96" s="851">
        <v>45767</v>
      </c>
      <c r="C96" s="783" t="s">
        <v>6672</v>
      </c>
      <c r="D96" s="783" t="s">
        <v>6692</v>
      </c>
      <c r="E96" s="783" t="s">
        <v>5375</v>
      </c>
      <c r="F96" s="84" t="s">
        <v>126</v>
      </c>
      <c r="G96" s="87" t="s">
        <v>6728</v>
      </c>
      <c r="H96" s="785">
        <v>45712</v>
      </c>
      <c r="I96" s="507">
        <v>0</v>
      </c>
      <c r="J96" s="484">
        <v>99</v>
      </c>
      <c r="K96" s="84"/>
      <c r="L96" s="127" t="s">
        <v>909</v>
      </c>
      <c r="M96" s="127"/>
      <c r="N96" s="287" t="s">
        <v>6729</v>
      </c>
      <c r="O96" s="146"/>
      <c r="P96" s="146"/>
      <c r="S96" s="84"/>
    </row>
    <row r="97" spans="2:19" x14ac:dyDescent="0.35">
      <c r="B97" s="851">
        <v>45767</v>
      </c>
      <c r="C97" s="783" t="s">
        <v>6672</v>
      </c>
      <c r="D97" s="783" t="s">
        <v>6692</v>
      </c>
      <c r="E97" s="783" t="s">
        <v>5375</v>
      </c>
      <c r="F97" s="84" t="s">
        <v>126</v>
      </c>
      <c r="G97" s="87" t="s">
        <v>6730</v>
      </c>
      <c r="H97" s="785">
        <v>45741</v>
      </c>
      <c r="J97" s="484">
        <v>99</v>
      </c>
      <c r="K97" s="84"/>
      <c r="L97" s="127" t="s">
        <v>910</v>
      </c>
      <c r="M97" s="127"/>
      <c r="N97" s="287" t="s">
        <v>6731</v>
      </c>
      <c r="O97" s="146"/>
      <c r="P97" s="146" t="s">
        <v>6732</v>
      </c>
      <c r="S97" s="84"/>
    </row>
    <row r="98" spans="2:19" x14ac:dyDescent="0.35">
      <c r="B98" s="851">
        <v>45767</v>
      </c>
      <c r="C98" s="783" t="s">
        <v>6672</v>
      </c>
      <c r="D98" s="783" t="s">
        <v>6692</v>
      </c>
      <c r="E98" s="783" t="s">
        <v>5375</v>
      </c>
      <c r="F98" s="84" t="s">
        <v>126</v>
      </c>
      <c r="G98" s="87" t="s">
        <v>6733</v>
      </c>
      <c r="H98" s="785">
        <v>45755</v>
      </c>
      <c r="I98" s="507">
        <v>0</v>
      </c>
      <c r="J98" s="484">
        <v>99</v>
      </c>
      <c r="K98" s="84"/>
      <c r="L98" s="127" t="s">
        <v>650</v>
      </c>
      <c r="M98" s="127"/>
      <c r="N98" s="287" t="s">
        <v>6734</v>
      </c>
      <c r="O98" s="146"/>
      <c r="P98" s="146" t="s">
        <v>6735</v>
      </c>
      <c r="S98" s="84"/>
    </row>
    <row r="99" spans="2:19" x14ac:dyDescent="0.35">
      <c r="B99" s="851">
        <v>45767</v>
      </c>
      <c r="C99" s="783" t="s">
        <v>6672</v>
      </c>
      <c r="D99" s="783" t="s">
        <v>6692</v>
      </c>
      <c r="E99" s="783" t="s">
        <v>5375</v>
      </c>
      <c r="F99" s="783" t="s">
        <v>126</v>
      </c>
      <c r="G99" s="784" t="s">
        <v>6736</v>
      </c>
      <c r="H99" s="785">
        <v>45733</v>
      </c>
      <c r="I99" s="786">
        <v>0</v>
      </c>
      <c r="J99" s="784">
        <v>99</v>
      </c>
      <c r="K99" s="1039"/>
      <c r="L99" s="1040" t="s">
        <v>902</v>
      </c>
      <c r="M99" s="1040"/>
      <c r="N99" s="549" t="s">
        <v>6737</v>
      </c>
      <c r="O99" s="829"/>
      <c r="P99" s="829" t="s">
        <v>6738</v>
      </c>
      <c r="S99" s="84"/>
    </row>
    <row r="100" spans="2:19" x14ac:dyDescent="0.35">
      <c r="B100" s="879"/>
      <c r="C100" s="878"/>
      <c r="D100" s="783"/>
      <c r="E100" s="783"/>
      <c r="F100" s="783"/>
      <c r="G100" s="784"/>
      <c r="H100" s="785"/>
      <c r="I100" s="786"/>
      <c r="J100" s="784"/>
      <c r="K100" s="1039"/>
      <c r="L100" s="1040"/>
      <c r="M100" s="1040"/>
      <c r="N100" s="549"/>
      <c r="O100" s="829"/>
      <c r="P100" s="829"/>
      <c r="S100" s="84"/>
    </row>
    <row r="101" spans="2:19" x14ac:dyDescent="0.35">
      <c r="B101" s="851">
        <v>45769</v>
      </c>
      <c r="C101" s="783" t="s">
        <v>6672</v>
      </c>
      <c r="D101" s="783" t="s">
        <v>6470</v>
      </c>
      <c r="E101" s="898" t="s">
        <v>5509</v>
      </c>
      <c r="F101" s="84" t="s">
        <v>126</v>
      </c>
      <c r="G101" s="87" t="s">
        <v>6739</v>
      </c>
      <c r="H101" s="785">
        <v>45743</v>
      </c>
      <c r="I101" s="507">
        <v>0</v>
      </c>
      <c r="J101" s="484">
        <v>150</v>
      </c>
      <c r="K101" s="84"/>
      <c r="L101" s="127" t="s">
        <v>911</v>
      </c>
      <c r="M101" s="127"/>
      <c r="N101" s="287" t="s">
        <v>6740</v>
      </c>
      <c r="O101" s="146"/>
      <c r="P101" s="146"/>
      <c r="S101" s="84"/>
    </row>
    <row r="102" spans="2:19" x14ac:dyDescent="0.35">
      <c r="B102" s="851">
        <v>45769</v>
      </c>
      <c r="C102" s="783" t="s">
        <v>6672</v>
      </c>
      <c r="D102" s="783" t="s">
        <v>6692</v>
      </c>
      <c r="E102" s="783" t="s">
        <v>5375</v>
      </c>
      <c r="F102" s="84" t="s">
        <v>175</v>
      </c>
      <c r="G102" s="87" t="s">
        <v>6741</v>
      </c>
      <c r="H102" s="785">
        <v>45687</v>
      </c>
      <c r="I102" s="507">
        <v>99</v>
      </c>
      <c r="J102" s="484">
        <v>0</v>
      </c>
      <c r="K102" s="84" t="s">
        <v>4955</v>
      </c>
      <c r="L102" s="127" t="s">
        <v>6742</v>
      </c>
      <c r="M102" s="127" t="s">
        <v>6743</v>
      </c>
      <c r="N102" s="287" t="s">
        <v>6744</v>
      </c>
      <c r="O102" s="146" t="s">
        <v>4862</v>
      </c>
      <c r="P102" s="146" t="s">
        <v>6745</v>
      </c>
      <c r="Q102" s="484" t="s">
        <v>6746</v>
      </c>
      <c r="R102" s="484" t="s">
        <v>6747</v>
      </c>
      <c r="S102" s="84" t="s">
        <v>6748</v>
      </c>
    </row>
    <row r="103" spans="2:19" x14ac:dyDescent="0.35">
      <c r="B103" s="851">
        <v>45769</v>
      </c>
      <c r="C103" s="783" t="s">
        <v>6672</v>
      </c>
      <c r="D103" s="783" t="s">
        <v>6749</v>
      </c>
      <c r="E103" s="783" t="s">
        <v>5375</v>
      </c>
      <c r="F103" s="84" t="s">
        <v>174</v>
      </c>
      <c r="G103" s="87" t="s">
        <v>6750</v>
      </c>
      <c r="H103" s="785">
        <v>45757</v>
      </c>
      <c r="I103" s="507">
        <v>99</v>
      </c>
      <c r="J103" s="484">
        <v>0</v>
      </c>
      <c r="K103" s="84" t="s">
        <v>4955</v>
      </c>
      <c r="L103" s="127" t="s">
        <v>6751</v>
      </c>
      <c r="M103" s="127" t="s">
        <v>6752</v>
      </c>
      <c r="N103" s="287" t="s">
        <v>6753</v>
      </c>
      <c r="O103" s="146" t="s">
        <v>4749</v>
      </c>
      <c r="P103" s="146" t="s">
        <v>6754</v>
      </c>
      <c r="Q103" s="484" t="s">
        <v>6755</v>
      </c>
      <c r="R103" s="484" t="s">
        <v>6756</v>
      </c>
      <c r="S103" s="84" t="s">
        <v>5691</v>
      </c>
    </row>
    <row r="104" spans="2:19" x14ac:dyDescent="0.35">
      <c r="B104" s="851">
        <v>45769</v>
      </c>
      <c r="C104" s="783" t="s">
        <v>6672</v>
      </c>
      <c r="D104" s="783" t="s">
        <v>6749</v>
      </c>
      <c r="E104" s="783" t="s">
        <v>5375</v>
      </c>
      <c r="F104" s="84" t="s">
        <v>174</v>
      </c>
      <c r="G104" s="87" t="s">
        <v>6757</v>
      </c>
      <c r="H104" s="785">
        <v>45729</v>
      </c>
      <c r="I104" s="507">
        <v>99</v>
      </c>
      <c r="J104" s="484">
        <v>0</v>
      </c>
      <c r="K104" s="84" t="s">
        <v>5045</v>
      </c>
      <c r="L104" s="127" t="s">
        <v>6758</v>
      </c>
      <c r="M104" s="127" t="s">
        <v>6759</v>
      </c>
      <c r="N104" s="287" t="s">
        <v>6760</v>
      </c>
      <c r="O104" s="146" t="s">
        <v>6761</v>
      </c>
      <c r="P104" s="146" t="s">
        <v>6762</v>
      </c>
      <c r="Q104" s="484" t="s">
        <v>6763</v>
      </c>
      <c r="R104" s="484" t="s">
        <v>6764</v>
      </c>
      <c r="S104" s="84" t="s">
        <v>6765</v>
      </c>
    </row>
    <row r="105" spans="2:19" x14ac:dyDescent="0.35">
      <c r="B105" s="851">
        <v>45769</v>
      </c>
      <c r="C105" s="878" t="s">
        <v>2486</v>
      </c>
      <c r="D105" s="783" t="s">
        <v>6749</v>
      </c>
      <c r="E105" s="783" t="s">
        <v>5375</v>
      </c>
      <c r="F105" s="783" t="s">
        <v>174</v>
      </c>
      <c r="G105" s="784" t="s">
        <v>6766</v>
      </c>
      <c r="H105" s="785">
        <v>45714</v>
      </c>
      <c r="I105" s="786">
        <v>99</v>
      </c>
      <c r="J105" s="784">
        <v>0</v>
      </c>
      <c r="K105" s="1039" t="s">
        <v>4955</v>
      </c>
      <c r="L105" s="1040" t="s">
        <v>4051</v>
      </c>
      <c r="M105" s="1040" t="s">
        <v>5749</v>
      </c>
      <c r="N105" s="545" t="s">
        <v>6767</v>
      </c>
      <c r="O105" s="829" t="s">
        <v>6512</v>
      </c>
      <c r="P105" s="829" t="s">
        <v>6768</v>
      </c>
      <c r="Q105" s="96" t="s">
        <v>6769</v>
      </c>
      <c r="R105" s="96" t="s">
        <v>6770</v>
      </c>
      <c r="S105" s="96" t="s">
        <v>4365</v>
      </c>
    </row>
    <row r="106" spans="2:19" x14ac:dyDescent="0.35">
      <c r="B106" s="879"/>
      <c r="C106" s="878"/>
      <c r="D106" s="783"/>
      <c r="E106" s="783"/>
      <c r="F106" s="783"/>
      <c r="G106" s="784"/>
      <c r="H106" s="785"/>
      <c r="I106" s="786"/>
      <c r="J106" s="784"/>
      <c r="K106" s="1039"/>
      <c r="L106" s="1040"/>
      <c r="M106" s="1040"/>
      <c r="N106" s="545"/>
      <c r="O106" s="829"/>
      <c r="P106" s="829"/>
      <c r="Q106" s="96"/>
      <c r="R106" s="96"/>
      <c r="S106" s="96"/>
    </row>
    <row r="108" spans="2:19" x14ac:dyDescent="0.35">
      <c r="B108" s="851">
        <v>45770</v>
      </c>
      <c r="C108" s="783" t="s">
        <v>6672</v>
      </c>
      <c r="D108" s="783" t="s">
        <v>6692</v>
      </c>
      <c r="E108" s="783" t="s">
        <v>5375</v>
      </c>
      <c r="F108" s="84" t="s">
        <v>174</v>
      </c>
      <c r="G108" s="87" t="s">
        <v>6750</v>
      </c>
      <c r="H108" s="785">
        <v>45757</v>
      </c>
      <c r="I108" s="507">
        <f>150-99</f>
        <v>51</v>
      </c>
      <c r="J108" s="484">
        <v>0</v>
      </c>
      <c r="K108" s="84" t="s">
        <v>4955</v>
      </c>
      <c r="L108" s="127" t="s">
        <v>6751</v>
      </c>
      <c r="M108" s="127" t="s">
        <v>6752</v>
      </c>
      <c r="N108" s="287" t="s">
        <v>6753</v>
      </c>
      <c r="O108" s="146" t="s">
        <v>4749</v>
      </c>
      <c r="P108" s="146" t="s">
        <v>6754</v>
      </c>
      <c r="Q108" s="484" t="s">
        <v>6755</v>
      </c>
      <c r="R108" s="484" t="s">
        <v>6756</v>
      </c>
      <c r="S108" s="84" t="s">
        <v>5691</v>
      </c>
    </row>
    <row r="109" spans="2:19" x14ac:dyDescent="0.35">
      <c r="B109" s="879">
        <v>45770</v>
      </c>
      <c r="C109" s="878" t="s">
        <v>6672</v>
      </c>
      <c r="D109" s="878" t="s">
        <v>6692</v>
      </c>
      <c r="E109" s="878" t="s">
        <v>5375</v>
      </c>
      <c r="F109" s="607" t="s">
        <v>6771</v>
      </c>
      <c r="G109" s="608" t="s">
        <v>6772</v>
      </c>
      <c r="H109" s="899">
        <v>45588</v>
      </c>
      <c r="I109" s="609">
        <v>125</v>
      </c>
      <c r="J109" s="607">
        <v>0</v>
      </c>
      <c r="K109" s="607" t="s">
        <v>5045</v>
      </c>
      <c r="L109" s="1162" t="s">
        <v>6773</v>
      </c>
      <c r="M109" s="1162" t="s">
        <v>6774</v>
      </c>
      <c r="N109" s="849" t="s">
        <v>6775</v>
      </c>
      <c r="O109" s="146" t="s">
        <v>4879</v>
      </c>
      <c r="P109" s="146" t="s">
        <v>6776</v>
      </c>
      <c r="Q109" s="484" t="s">
        <v>6777</v>
      </c>
      <c r="R109" s="484" t="s">
        <v>6778</v>
      </c>
      <c r="S109" s="84" t="s">
        <v>979</v>
      </c>
    </row>
    <row r="110" spans="2:19" x14ac:dyDescent="0.35">
      <c r="B110" s="851">
        <v>45770</v>
      </c>
      <c r="C110" s="783" t="s">
        <v>6672</v>
      </c>
      <c r="D110" s="783" t="s">
        <v>6749</v>
      </c>
      <c r="E110" s="783" t="s">
        <v>5375</v>
      </c>
      <c r="F110" s="84" t="s">
        <v>174</v>
      </c>
      <c r="G110" s="87" t="s">
        <v>6779</v>
      </c>
      <c r="H110" s="785">
        <v>45655</v>
      </c>
      <c r="I110" s="507">
        <v>125</v>
      </c>
      <c r="J110" s="484">
        <v>0</v>
      </c>
      <c r="K110" s="84" t="s">
        <v>5756</v>
      </c>
      <c r="L110" s="127" t="s">
        <v>4165</v>
      </c>
      <c r="M110" s="146" t="s">
        <v>6780</v>
      </c>
      <c r="N110" s="287" t="s">
        <v>6781</v>
      </c>
      <c r="O110" s="146" t="s">
        <v>6782</v>
      </c>
      <c r="P110" s="146" t="s">
        <v>6783</v>
      </c>
      <c r="Q110" s="484" t="s">
        <v>6784</v>
      </c>
      <c r="R110" s="484" t="s">
        <v>6785</v>
      </c>
      <c r="S110" s="84" t="s">
        <v>6786</v>
      </c>
    </row>
    <row r="111" spans="2:19" x14ac:dyDescent="0.35">
      <c r="B111" s="851">
        <v>45770</v>
      </c>
      <c r="C111" s="783" t="s">
        <v>6672</v>
      </c>
      <c r="D111" s="783" t="s">
        <v>6749</v>
      </c>
      <c r="E111" s="783" t="s">
        <v>5375</v>
      </c>
      <c r="F111" s="84" t="s">
        <v>174</v>
      </c>
      <c r="G111" s="87" t="s">
        <v>6779</v>
      </c>
      <c r="H111" s="785">
        <v>45655</v>
      </c>
      <c r="I111" s="507">
        <v>125</v>
      </c>
      <c r="J111" s="484">
        <v>0</v>
      </c>
      <c r="K111" s="84" t="s">
        <v>5756</v>
      </c>
      <c r="L111" s="127" t="s">
        <v>4165</v>
      </c>
      <c r="M111" s="146" t="s">
        <v>6780</v>
      </c>
      <c r="N111" s="287" t="s">
        <v>6781</v>
      </c>
      <c r="O111" s="146" t="s">
        <v>6782</v>
      </c>
      <c r="P111" s="146" t="s">
        <v>6783</v>
      </c>
      <c r="Q111" s="484" t="s">
        <v>6784</v>
      </c>
      <c r="R111" s="484" t="s">
        <v>6785</v>
      </c>
      <c r="S111" s="84" t="s">
        <v>6786</v>
      </c>
    </row>
    <row r="112" spans="2:19" x14ac:dyDescent="0.35">
      <c r="B112" s="851">
        <v>45770</v>
      </c>
      <c r="C112" s="783" t="s">
        <v>6672</v>
      </c>
      <c r="D112" s="783" t="s">
        <v>6749</v>
      </c>
      <c r="E112" s="898" t="s">
        <v>5509</v>
      </c>
      <c r="F112" s="84" t="s">
        <v>174</v>
      </c>
      <c r="G112" s="87" t="s">
        <v>6787</v>
      </c>
      <c r="H112" s="785">
        <v>45719</v>
      </c>
      <c r="I112" s="507">
        <v>150</v>
      </c>
      <c r="J112" s="484">
        <v>0</v>
      </c>
      <c r="K112" s="84" t="s">
        <v>4664</v>
      </c>
      <c r="L112" s="127" t="s">
        <v>6788</v>
      </c>
      <c r="M112" s="146" t="s">
        <v>6789</v>
      </c>
      <c r="N112" s="287" t="s">
        <v>6790</v>
      </c>
      <c r="O112" s="146" t="s">
        <v>5750</v>
      </c>
      <c r="P112" s="146" t="s">
        <v>6791</v>
      </c>
      <c r="Q112" s="484" t="s">
        <v>6792</v>
      </c>
      <c r="R112" s="484" t="s">
        <v>6793</v>
      </c>
      <c r="S112" s="84" t="s">
        <v>6794</v>
      </c>
    </row>
    <row r="113" spans="2:19" x14ac:dyDescent="0.35">
      <c r="B113" s="851"/>
      <c r="C113" s="783"/>
      <c r="D113" s="783"/>
      <c r="E113" s="898"/>
      <c r="F113" s="84"/>
      <c r="G113" s="87"/>
      <c r="H113" s="785"/>
      <c r="K113" s="84"/>
      <c r="L113" s="127"/>
      <c r="M113" s="146"/>
      <c r="N113" s="287"/>
      <c r="O113" s="146"/>
      <c r="P113" s="146"/>
      <c r="S113" s="84"/>
    </row>
    <row r="114" spans="2:19" x14ac:dyDescent="0.35">
      <c r="B114" s="879">
        <v>45771</v>
      </c>
      <c r="C114" s="878" t="s">
        <v>6672</v>
      </c>
      <c r="D114" s="878" t="s">
        <v>6700</v>
      </c>
      <c r="E114" s="1163" t="s">
        <v>5375</v>
      </c>
      <c r="F114" s="1164" t="s">
        <v>126</v>
      </c>
      <c r="G114" s="608" t="s">
        <v>6795</v>
      </c>
      <c r="H114" s="785">
        <v>45747</v>
      </c>
      <c r="J114" s="484">
        <v>99</v>
      </c>
      <c r="K114" s="84"/>
      <c r="L114" s="127" t="s">
        <v>913</v>
      </c>
      <c r="M114" s="146"/>
      <c r="N114" s="287" t="s">
        <v>6796</v>
      </c>
      <c r="O114" s="146"/>
      <c r="P114" s="146"/>
      <c r="S114" s="84"/>
    </row>
    <row r="115" spans="2:19" x14ac:dyDescent="0.35">
      <c r="B115" s="879"/>
      <c r="C115" s="878"/>
      <c r="D115" s="878"/>
      <c r="E115" s="1163"/>
      <c r="F115" s="1164"/>
      <c r="G115" s="608"/>
      <c r="H115" s="785"/>
      <c r="K115" s="84"/>
      <c r="L115" s="127"/>
      <c r="M115" s="146"/>
      <c r="N115" s="287"/>
      <c r="O115" s="146"/>
      <c r="P115" s="146"/>
      <c r="S115" s="84"/>
    </row>
    <row r="116" spans="2:19" x14ac:dyDescent="0.35">
      <c r="B116" s="851">
        <v>45772</v>
      </c>
      <c r="C116" s="783" t="s">
        <v>6672</v>
      </c>
      <c r="D116" s="783" t="s">
        <v>6692</v>
      </c>
      <c r="E116" s="783" t="s">
        <v>5375</v>
      </c>
      <c r="F116" s="84" t="s">
        <v>126</v>
      </c>
      <c r="G116" s="505" t="s">
        <v>6797</v>
      </c>
      <c r="H116" s="785">
        <v>45712</v>
      </c>
      <c r="J116" s="484">
        <v>99</v>
      </c>
      <c r="L116" s="516" t="s">
        <v>912</v>
      </c>
      <c r="N116" s="287" t="s">
        <v>6798</v>
      </c>
      <c r="P116" s="146" t="s">
        <v>6799</v>
      </c>
      <c r="R116" s="287" t="s">
        <v>6800</v>
      </c>
    </row>
    <row r="117" spans="2:19" x14ac:dyDescent="0.35">
      <c r="B117" s="851">
        <v>45772</v>
      </c>
      <c r="C117" s="783" t="s">
        <v>6672</v>
      </c>
      <c r="D117" s="783" t="s">
        <v>6692</v>
      </c>
      <c r="E117" s="783" t="s">
        <v>5375</v>
      </c>
      <c r="F117" s="84" t="s">
        <v>176</v>
      </c>
      <c r="G117" s="87" t="s">
        <v>5313</v>
      </c>
      <c r="H117" s="785">
        <v>45679</v>
      </c>
      <c r="I117" s="507">
        <v>99</v>
      </c>
      <c r="J117" s="484">
        <v>0</v>
      </c>
      <c r="K117" s="84" t="s">
        <v>4664</v>
      </c>
      <c r="L117" s="127" t="s">
        <v>6801</v>
      </c>
      <c r="M117" s="146" t="s">
        <v>6802</v>
      </c>
      <c r="N117" s="287" t="s">
        <v>6803</v>
      </c>
      <c r="O117" s="146" t="s">
        <v>5008</v>
      </c>
      <c r="P117" s="146" t="s">
        <v>6804</v>
      </c>
      <c r="Q117" s="484" t="s">
        <v>6805</v>
      </c>
      <c r="R117" s="484" t="s">
        <v>6806</v>
      </c>
      <c r="S117" s="84" t="s">
        <v>6807</v>
      </c>
    </row>
    <row r="118" spans="2:19" x14ac:dyDescent="0.35">
      <c r="B118" s="851">
        <v>45772</v>
      </c>
      <c r="C118" s="783" t="s">
        <v>6672</v>
      </c>
      <c r="D118" s="783" t="s">
        <v>6692</v>
      </c>
      <c r="E118" s="783" t="s">
        <v>5375</v>
      </c>
      <c r="F118" s="84" t="s">
        <v>174</v>
      </c>
      <c r="G118" s="1045" t="s">
        <v>6808</v>
      </c>
      <c r="H118" s="785">
        <v>45736</v>
      </c>
      <c r="I118" s="507">
        <v>99</v>
      </c>
      <c r="J118" s="484">
        <v>0</v>
      </c>
      <c r="K118" s="84" t="s">
        <v>4955</v>
      </c>
      <c r="L118" s="127" t="s">
        <v>6809</v>
      </c>
      <c r="M118" s="146" t="s">
        <v>5786</v>
      </c>
      <c r="N118" s="287" t="s">
        <v>6810</v>
      </c>
      <c r="O118" s="146" t="s">
        <v>5750</v>
      </c>
      <c r="P118" s="146" t="s">
        <v>6811</v>
      </c>
      <c r="Q118" s="484" t="s">
        <v>6812</v>
      </c>
      <c r="R118" s="484" t="s">
        <v>6813</v>
      </c>
      <c r="S118" s="84" t="s">
        <v>6814</v>
      </c>
    </row>
    <row r="119" spans="2:19" x14ac:dyDescent="0.35">
      <c r="B119" s="851">
        <v>45772</v>
      </c>
      <c r="C119" s="84" t="s">
        <v>6672</v>
      </c>
      <c r="D119" s="783" t="s">
        <v>6692</v>
      </c>
      <c r="E119" s="898" t="s">
        <v>5375</v>
      </c>
      <c r="F119" s="84" t="s">
        <v>174</v>
      </c>
      <c r="G119" s="87" t="s">
        <v>6815</v>
      </c>
      <c r="H119" s="785">
        <v>45762</v>
      </c>
      <c r="I119" s="507">
        <v>99</v>
      </c>
      <c r="J119" s="484">
        <v>0</v>
      </c>
      <c r="K119" s="84" t="s">
        <v>4664</v>
      </c>
      <c r="L119" s="127" t="s">
        <v>5056</v>
      </c>
      <c r="M119" s="146" t="s">
        <v>4059</v>
      </c>
      <c r="N119" s="287" t="s">
        <v>6816</v>
      </c>
      <c r="O119" s="146" t="s">
        <v>5485</v>
      </c>
      <c r="P119" s="146" t="s">
        <v>6817</v>
      </c>
      <c r="Q119" s="484" t="s">
        <v>6818</v>
      </c>
      <c r="R119" s="484" t="s">
        <v>6819</v>
      </c>
      <c r="S119" s="84" t="s">
        <v>6820</v>
      </c>
    </row>
    <row r="120" spans="2:19" x14ac:dyDescent="0.35">
      <c r="B120" s="851">
        <v>45772</v>
      </c>
      <c r="C120" s="84" t="s">
        <v>6672</v>
      </c>
      <c r="D120" s="783" t="s">
        <v>6692</v>
      </c>
      <c r="E120" s="898" t="s">
        <v>5375</v>
      </c>
      <c r="F120" s="784" t="s">
        <v>126</v>
      </c>
      <c r="G120" s="785" t="s">
        <v>6821</v>
      </c>
      <c r="H120" s="785">
        <v>45691</v>
      </c>
      <c r="I120" s="784"/>
      <c r="J120" s="784">
        <v>99</v>
      </c>
      <c r="K120" s="84" t="s">
        <v>4955</v>
      </c>
      <c r="L120" s="127" t="s">
        <v>6822</v>
      </c>
      <c r="M120" s="127" t="s">
        <v>3998</v>
      </c>
      <c r="N120" s="287" t="s">
        <v>6823</v>
      </c>
      <c r="O120" s="829"/>
      <c r="P120" s="829" t="s">
        <v>6824</v>
      </c>
      <c r="Q120" s="96"/>
      <c r="R120" s="96"/>
      <c r="S120" s="84"/>
    </row>
    <row r="121" spans="2:19" x14ac:dyDescent="0.35">
      <c r="B121" s="851">
        <v>45772</v>
      </c>
      <c r="C121" s="84" t="s">
        <v>6672</v>
      </c>
      <c r="D121" s="783" t="s">
        <v>6692</v>
      </c>
      <c r="E121" s="898" t="s">
        <v>5375</v>
      </c>
      <c r="F121" s="784" t="s">
        <v>126</v>
      </c>
      <c r="G121" s="785" t="s">
        <v>6825</v>
      </c>
      <c r="H121" s="785">
        <v>45734</v>
      </c>
      <c r="I121" s="784">
        <v>0</v>
      </c>
      <c r="J121" s="784">
        <v>99</v>
      </c>
      <c r="K121" s="830"/>
      <c r="L121" s="896" t="s">
        <v>841</v>
      </c>
      <c r="M121" s="829"/>
      <c r="N121" s="287" t="s">
        <v>6826</v>
      </c>
      <c r="O121" s="829"/>
      <c r="P121" s="829" t="s">
        <v>6827</v>
      </c>
      <c r="Q121" s="96"/>
      <c r="R121" s="96"/>
      <c r="S121" s="84"/>
    </row>
    <row r="122" spans="2:19" x14ac:dyDescent="0.35">
      <c r="B122" s="851">
        <v>45772</v>
      </c>
      <c r="C122" s="878" t="s">
        <v>2486</v>
      </c>
      <c r="D122" s="783" t="s">
        <v>6828</v>
      </c>
      <c r="E122" s="783" t="s">
        <v>5375</v>
      </c>
      <c r="F122" s="783" t="s">
        <v>111</v>
      </c>
      <c r="G122" s="787" t="s">
        <v>6829</v>
      </c>
      <c r="H122" s="785">
        <v>45661</v>
      </c>
      <c r="I122" s="786">
        <v>100</v>
      </c>
      <c r="J122" s="784">
        <v>0</v>
      </c>
      <c r="K122" s="1039" t="s">
        <v>4955</v>
      </c>
      <c r="L122" s="1040" t="s">
        <v>6830</v>
      </c>
      <c r="M122" s="1040" t="s">
        <v>6831</v>
      </c>
      <c r="N122" s="549" t="s">
        <v>6832</v>
      </c>
      <c r="O122" s="829"/>
      <c r="P122" s="829" t="s">
        <v>6833</v>
      </c>
      <c r="S122" s="84"/>
    </row>
    <row r="123" spans="2:19" x14ac:dyDescent="0.35">
      <c r="B123" s="851">
        <v>45772</v>
      </c>
      <c r="C123" s="607" t="s">
        <v>6672</v>
      </c>
      <c r="D123" s="878" t="s">
        <v>6828</v>
      </c>
      <c r="E123" s="1163" t="s">
        <v>5375</v>
      </c>
      <c r="F123" s="1164" t="s">
        <v>176</v>
      </c>
      <c r="G123" s="899" t="s">
        <v>5256</v>
      </c>
      <c r="H123" s="899">
        <v>45674</v>
      </c>
      <c r="I123" s="1164">
        <v>99</v>
      </c>
      <c r="J123" s="1164">
        <v>0</v>
      </c>
      <c r="K123" s="1162" t="s">
        <v>5045</v>
      </c>
      <c r="L123" s="1165" t="s">
        <v>6195</v>
      </c>
      <c r="M123" s="1101" t="s">
        <v>6196</v>
      </c>
      <c r="N123" s="287" t="s">
        <v>6194</v>
      </c>
      <c r="O123" s="829" t="s">
        <v>4746</v>
      </c>
      <c r="P123" s="829" t="s">
        <v>6197</v>
      </c>
      <c r="Q123" s="96" t="s">
        <v>6198</v>
      </c>
      <c r="R123" s="96" t="s">
        <v>6199</v>
      </c>
      <c r="S123" s="84" t="s">
        <v>4370</v>
      </c>
    </row>
    <row r="124" spans="2:19" x14ac:dyDescent="0.35">
      <c r="B124" s="851">
        <v>45772</v>
      </c>
      <c r="C124" s="84" t="s">
        <v>6672</v>
      </c>
      <c r="D124" s="783" t="s">
        <v>6828</v>
      </c>
      <c r="E124" s="898" t="s">
        <v>5375</v>
      </c>
      <c r="F124" s="784" t="s">
        <v>126</v>
      </c>
      <c r="G124" s="785" t="s">
        <v>6834</v>
      </c>
      <c r="H124" s="785">
        <v>45734</v>
      </c>
      <c r="I124" s="784">
        <v>0</v>
      </c>
      <c r="J124" s="784">
        <v>99</v>
      </c>
      <c r="K124" s="830"/>
      <c r="L124" s="896" t="s">
        <v>914</v>
      </c>
      <c r="M124" s="829"/>
      <c r="N124" s="287" t="s">
        <v>6835</v>
      </c>
      <c r="O124" s="829"/>
      <c r="P124" s="829"/>
      <c r="Q124" s="96"/>
      <c r="R124" s="96"/>
      <c r="S124" s="84"/>
    </row>
    <row r="125" spans="2:19" x14ac:dyDescent="0.35">
      <c r="B125" s="851"/>
      <c r="C125" s="84"/>
      <c r="D125" s="783"/>
      <c r="E125" s="898"/>
      <c r="F125" s="784"/>
      <c r="G125" s="785"/>
      <c r="H125" s="785"/>
      <c r="I125" s="784"/>
      <c r="J125" s="784"/>
      <c r="K125" s="830"/>
      <c r="L125" s="896"/>
      <c r="M125" s="829"/>
      <c r="N125" s="287"/>
      <c r="O125" s="829"/>
      <c r="P125" s="829"/>
      <c r="Q125" s="96"/>
      <c r="R125" s="96"/>
      <c r="S125" s="84"/>
    </row>
    <row r="126" spans="2:19" x14ac:dyDescent="0.35">
      <c r="B126" s="851"/>
      <c r="C126" s="84"/>
      <c r="D126" s="783"/>
      <c r="E126" s="898"/>
      <c r="F126" s="784"/>
      <c r="G126" s="785"/>
      <c r="H126" s="785"/>
      <c r="I126" s="784"/>
      <c r="J126" s="784"/>
      <c r="K126" s="830"/>
      <c r="L126" s="896"/>
      <c r="M126" s="829"/>
      <c r="N126" s="287"/>
      <c r="O126" s="829"/>
      <c r="P126" s="829"/>
      <c r="Q126" s="96"/>
      <c r="R126" s="96"/>
      <c r="S126" s="84"/>
    </row>
    <row r="127" spans="2:19" x14ac:dyDescent="0.35">
      <c r="B127" s="851">
        <v>45773</v>
      </c>
      <c r="C127" s="783" t="s">
        <v>2486</v>
      </c>
      <c r="D127" s="783" t="s">
        <v>6692</v>
      </c>
      <c r="E127" s="898" t="s">
        <v>5375</v>
      </c>
      <c r="F127" s="84" t="s">
        <v>126</v>
      </c>
      <c r="G127" s="87" t="s">
        <v>6836</v>
      </c>
      <c r="H127" s="785">
        <v>45719</v>
      </c>
      <c r="J127" s="484">
        <v>99</v>
      </c>
      <c r="K127" s="84"/>
      <c r="L127" s="127" t="s">
        <v>906</v>
      </c>
      <c r="M127" s="127"/>
      <c r="N127" s="287" t="s">
        <v>6837</v>
      </c>
      <c r="O127" s="146"/>
      <c r="P127" s="146" t="s">
        <v>6838</v>
      </c>
      <c r="S127" s="84"/>
    </row>
    <row r="128" spans="2:19" x14ac:dyDescent="0.35">
      <c r="B128" s="851">
        <v>45773</v>
      </c>
      <c r="C128" s="878" t="s">
        <v>2486</v>
      </c>
      <c r="D128" s="783" t="s">
        <v>6692</v>
      </c>
      <c r="E128" s="783" t="s">
        <v>5375</v>
      </c>
      <c r="F128" s="783" t="s">
        <v>126</v>
      </c>
      <c r="G128" s="787" t="s">
        <v>6839</v>
      </c>
      <c r="H128" s="785">
        <v>45742</v>
      </c>
      <c r="I128" s="786"/>
      <c r="J128" s="784">
        <v>99</v>
      </c>
      <c r="K128" s="1039"/>
      <c r="L128" s="1040" t="s">
        <v>730</v>
      </c>
      <c r="M128" s="1040"/>
      <c r="N128" s="549" t="s">
        <v>6840</v>
      </c>
      <c r="O128" s="829"/>
      <c r="P128" s="829"/>
      <c r="Q128" s="96"/>
      <c r="R128" s="96"/>
      <c r="S128" s="84"/>
    </row>
    <row r="129" spans="2:20" x14ac:dyDescent="0.35">
      <c r="B129" s="851"/>
      <c r="C129" s="84"/>
      <c r="D129" s="783"/>
      <c r="E129" s="898"/>
      <c r="F129" s="784"/>
      <c r="G129" s="785"/>
      <c r="H129" s="785"/>
      <c r="I129" s="784"/>
      <c r="J129" s="784"/>
      <c r="K129" s="830"/>
      <c r="L129" s="896"/>
      <c r="M129" s="829"/>
      <c r="N129" s="287"/>
      <c r="O129" s="829"/>
      <c r="P129" s="829"/>
      <c r="Q129" s="96"/>
      <c r="R129" s="96"/>
      <c r="S129" s="84"/>
    </row>
    <row r="131" spans="2:20" x14ac:dyDescent="0.35">
      <c r="B131" s="851"/>
      <c r="C131" s="84"/>
      <c r="D131" s="783"/>
      <c r="E131" s="898"/>
      <c r="F131" s="784"/>
      <c r="G131" s="785"/>
      <c r="H131" s="785"/>
      <c r="I131" s="784"/>
      <c r="J131" s="784"/>
      <c r="K131" s="830"/>
      <c r="L131" s="896"/>
      <c r="M131" s="829"/>
      <c r="N131" s="287"/>
      <c r="O131" s="829"/>
      <c r="P131" s="829"/>
      <c r="Q131" s="96"/>
      <c r="R131" s="96"/>
      <c r="S131" s="84"/>
    </row>
    <row r="132" spans="2:20" x14ac:dyDescent="0.35">
      <c r="B132" s="851"/>
      <c r="C132" s="84"/>
      <c r="D132" s="783"/>
      <c r="E132" s="898"/>
      <c r="F132" s="784"/>
      <c r="G132" s="785"/>
      <c r="H132" s="785"/>
      <c r="I132" s="784"/>
      <c r="J132" s="784"/>
      <c r="K132" s="830"/>
      <c r="L132" s="896"/>
      <c r="M132" s="829"/>
      <c r="N132" s="287"/>
      <c r="O132" s="829"/>
      <c r="P132" s="829"/>
      <c r="Q132" s="96"/>
      <c r="R132" s="96"/>
      <c r="S132" s="84"/>
    </row>
    <row r="133" spans="2:20" x14ac:dyDescent="0.35">
      <c r="B133" s="851">
        <v>45773</v>
      </c>
      <c r="C133" s="1086" t="s">
        <v>249</v>
      </c>
      <c r="D133" s="543"/>
      <c r="E133" s="543" t="s">
        <v>4359</v>
      </c>
      <c r="F133" s="543" t="s">
        <v>175</v>
      </c>
      <c r="G133" s="96" t="s">
        <v>6841</v>
      </c>
      <c r="H133" s="97">
        <v>45292</v>
      </c>
      <c r="I133" s="6">
        <v>525</v>
      </c>
      <c r="J133" s="96">
        <v>0</v>
      </c>
      <c r="K133" s="86" t="s">
        <v>4955</v>
      </c>
      <c r="L133" s="4" t="s">
        <v>4262</v>
      </c>
      <c r="M133" s="4" t="s">
        <v>4271</v>
      </c>
      <c r="N133" s="92" t="s">
        <v>6842</v>
      </c>
      <c r="O133" s="94" t="s">
        <v>5008</v>
      </c>
      <c r="P133" s="146" t="s">
        <v>4530</v>
      </c>
      <c r="Q133" s="84" t="s">
        <v>6843</v>
      </c>
      <c r="R133" s="84" t="s">
        <v>6844</v>
      </c>
      <c r="S133" s="87" t="s">
        <v>4370</v>
      </c>
    </row>
    <row r="134" spans="2:20" x14ac:dyDescent="0.35">
      <c r="B134" s="1085"/>
      <c r="C134" s="1086"/>
      <c r="D134" s="543"/>
      <c r="E134" s="543"/>
      <c r="F134" s="543"/>
      <c r="G134" s="96"/>
      <c r="H134" s="97"/>
      <c r="I134" s="6"/>
      <c r="J134" s="96"/>
      <c r="K134" s="86"/>
      <c r="L134" s="4"/>
      <c r="M134" s="4"/>
      <c r="N134" s="92"/>
      <c r="O134" s="94"/>
      <c r="P134" s="146"/>
      <c r="Q134" s="84"/>
      <c r="R134" s="84"/>
      <c r="S134" s="87"/>
    </row>
    <row r="135" spans="2:20" x14ac:dyDescent="0.35">
      <c r="B135" s="851">
        <v>45780</v>
      </c>
      <c r="C135" s="783" t="s">
        <v>224</v>
      </c>
      <c r="D135" s="84" t="s">
        <v>886</v>
      </c>
      <c r="E135" s="84"/>
      <c r="F135" s="84" t="s">
        <v>126</v>
      </c>
      <c r="G135" s="96" t="s">
        <v>6845</v>
      </c>
      <c r="H135" s="97">
        <v>45701</v>
      </c>
      <c r="I135" s="6"/>
      <c r="J135" s="96">
        <v>99</v>
      </c>
      <c r="K135" s="86" t="s">
        <v>4955</v>
      </c>
      <c r="L135" s="4" t="s">
        <v>6201</v>
      </c>
      <c r="M135" s="4" t="s">
        <v>6846</v>
      </c>
      <c r="N135" s="92" t="s">
        <v>6847</v>
      </c>
      <c r="O135" s="94"/>
      <c r="P135" s="146"/>
      <c r="Q135" s="84"/>
      <c r="R135" s="84"/>
      <c r="S135" s="87"/>
    </row>
    <row r="136" spans="2:20" x14ac:dyDescent="0.35">
      <c r="B136" s="851">
        <v>45780</v>
      </c>
      <c r="C136" s="783" t="s">
        <v>224</v>
      </c>
      <c r="D136" s="84" t="s">
        <v>886</v>
      </c>
      <c r="E136" s="84"/>
      <c r="F136" s="84" t="s">
        <v>126</v>
      </c>
      <c r="G136" s="96" t="s">
        <v>6848</v>
      </c>
      <c r="H136" s="97">
        <v>45708</v>
      </c>
      <c r="I136" s="6"/>
      <c r="J136" s="96">
        <v>99</v>
      </c>
      <c r="K136" s="86"/>
      <c r="L136" s="4" t="s">
        <v>888</v>
      </c>
      <c r="M136" s="4"/>
      <c r="N136" s="92" t="s">
        <v>6849</v>
      </c>
      <c r="O136" s="94"/>
      <c r="P136" s="146" t="s">
        <v>6850</v>
      </c>
      <c r="Q136" s="84"/>
      <c r="R136" s="84"/>
      <c r="S136" s="87"/>
    </row>
    <row r="137" spans="2:20" x14ac:dyDescent="0.35">
      <c r="B137" s="851">
        <v>45780</v>
      </c>
      <c r="C137" s="783" t="s">
        <v>224</v>
      </c>
      <c r="D137" s="84" t="s">
        <v>886</v>
      </c>
      <c r="E137" s="84"/>
      <c r="F137" s="84" t="s">
        <v>126</v>
      </c>
      <c r="G137" s="96" t="s">
        <v>6851</v>
      </c>
      <c r="H137" s="97">
        <v>45708</v>
      </c>
      <c r="I137" s="6"/>
      <c r="J137" s="96">
        <v>99</v>
      </c>
      <c r="K137" s="86"/>
      <c r="L137" s="4" t="s">
        <v>889</v>
      </c>
      <c r="M137" s="4"/>
      <c r="N137" s="92" t="s">
        <v>6852</v>
      </c>
      <c r="O137" s="94"/>
      <c r="P137" s="146" t="s">
        <v>6853</v>
      </c>
      <c r="Q137" s="84"/>
      <c r="R137" s="84"/>
      <c r="S137" s="87"/>
    </row>
    <row r="138" spans="2:20" x14ac:dyDescent="0.35">
      <c r="B138" s="851">
        <v>45780</v>
      </c>
      <c r="C138" s="783" t="s">
        <v>224</v>
      </c>
      <c r="D138" s="84" t="s">
        <v>886</v>
      </c>
      <c r="E138" s="84"/>
      <c r="F138" s="84" t="s">
        <v>126</v>
      </c>
      <c r="G138" s="96" t="s">
        <v>6854</v>
      </c>
      <c r="H138" s="97">
        <v>45708</v>
      </c>
      <c r="I138" s="6"/>
      <c r="J138" s="96">
        <v>99</v>
      </c>
      <c r="K138" s="86"/>
      <c r="L138" s="4" t="s">
        <v>887</v>
      </c>
      <c r="M138" s="4"/>
      <c r="N138" s="92" t="s">
        <v>6855</v>
      </c>
      <c r="O138" s="94"/>
      <c r="P138" s="146"/>
      <c r="Q138" s="84"/>
      <c r="R138" s="84"/>
      <c r="S138" s="87"/>
    </row>
    <row r="139" spans="2:20" x14ac:dyDescent="0.35">
      <c r="B139" s="1085"/>
      <c r="C139" s="1086"/>
      <c r="D139" s="543"/>
      <c r="E139" s="543"/>
      <c r="F139" s="543"/>
      <c r="G139" s="96"/>
      <c r="H139" s="97"/>
      <c r="I139" s="6"/>
      <c r="J139" s="96"/>
      <c r="K139" s="86"/>
      <c r="L139" s="4"/>
      <c r="M139" s="4"/>
      <c r="N139" s="92"/>
      <c r="O139" s="94"/>
      <c r="P139" s="146"/>
      <c r="Q139" s="84"/>
      <c r="R139" s="84"/>
      <c r="S139" s="87"/>
    </row>
    <row r="140" spans="2:20" x14ac:dyDescent="0.35">
      <c r="B140" s="851"/>
      <c r="C140" s="84"/>
      <c r="D140" s="783"/>
      <c r="E140" s="898"/>
      <c r="F140" s="84"/>
      <c r="G140" s="87"/>
      <c r="H140" s="785"/>
      <c r="K140" s="84"/>
      <c r="L140" s="127"/>
      <c r="M140" s="146"/>
      <c r="N140" s="287"/>
      <c r="O140" s="146"/>
      <c r="P140" s="146"/>
      <c r="S140" s="84"/>
    </row>
    <row r="142" spans="2:20" x14ac:dyDescent="0.35">
      <c r="B142" s="879">
        <v>45781</v>
      </c>
      <c r="C142" s="878" t="s">
        <v>324</v>
      </c>
      <c r="D142" s="783" t="s">
        <v>6856</v>
      </c>
      <c r="E142" s="783" t="s">
        <v>5593</v>
      </c>
      <c r="F142" s="784" t="s">
        <v>126</v>
      </c>
      <c r="G142" s="785" t="s">
        <v>6857</v>
      </c>
      <c r="H142" s="785">
        <v>45701</v>
      </c>
      <c r="I142" s="784">
        <v>0</v>
      </c>
      <c r="J142" s="784">
        <v>12</v>
      </c>
      <c r="K142" s="830"/>
      <c r="L142" s="1165" t="s">
        <v>6858</v>
      </c>
      <c r="M142" s="1101" t="s">
        <v>4559</v>
      </c>
      <c r="N142" s="287" t="s">
        <v>6859</v>
      </c>
      <c r="O142" s="829"/>
      <c r="P142" s="829"/>
      <c r="Q142" s="96"/>
      <c r="R142" s="96"/>
      <c r="S142" s="84"/>
      <c r="T142" s="851"/>
    </row>
    <row r="143" spans="2:20" x14ac:dyDescent="0.35">
      <c r="B143" s="879">
        <v>45781</v>
      </c>
      <c r="C143" s="878" t="s">
        <v>324</v>
      </c>
      <c r="D143" s="783" t="s">
        <v>6856</v>
      </c>
      <c r="E143" s="783" t="s">
        <v>5593</v>
      </c>
      <c r="F143" s="784" t="s">
        <v>126</v>
      </c>
      <c r="G143" s="785" t="s">
        <v>6860</v>
      </c>
      <c r="H143" s="785">
        <v>45701</v>
      </c>
      <c r="I143" s="784">
        <v>0</v>
      </c>
      <c r="J143" s="784">
        <v>12</v>
      </c>
      <c r="K143" s="830"/>
      <c r="L143" s="1165" t="s">
        <v>6861</v>
      </c>
      <c r="M143" s="1101" t="s">
        <v>6862</v>
      </c>
      <c r="N143" s="287" t="s">
        <v>6863</v>
      </c>
      <c r="O143" s="829"/>
      <c r="P143" s="829"/>
      <c r="Q143" s="96"/>
      <c r="R143" s="96"/>
      <c r="S143" s="84"/>
      <c r="T143" s="851"/>
    </row>
    <row r="144" spans="2:20" x14ac:dyDescent="0.35">
      <c r="B144" s="851">
        <v>45781</v>
      </c>
      <c r="C144" s="783" t="s">
        <v>324</v>
      </c>
      <c r="D144" s="783" t="s">
        <v>6856</v>
      </c>
      <c r="E144" s="783" t="s">
        <v>5593</v>
      </c>
      <c r="F144" s="784" t="s">
        <v>126</v>
      </c>
      <c r="G144" s="785" t="s">
        <v>6864</v>
      </c>
      <c r="H144" s="785">
        <v>45702</v>
      </c>
      <c r="I144" s="784"/>
      <c r="J144" s="784">
        <v>12</v>
      </c>
      <c r="K144" s="830"/>
      <c r="L144" s="896" t="s">
        <v>893</v>
      </c>
      <c r="M144" s="829"/>
      <c r="N144" s="287" t="s">
        <v>6865</v>
      </c>
      <c r="O144" s="829"/>
      <c r="P144" s="829"/>
      <c r="Q144" s="96"/>
      <c r="R144" s="96"/>
      <c r="S144" s="84"/>
      <c r="T144" s="851"/>
    </row>
    <row r="145" spans="2:20" x14ac:dyDescent="0.35">
      <c r="B145" s="851">
        <v>45781</v>
      </c>
      <c r="C145" s="783" t="s">
        <v>324</v>
      </c>
      <c r="D145" s="783" t="s">
        <v>6856</v>
      </c>
      <c r="E145" s="783" t="s">
        <v>5593</v>
      </c>
      <c r="F145" s="784" t="s">
        <v>126</v>
      </c>
      <c r="G145" s="87" t="s">
        <v>6866</v>
      </c>
      <c r="H145" s="785">
        <v>45702</v>
      </c>
      <c r="J145" s="484">
        <v>12</v>
      </c>
      <c r="K145" s="84"/>
      <c r="L145" s="127" t="s">
        <v>890</v>
      </c>
      <c r="M145" s="146"/>
      <c r="N145" s="287" t="s">
        <v>6867</v>
      </c>
      <c r="O145" s="146"/>
      <c r="P145" s="146"/>
      <c r="S145" s="84"/>
    </row>
    <row r="146" spans="2:20" x14ac:dyDescent="0.35">
      <c r="B146" s="851">
        <v>45781</v>
      </c>
      <c r="C146" s="783" t="s">
        <v>324</v>
      </c>
      <c r="D146" s="783" t="s">
        <v>6856</v>
      </c>
      <c r="E146" s="783" t="s">
        <v>5593</v>
      </c>
      <c r="F146" s="784" t="s">
        <v>126</v>
      </c>
      <c r="G146" s="87" t="s">
        <v>6868</v>
      </c>
      <c r="H146" s="785">
        <v>45709</v>
      </c>
      <c r="J146" s="484">
        <v>12</v>
      </c>
      <c r="K146" s="84"/>
      <c r="L146" s="127" t="s">
        <v>894</v>
      </c>
      <c r="M146" s="146"/>
      <c r="N146" s="287" t="s">
        <v>6869</v>
      </c>
      <c r="O146" s="146"/>
      <c r="P146" s="146"/>
      <c r="S146" s="84"/>
    </row>
    <row r="147" spans="2:20" x14ac:dyDescent="0.35">
      <c r="B147" s="851">
        <v>45781</v>
      </c>
      <c r="C147" s="783" t="s">
        <v>324</v>
      </c>
      <c r="D147" s="783" t="s">
        <v>6856</v>
      </c>
      <c r="E147" s="783" t="s">
        <v>5593</v>
      </c>
      <c r="F147" s="784" t="s">
        <v>126</v>
      </c>
      <c r="G147" s="87" t="s">
        <v>6870</v>
      </c>
      <c r="H147" s="785">
        <v>45750</v>
      </c>
      <c r="I147" s="507">
        <v>0</v>
      </c>
      <c r="J147" s="484">
        <v>15</v>
      </c>
      <c r="K147" s="84"/>
      <c r="L147" s="127" t="s">
        <v>895</v>
      </c>
      <c r="M147" s="146"/>
      <c r="N147" s="287" t="s">
        <v>6667</v>
      </c>
      <c r="O147" s="146"/>
      <c r="P147" s="146"/>
      <c r="S147" s="84"/>
    </row>
    <row r="148" spans="2:20" x14ac:dyDescent="0.35">
      <c r="B148" s="851">
        <v>45781</v>
      </c>
      <c r="C148" s="783" t="s">
        <v>324</v>
      </c>
      <c r="D148" s="783" t="s">
        <v>6856</v>
      </c>
      <c r="E148" s="783" t="s">
        <v>5593</v>
      </c>
      <c r="F148" s="784" t="s">
        <v>126</v>
      </c>
      <c r="G148" s="87" t="s">
        <v>6871</v>
      </c>
      <c r="H148" s="785">
        <v>45776</v>
      </c>
      <c r="I148" s="507">
        <v>0</v>
      </c>
      <c r="J148" s="484">
        <v>15</v>
      </c>
      <c r="L148" s="516" t="s">
        <v>896</v>
      </c>
      <c r="N148" s="287" t="s">
        <v>6872</v>
      </c>
      <c r="S148" s="84"/>
    </row>
    <row r="149" spans="2:20" x14ac:dyDescent="0.35">
      <c r="B149" s="851">
        <v>45781</v>
      </c>
      <c r="C149" s="783" t="s">
        <v>324</v>
      </c>
      <c r="D149" s="783" t="s">
        <v>6856</v>
      </c>
      <c r="E149" s="783" t="s">
        <v>5593</v>
      </c>
      <c r="F149" s="784" t="s">
        <v>176</v>
      </c>
      <c r="G149" s="785" t="s">
        <v>5256</v>
      </c>
      <c r="H149" s="785">
        <v>45674</v>
      </c>
      <c r="I149" s="784">
        <v>15</v>
      </c>
      <c r="J149" s="784">
        <v>0</v>
      </c>
      <c r="K149" s="830" t="s">
        <v>5045</v>
      </c>
      <c r="L149" s="896" t="s">
        <v>6195</v>
      </c>
      <c r="M149" s="829" t="s">
        <v>6196</v>
      </c>
      <c r="N149" s="287" t="s">
        <v>6194</v>
      </c>
      <c r="O149" s="829" t="s">
        <v>4746</v>
      </c>
      <c r="P149" s="829" t="s">
        <v>6197</v>
      </c>
      <c r="Q149" s="96" t="s">
        <v>6198</v>
      </c>
      <c r="R149" s="96" t="s">
        <v>6199</v>
      </c>
      <c r="S149" s="84" t="s">
        <v>4370</v>
      </c>
      <c r="T149" s="851"/>
    </row>
    <row r="150" spans="2:20" x14ac:dyDescent="0.35">
      <c r="B150" s="851"/>
      <c r="C150" s="84"/>
      <c r="D150" s="783"/>
      <c r="E150" s="898"/>
      <c r="F150" s="84"/>
      <c r="H150" s="785"/>
      <c r="K150" s="84"/>
      <c r="L150" s="127"/>
      <c r="M150" s="146"/>
      <c r="N150" s="287"/>
      <c r="O150" s="146"/>
      <c r="P150" s="146"/>
      <c r="S150" s="84"/>
    </row>
    <row r="151" spans="2:20" x14ac:dyDescent="0.35">
      <c r="B151" s="851">
        <v>45781</v>
      </c>
      <c r="C151" s="84" t="s">
        <v>279</v>
      </c>
      <c r="D151" s="783" t="s">
        <v>801</v>
      </c>
      <c r="E151" s="898" t="s">
        <v>5593</v>
      </c>
      <c r="F151" s="84" t="s">
        <v>126</v>
      </c>
      <c r="G151" s="87" t="s">
        <v>6873</v>
      </c>
      <c r="H151" s="785">
        <v>45685</v>
      </c>
      <c r="I151" s="507">
        <v>0</v>
      </c>
      <c r="J151" s="484">
        <v>35</v>
      </c>
      <c r="K151" s="84" t="s">
        <v>4955</v>
      </c>
      <c r="L151" s="127" t="s">
        <v>6553</v>
      </c>
      <c r="M151" s="146" t="s">
        <v>6554</v>
      </c>
      <c r="N151" s="287" t="s">
        <v>6555</v>
      </c>
      <c r="O151" s="146"/>
      <c r="P151" s="146"/>
      <c r="S151" s="84"/>
    </row>
    <row r="152" spans="2:20" x14ac:dyDescent="0.35">
      <c r="B152" s="851">
        <v>45781</v>
      </c>
      <c r="C152" s="84" t="s">
        <v>279</v>
      </c>
      <c r="D152" s="783" t="s">
        <v>801</v>
      </c>
      <c r="E152" s="898" t="s">
        <v>5593</v>
      </c>
      <c r="F152" s="84" t="s">
        <v>126</v>
      </c>
      <c r="G152" s="87" t="s">
        <v>6874</v>
      </c>
      <c r="H152" s="785">
        <v>45693</v>
      </c>
      <c r="J152" s="484">
        <v>35</v>
      </c>
      <c r="K152" s="84" t="s">
        <v>4664</v>
      </c>
      <c r="L152" s="127" t="s">
        <v>898</v>
      </c>
      <c r="M152" s="146"/>
      <c r="N152" s="287" t="s">
        <v>6875</v>
      </c>
      <c r="O152" s="146"/>
      <c r="P152" s="146"/>
      <c r="S152" s="84"/>
    </row>
    <row r="153" spans="2:20" x14ac:dyDescent="0.35">
      <c r="B153" s="851">
        <v>45781</v>
      </c>
      <c r="C153" s="84" t="s">
        <v>279</v>
      </c>
      <c r="D153" s="783" t="s">
        <v>801</v>
      </c>
      <c r="E153" s="898" t="s">
        <v>5593</v>
      </c>
      <c r="F153" s="84" t="s">
        <v>126</v>
      </c>
      <c r="G153" s="87" t="s">
        <v>6876</v>
      </c>
      <c r="H153" s="785">
        <v>45701</v>
      </c>
      <c r="J153" s="484">
        <v>35</v>
      </c>
      <c r="K153" s="84"/>
      <c r="L153" s="127" t="s">
        <v>6877</v>
      </c>
      <c r="M153" s="146" t="s">
        <v>6878</v>
      </c>
      <c r="N153" s="287" t="s">
        <v>6879</v>
      </c>
      <c r="O153" s="146"/>
      <c r="P153" s="146"/>
      <c r="S153" s="84"/>
    </row>
    <row r="154" spans="2:20" x14ac:dyDescent="0.35">
      <c r="B154" s="879">
        <v>45781</v>
      </c>
      <c r="C154" s="607" t="s">
        <v>279</v>
      </c>
      <c r="D154" s="783" t="s">
        <v>801</v>
      </c>
      <c r="E154" s="898" t="s">
        <v>5593</v>
      </c>
      <c r="F154" s="84" t="s">
        <v>126</v>
      </c>
      <c r="G154" s="87" t="s">
        <v>6880</v>
      </c>
      <c r="H154" s="785">
        <v>45720</v>
      </c>
      <c r="J154" s="484">
        <v>35</v>
      </c>
      <c r="K154" s="84"/>
      <c r="L154" s="127" t="s">
        <v>899</v>
      </c>
      <c r="M154" s="146"/>
      <c r="N154" s="287" t="s">
        <v>6881</v>
      </c>
      <c r="O154" s="146"/>
      <c r="P154" s="146"/>
      <c r="S154" s="84"/>
    </row>
    <row r="155" spans="2:20" x14ac:dyDescent="0.35">
      <c r="B155" s="851">
        <v>45781</v>
      </c>
      <c r="C155" s="84" t="s">
        <v>279</v>
      </c>
      <c r="D155" s="783" t="s">
        <v>801</v>
      </c>
      <c r="E155" s="84" t="s">
        <v>5593</v>
      </c>
      <c r="F155" s="84" t="s">
        <v>174</v>
      </c>
      <c r="G155" s="87" t="s">
        <v>6882</v>
      </c>
      <c r="H155" s="785">
        <v>45678</v>
      </c>
      <c r="I155" s="507">
        <v>50</v>
      </c>
      <c r="J155" s="484">
        <v>0</v>
      </c>
      <c r="K155" s="84" t="s">
        <v>4664</v>
      </c>
      <c r="L155" s="127" t="s">
        <v>6713</v>
      </c>
      <c r="M155" s="127" t="s">
        <v>6883</v>
      </c>
      <c r="N155" s="287" t="s">
        <v>6884</v>
      </c>
      <c r="O155" s="146" t="s">
        <v>4849</v>
      </c>
      <c r="P155" s="146" t="s">
        <v>6885</v>
      </c>
      <c r="Q155" s="484" t="s">
        <v>6886</v>
      </c>
      <c r="R155" s="484" t="s">
        <v>6887</v>
      </c>
      <c r="S155" s="84" t="s">
        <v>4376</v>
      </c>
    </row>
    <row r="156" spans="2:20" x14ac:dyDescent="0.35">
      <c r="B156" s="851"/>
      <c r="C156" s="84"/>
      <c r="D156" s="783"/>
      <c r="E156" s="84"/>
      <c r="F156" s="84"/>
      <c r="G156" s="87"/>
      <c r="H156" s="785"/>
      <c r="K156" s="84"/>
      <c r="L156" s="127"/>
      <c r="M156" s="127"/>
      <c r="N156" s="287"/>
      <c r="O156" s="146"/>
      <c r="P156" s="146"/>
      <c r="S156" s="84"/>
    </row>
    <row r="157" spans="2:20" x14ac:dyDescent="0.35">
      <c r="B157" s="851">
        <v>45782</v>
      </c>
      <c r="C157" s="84" t="s">
        <v>2217</v>
      </c>
      <c r="D157" s="84" t="s">
        <v>6888</v>
      </c>
      <c r="E157" s="84" t="s">
        <v>5593</v>
      </c>
      <c r="F157" s="84" t="s">
        <v>176</v>
      </c>
      <c r="G157" s="87" t="s">
        <v>5325</v>
      </c>
      <c r="H157" s="785">
        <v>45659</v>
      </c>
      <c r="I157" s="507">
        <v>50</v>
      </c>
      <c r="J157" s="484">
        <v>0</v>
      </c>
      <c r="K157" s="84" t="s">
        <v>4664</v>
      </c>
      <c r="L157" s="127" t="s">
        <v>6889</v>
      </c>
      <c r="M157" s="516" t="s">
        <v>6890</v>
      </c>
      <c r="N157" s="287" t="s">
        <v>6891</v>
      </c>
      <c r="O157" s="146"/>
      <c r="P157" s="146" t="s">
        <v>6892</v>
      </c>
      <c r="Q157" s="484" t="s">
        <v>6893</v>
      </c>
      <c r="R157" s="484" t="s">
        <v>6894</v>
      </c>
      <c r="S157" s="84" t="s">
        <v>5754</v>
      </c>
    </row>
    <row r="158" spans="2:20" x14ac:dyDescent="0.35">
      <c r="B158" s="851">
        <v>45782</v>
      </c>
      <c r="C158" s="84" t="s">
        <v>2217</v>
      </c>
      <c r="D158" s="1048" t="s">
        <v>6895</v>
      </c>
      <c r="E158" s="1048" t="s">
        <v>5375</v>
      </c>
      <c r="F158" s="1048" t="s">
        <v>175</v>
      </c>
      <c r="G158" s="1049" t="s">
        <v>6896</v>
      </c>
      <c r="H158" s="1050">
        <v>45292</v>
      </c>
      <c r="I158" s="1051">
        <v>95</v>
      </c>
      <c r="J158" s="1049">
        <v>0</v>
      </c>
      <c r="K158" s="96" t="s">
        <v>4664</v>
      </c>
      <c r="L158" s="830" t="s">
        <v>4471</v>
      </c>
      <c r="M158" s="896" t="s">
        <v>6897</v>
      </c>
      <c r="N158" s="549" t="s">
        <v>6898</v>
      </c>
      <c r="O158" s="829" t="s">
        <v>6398</v>
      </c>
      <c r="P158" s="967" t="s">
        <v>6899</v>
      </c>
      <c r="Q158" s="96" t="s">
        <v>6900</v>
      </c>
      <c r="R158" s="96" t="s">
        <v>6901</v>
      </c>
      <c r="S158" s="96" t="s">
        <v>6902</v>
      </c>
    </row>
    <row r="159" spans="2:20" x14ac:dyDescent="0.35">
      <c r="B159" s="851">
        <v>45782</v>
      </c>
      <c r="C159" s="84" t="s">
        <v>2217</v>
      </c>
      <c r="D159" s="84"/>
      <c r="F159" s="84" t="s">
        <v>126</v>
      </c>
      <c r="G159" s="87" t="s">
        <v>6903</v>
      </c>
      <c r="H159" s="785">
        <v>45720</v>
      </c>
      <c r="J159" s="484">
        <v>50</v>
      </c>
      <c r="K159" s="84"/>
      <c r="L159" s="127" t="s">
        <v>615</v>
      </c>
      <c r="N159" s="287" t="s">
        <v>6904</v>
      </c>
      <c r="O159" s="146"/>
      <c r="P159" s="146" t="s">
        <v>6905</v>
      </c>
      <c r="S159" s="84"/>
    </row>
    <row r="160" spans="2:20" x14ac:dyDescent="0.35">
      <c r="B160" s="851">
        <v>45782</v>
      </c>
      <c r="C160" s="84" t="s">
        <v>2217</v>
      </c>
      <c r="D160" s="84"/>
      <c r="F160" s="84" t="s">
        <v>126</v>
      </c>
      <c r="G160" s="87" t="s">
        <v>6906</v>
      </c>
      <c r="H160" s="785">
        <v>45720</v>
      </c>
      <c r="J160" s="484">
        <v>50</v>
      </c>
      <c r="K160" s="84"/>
      <c r="L160" s="127" t="s">
        <v>618</v>
      </c>
      <c r="N160" s="287" t="s">
        <v>6907</v>
      </c>
      <c r="O160" s="146"/>
      <c r="P160" s="146" t="s">
        <v>6908</v>
      </c>
      <c r="S160" s="84"/>
    </row>
    <row r="161" spans="2:19" x14ac:dyDescent="0.35">
      <c r="B161" s="851">
        <v>45782</v>
      </c>
      <c r="C161" s="84" t="s">
        <v>2217</v>
      </c>
      <c r="D161" s="84"/>
      <c r="F161" s="84" t="s">
        <v>126</v>
      </c>
      <c r="G161" s="87" t="s">
        <v>6909</v>
      </c>
      <c r="H161" s="785">
        <v>45721</v>
      </c>
      <c r="J161" s="484">
        <v>50</v>
      </c>
      <c r="K161" s="84"/>
      <c r="L161" s="127" t="s">
        <v>803</v>
      </c>
      <c r="N161" s="287" t="s">
        <v>6910</v>
      </c>
      <c r="O161" s="146"/>
      <c r="P161" s="146" t="s">
        <v>6911</v>
      </c>
      <c r="S161" s="84"/>
    </row>
    <row r="162" spans="2:19" x14ac:dyDescent="0.35">
      <c r="B162" s="851">
        <v>45782</v>
      </c>
      <c r="C162" s="84" t="s">
        <v>2217</v>
      </c>
      <c r="D162" s="84"/>
      <c r="F162" s="84" t="s">
        <v>6912</v>
      </c>
      <c r="G162" s="84" t="s">
        <v>6913</v>
      </c>
      <c r="H162" s="785">
        <v>45729</v>
      </c>
      <c r="J162" s="484">
        <v>50</v>
      </c>
      <c r="K162" s="84" t="s">
        <v>4664</v>
      </c>
      <c r="L162" s="127" t="s">
        <v>4533</v>
      </c>
      <c r="M162" s="127" t="s">
        <v>5868</v>
      </c>
      <c r="N162" s="287" t="s">
        <v>5867</v>
      </c>
      <c r="O162" s="146" t="s">
        <v>5741</v>
      </c>
      <c r="P162" s="146" t="s">
        <v>5869</v>
      </c>
      <c r="Q162" s="484" t="s">
        <v>6914</v>
      </c>
      <c r="R162" s="484" t="s">
        <v>6915</v>
      </c>
      <c r="S162" s="84" t="s">
        <v>4424</v>
      </c>
    </row>
    <row r="163" spans="2:19" x14ac:dyDescent="0.35">
      <c r="B163" s="851"/>
      <c r="C163" s="84"/>
      <c r="D163" s="84"/>
      <c r="F163" s="84"/>
      <c r="G163" s="87"/>
      <c r="H163" s="785"/>
      <c r="K163" s="84"/>
      <c r="L163" s="127"/>
      <c r="N163" s="287"/>
      <c r="O163" s="146"/>
      <c r="P163" s="146"/>
      <c r="S163" s="84"/>
    </row>
    <row r="164" spans="2:19" x14ac:dyDescent="0.35">
      <c r="B164" s="851">
        <v>45789</v>
      </c>
      <c r="C164" s="84" t="s">
        <v>783</v>
      </c>
      <c r="D164" s="783" t="s">
        <v>316</v>
      </c>
      <c r="E164" s="783" t="s">
        <v>5374</v>
      </c>
      <c r="F164" s="84" t="s">
        <v>126</v>
      </c>
      <c r="G164" s="87" t="s">
        <v>6916</v>
      </c>
      <c r="H164" s="785">
        <v>45700</v>
      </c>
      <c r="J164" s="484">
        <v>50</v>
      </c>
      <c r="K164" s="84" t="s">
        <v>4955</v>
      </c>
      <c r="L164" s="127" t="s">
        <v>6917</v>
      </c>
      <c r="M164" s="516" t="s">
        <v>6918</v>
      </c>
      <c r="N164" s="287" t="s">
        <v>6919</v>
      </c>
      <c r="O164" s="146"/>
      <c r="P164" s="146"/>
      <c r="S164" s="84"/>
    </row>
    <row r="165" spans="2:19" x14ac:dyDescent="0.35">
      <c r="B165" s="851">
        <v>45789</v>
      </c>
      <c r="C165" s="84" t="s">
        <v>783</v>
      </c>
      <c r="D165" s="783" t="s">
        <v>316</v>
      </c>
      <c r="E165" s="783" t="s">
        <v>5374</v>
      </c>
      <c r="F165" s="84" t="s">
        <v>126</v>
      </c>
      <c r="G165" s="87" t="s">
        <v>6920</v>
      </c>
      <c r="H165" s="785">
        <v>45707</v>
      </c>
      <c r="J165" s="484">
        <v>50</v>
      </c>
      <c r="K165" s="84"/>
      <c r="L165" s="127" t="s">
        <v>870</v>
      </c>
      <c r="N165" s="287" t="s">
        <v>6600</v>
      </c>
      <c r="O165" s="146"/>
      <c r="P165" s="146"/>
      <c r="S165" s="84"/>
    </row>
    <row r="166" spans="2:19" x14ac:dyDescent="0.35">
      <c r="B166" s="879">
        <v>45789</v>
      </c>
      <c r="C166" s="607" t="s">
        <v>783</v>
      </c>
      <c r="D166" s="878" t="s">
        <v>316</v>
      </c>
      <c r="E166" s="878" t="s">
        <v>5374</v>
      </c>
      <c r="F166" s="607" t="s">
        <v>126</v>
      </c>
      <c r="G166" s="87" t="s">
        <v>6921</v>
      </c>
      <c r="H166" s="785">
        <v>45712</v>
      </c>
      <c r="J166" s="484">
        <v>50</v>
      </c>
      <c r="K166" s="84"/>
      <c r="L166" s="127" t="s">
        <v>871</v>
      </c>
      <c r="N166" s="287" t="s">
        <v>6922</v>
      </c>
      <c r="O166" s="146"/>
      <c r="P166" s="146"/>
      <c r="S166" s="84"/>
    </row>
    <row r="167" spans="2:19" x14ac:dyDescent="0.35">
      <c r="B167" s="851">
        <v>45789</v>
      </c>
      <c r="C167" s="84" t="s">
        <v>783</v>
      </c>
      <c r="D167" s="783" t="s">
        <v>316</v>
      </c>
      <c r="E167" s="783" t="s">
        <v>5374</v>
      </c>
      <c r="F167" s="84" t="s">
        <v>126</v>
      </c>
      <c r="G167" s="87" t="s">
        <v>6923</v>
      </c>
      <c r="H167" s="785">
        <v>45719</v>
      </c>
      <c r="J167" s="484">
        <v>50</v>
      </c>
      <c r="K167" s="84"/>
      <c r="L167" s="127" t="s">
        <v>872</v>
      </c>
      <c r="N167" s="287" t="s">
        <v>6924</v>
      </c>
      <c r="O167" s="146"/>
      <c r="P167" s="146" t="s">
        <v>6925</v>
      </c>
      <c r="S167" s="84"/>
    </row>
    <row r="168" spans="2:19" x14ac:dyDescent="0.35">
      <c r="B168" s="851">
        <v>45789</v>
      </c>
      <c r="C168" s="84" t="s">
        <v>783</v>
      </c>
      <c r="D168" s="783" t="s">
        <v>316</v>
      </c>
      <c r="E168" s="783" t="s">
        <v>5374</v>
      </c>
      <c r="F168" s="84" t="s">
        <v>126</v>
      </c>
      <c r="G168" s="87" t="s">
        <v>6926</v>
      </c>
      <c r="H168" s="785">
        <v>45733</v>
      </c>
      <c r="I168" s="507">
        <v>0</v>
      </c>
      <c r="J168" s="484">
        <v>50</v>
      </c>
      <c r="K168" s="84"/>
      <c r="L168" s="127" t="s">
        <v>803</v>
      </c>
      <c r="N168" s="287" t="s">
        <v>6910</v>
      </c>
      <c r="O168" s="146"/>
      <c r="P168" s="146" t="s">
        <v>6911</v>
      </c>
      <c r="S168" s="84"/>
    </row>
    <row r="169" spans="2:19" x14ac:dyDescent="0.35">
      <c r="B169" s="851">
        <v>45789</v>
      </c>
      <c r="C169" s="84" t="s">
        <v>783</v>
      </c>
      <c r="D169" s="783" t="s">
        <v>316</v>
      </c>
      <c r="E169" s="783" t="s">
        <v>5374</v>
      </c>
      <c r="F169" s="84" t="s">
        <v>174</v>
      </c>
      <c r="G169" s="87" t="s">
        <v>6927</v>
      </c>
      <c r="H169" s="785">
        <v>45758</v>
      </c>
      <c r="I169" s="507">
        <v>50</v>
      </c>
      <c r="J169" s="484">
        <v>0</v>
      </c>
      <c r="K169" s="84" t="s">
        <v>4664</v>
      </c>
      <c r="L169" s="127" t="s">
        <v>6518</v>
      </c>
      <c r="M169" s="127" t="s">
        <v>5587</v>
      </c>
      <c r="N169" s="287" t="s">
        <v>6928</v>
      </c>
      <c r="O169" s="146" t="s">
        <v>6782</v>
      </c>
      <c r="P169" s="146" t="s">
        <v>6929</v>
      </c>
      <c r="Q169" s="484" t="s">
        <v>6930</v>
      </c>
      <c r="R169" s="484" t="s">
        <v>6931</v>
      </c>
      <c r="S169" s="84" t="s">
        <v>6932</v>
      </c>
    </row>
    <row r="170" spans="2:19" x14ac:dyDescent="0.35">
      <c r="B170" s="879">
        <v>45789</v>
      </c>
      <c r="C170" s="607" t="s">
        <v>783</v>
      </c>
      <c r="D170" s="878" t="s">
        <v>316</v>
      </c>
      <c r="E170" s="878" t="s">
        <v>5374</v>
      </c>
      <c r="F170" s="607" t="s">
        <v>126</v>
      </c>
      <c r="G170" s="608" t="s">
        <v>6933</v>
      </c>
      <c r="H170" s="899">
        <v>45722</v>
      </c>
      <c r="I170" s="609"/>
      <c r="J170" s="607">
        <v>50</v>
      </c>
      <c r="K170" s="607"/>
      <c r="L170" s="1162" t="s">
        <v>673</v>
      </c>
      <c r="N170" s="287" t="s">
        <v>6934</v>
      </c>
      <c r="O170" s="146"/>
      <c r="P170" s="146"/>
      <c r="S170" s="84"/>
    </row>
    <row r="171" spans="2:19" x14ac:dyDescent="0.35">
      <c r="B171" s="851"/>
      <c r="C171" s="84"/>
      <c r="D171" s="783"/>
      <c r="E171" s="783"/>
      <c r="F171" s="84"/>
      <c r="G171" s="87"/>
      <c r="H171" s="785"/>
      <c r="K171" s="84"/>
      <c r="L171" s="127"/>
      <c r="M171" s="127"/>
      <c r="N171" s="287"/>
      <c r="O171" s="146"/>
      <c r="P171" s="146"/>
      <c r="S171" s="84"/>
    </row>
    <row r="172" spans="2:19" x14ac:dyDescent="0.35">
      <c r="B172" s="851"/>
      <c r="C172" s="84"/>
      <c r="D172" s="783"/>
      <c r="E172" s="783"/>
      <c r="F172" s="84"/>
      <c r="G172" s="87"/>
      <c r="H172" s="785"/>
      <c r="K172" s="84"/>
      <c r="L172" s="127"/>
      <c r="M172" s="127"/>
      <c r="N172" s="287"/>
      <c r="O172" s="146"/>
      <c r="P172" s="146"/>
      <c r="S172" s="84"/>
    </row>
    <row r="173" spans="2:19" x14ac:dyDescent="0.35">
      <c r="B173" s="851"/>
      <c r="C173" s="84"/>
      <c r="D173" s="783"/>
      <c r="E173" s="783"/>
      <c r="F173" s="84"/>
      <c r="G173" s="87"/>
      <c r="H173" s="785"/>
      <c r="K173" s="84"/>
      <c r="L173" s="127"/>
      <c r="N173" s="287"/>
      <c r="O173" s="146"/>
      <c r="P173" s="146"/>
      <c r="S173" s="84"/>
    </row>
    <row r="174" spans="2:19" x14ac:dyDescent="0.35">
      <c r="B174" s="851">
        <v>45797</v>
      </c>
      <c r="C174" s="84" t="s">
        <v>783</v>
      </c>
      <c r="D174" s="783" t="s">
        <v>316</v>
      </c>
      <c r="E174" s="783" t="s">
        <v>5374</v>
      </c>
      <c r="F174" s="84" t="s">
        <v>126</v>
      </c>
      <c r="G174" s="87" t="s">
        <v>6935</v>
      </c>
      <c r="H174" s="785">
        <v>45729</v>
      </c>
      <c r="I174" s="507">
        <v>0</v>
      </c>
      <c r="J174" s="484">
        <v>50</v>
      </c>
      <c r="K174" s="84"/>
      <c r="L174" s="127" t="s">
        <v>840</v>
      </c>
      <c r="N174" s="287" t="s">
        <v>6936</v>
      </c>
      <c r="O174" s="146"/>
      <c r="P174" s="146"/>
      <c r="S174" s="84"/>
    </row>
    <row r="175" spans="2:19" x14ac:dyDescent="0.35">
      <c r="B175" s="851">
        <v>45797</v>
      </c>
      <c r="C175" s="84" t="s">
        <v>783</v>
      </c>
      <c r="D175" s="783" t="s">
        <v>316</v>
      </c>
      <c r="E175" s="783" t="s">
        <v>5374</v>
      </c>
      <c r="F175" s="84" t="s">
        <v>126</v>
      </c>
      <c r="G175" s="87" t="s">
        <v>6937</v>
      </c>
      <c r="H175" s="785">
        <v>45729</v>
      </c>
      <c r="I175" s="507">
        <v>0</v>
      </c>
      <c r="J175" s="484">
        <v>50</v>
      </c>
      <c r="K175" s="84"/>
      <c r="L175" s="127" t="s">
        <v>839</v>
      </c>
      <c r="N175" s="287" t="s">
        <v>6938</v>
      </c>
      <c r="O175" s="146"/>
      <c r="P175" s="146" t="s">
        <v>6939</v>
      </c>
      <c r="S175" s="84"/>
    </row>
    <row r="176" spans="2:19" x14ac:dyDescent="0.35">
      <c r="B176" s="851">
        <v>45797</v>
      </c>
      <c r="C176" s="84" t="s">
        <v>783</v>
      </c>
      <c r="D176" s="783" t="s">
        <v>316</v>
      </c>
      <c r="E176" s="543" t="s">
        <v>5374</v>
      </c>
      <c r="F176" s="543" t="s">
        <v>174</v>
      </c>
      <c r="G176" s="96" t="s">
        <v>6940</v>
      </c>
      <c r="H176" s="97">
        <v>45549</v>
      </c>
      <c r="I176" s="6">
        <v>50</v>
      </c>
      <c r="J176" s="96">
        <v>0</v>
      </c>
      <c r="K176" s="1105" t="s">
        <v>4664</v>
      </c>
      <c r="L176" s="1105" t="s">
        <v>6941</v>
      </c>
      <c r="M176" s="1105" t="s">
        <v>6942</v>
      </c>
      <c r="N176" s="3" t="s">
        <v>6943</v>
      </c>
      <c r="O176" s="1106" t="s">
        <v>4788</v>
      </c>
      <c r="P176" s="1106" t="s">
        <v>6944</v>
      </c>
      <c r="Q176" s="543" t="s">
        <v>6945</v>
      </c>
      <c r="R176" s="829" t="s">
        <v>6946</v>
      </c>
      <c r="S176" s="96" t="s">
        <v>4365</v>
      </c>
    </row>
    <row r="177" spans="2:19" x14ac:dyDescent="0.35">
      <c r="B177" s="851">
        <v>45797</v>
      </c>
      <c r="C177" s="84" t="s">
        <v>783</v>
      </c>
      <c r="D177" s="783" t="s">
        <v>316</v>
      </c>
      <c r="E177" s="783" t="s">
        <v>5374</v>
      </c>
      <c r="F177" s="84" t="s">
        <v>126</v>
      </c>
      <c r="G177" s="96" t="s">
        <v>6947</v>
      </c>
      <c r="H177" s="97">
        <v>45734</v>
      </c>
      <c r="I177" s="6">
        <v>0</v>
      </c>
      <c r="J177" s="96">
        <v>50</v>
      </c>
      <c r="K177" s="1105"/>
      <c r="L177" s="1105" t="s">
        <v>841</v>
      </c>
      <c r="M177" s="1105"/>
      <c r="N177" s="3" t="s">
        <v>6826</v>
      </c>
      <c r="O177" s="1106"/>
      <c r="P177" s="1106" t="s">
        <v>6827</v>
      </c>
      <c r="Q177" s="543"/>
      <c r="R177" s="829"/>
      <c r="S177" s="96"/>
    </row>
    <row r="178" spans="2:19" x14ac:dyDescent="0.35">
      <c r="B178" s="851">
        <v>45797</v>
      </c>
      <c r="C178" s="84" t="s">
        <v>783</v>
      </c>
      <c r="D178" s="783" t="s">
        <v>316</v>
      </c>
      <c r="E178" s="783" t="s">
        <v>5374</v>
      </c>
      <c r="F178" s="84" t="s">
        <v>126</v>
      </c>
      <c r="G178" s="96" t="s">
        <v>6948</v>
      </c>
      <c r="H178" s="97">
        <v>45737</v>
      </c>
      <c r="I178" s="6">
        <v>0</v>
      </c>
      <c r="J178" s="96">
        <v>50</v>
      </c>
      <c r="K178" s="1105"/>
      <c r="L178" s="1105" t="s">
        <v>842</v>
      </c>
      <c r="M178" s="1105"/>
      <c r="N178" s="3" t="s">
        <v>6949</v>
      </c>
      <c r="O178" s="1106"/>
      <c r="P178" s="1106" t="s">
        <v>6950</v>
      </c>
      <c r="Q178" s="543"/>
      <c r="R178" s="829"/>
      <c r="S178" s="96"/>
    </row>
    <row r="179" spans="2:19" x14ac:dyDescent="0.35">
      <c r="B179" s="851">
        <v>45797</v>
      </c>
      <c r="C179" s="84" t="s">
        <v>783</v>
      </c>
      <c r="D179" s="783" t="s">
        <v>316</v>
      </c>
      <c r="E179" s="783" t="s">
        <v>5374</v>
      </c>
      <c r="F179" s="84" t="s">
        <v>126</v>
      </c>
      <c r="G179" s="87" t="s">
        <v>6951</v>
      </c>
      <c r="H179" s="785">
        <v>45744</v>
      </c>
      <c r="I179" s="507">
        <v>0</v>
      </c>
      <c r="J179" s="484">
        <v>50</v>
      </c>
      <c r="K179" s="84"/>
      <c r="L179" s="127" t="s">
        <v>843</v>
      </c>
      <c r="N179" s="287" t="s">
        <v>6952</v>
      </c>
      <c r="O179" s="146"/>
      <c r="P179" s="146" t="s">
        <v>6953</v>
      </c>
      <c r="S179" s="84"/>
    </row>
    <row r="180" spans="2:19" x14ac:dyDescent="0.35">
      <c r="B180" s="851">
        <v>45797</v>
      </c>
      <c r="C180" s="96" t="s">
        <v>783</v>
      </c>
      <c r="D180" s="783" t="s">
        <v>316</v>
      </c>
      <c r="E180" s="783" t="s">
        <v>5374</v>
      </c>
      <c r="F180" s="96" t="s">
        <v>126</v>
      </c>
      <c r="G180" s="637" t="s">
        <v>6954</v>
      </c>
      <c r="H180" s="785">
        <v>45750</v>
      </c>
      <c r="I180" s="6">
        <v>0</v>
      </c>
      <c r="J180" s="96">
        <v>50</v>
      </c>
      <c r="K180" s="84"/>
      <c r="L180" s="127" t="s">
        <v>838</v>
      </c>
      <c r="N180" s="287" t="s">
        <v>6955</v>
      </c>
      <c r="O180" s="146"/>
      <c r="P180" s="146" t="s">
        <v>6956</v>
      </c>
      <c r="S180" s="84"/>
    </row>
    <row r="181" spans="2:19" x14ac:dyDescent="0.35">
      <c r="B181" s="851">
        <v>45797</v>
      </c>
      <c r="C181" s="84" t="s">
        <v>783</v>
      </c>
      <c r="D181" s="783" t="s">
        <v>316</v>
      </c>
      <c r="E181" s="783" t="s">
        <v>5374</v>
      </c>
      <c r="F181" s="84" t="s">
        <v>126</v>
      </c>
      <c r="G181" s="87" t="s">
        <v>6957</v>
      </c>
      <c r="H181" s="785">
        <v>45751</v>
      </c>
      <c r="I181" s="507">
        <v>0</v>
      </c>
      <c r="J181" s="484">
        <v>50</v>
      </c>
      <c r="K181" s="84"/>
      <c r="L181" s="127" t="s">
        <v>684</v>
      </c>
      <c r="N181" s="287" t="s">
        <v>6958</v>
      </c>
      <c r="O181" s="146"/>
      <c r="P181" s="146" t="s">
        <v>6959</v>
      </c>
      <c r="S181" s="84"/>
    </row>
    <row r="183" spans="2:19" x14ac:dyDescent="0.35">
      <c r="B183" s="851"/>
      <c r="C183" s="84"/>
      <c r="D183" s="84"/>
      <c r="F183" s="84"/>
      <c r="G183" s="87"/>
      <c r="H183" s="785"/>
      <c r="K183" s="84"/>
      <c r="L183" s="127"/>
      <c r="N183" s="287"/>
      <c r="O183" s="146"/>
      <c r="P183" s="146"/>
      <c r="S183" s="84"/>
    </row>
    <row r="184" spans="2:19" x14ac:dyDescent="0.35">
      <c r="B184" s="851"/>
      <c r="C184" s="84"/>
      <c r="D184" s="84"/>
      <c r="F184" s="84"/>
      <c r="G184" s="87"/>
      <c r="H184" s="785"/>
      <c r="K184" s="84"/>
      <c r="L184" s="127"/>
      <c r="N184" s="287"/>
      <c r="O184" s="146"/>
      <c r="P184" s="146"/>
      <c r="S184" s="84"/>
    </row>
    <row r="185" spans="2:19" x14ac:dyDescent="0.35">
      <c r="B185" s="851"/>
      <c r="C185" s="84"/>
      <c r="D185" s="84"/>
      <c r="F185" s="84"/>
      <c r="G185" s="87"/>
      <c r="H185" s="785"/>
      <c r="K185" s="84"/>
      <c r="L185" s="127"/>
      <c r="N185" s="287"/>
      <c r="O185" s="146"/>
      <c r="P185" s="146"/>
      <c r="S185" s="84"/>
    </row>
    <row r="186" spans="2:19" x14ac:dyDescent="0.35">
      <c r="B186" s="851">
        <v>45801</v>
      </c>
      <c r="C186" s="84" t="s">
        <v>235</v>
      </c>
      <c r="D186" s="84" t="s">
        <v>6960</v>
      </c>
      <c r="F186" s="84" t="s">
        <v>180</v>
      </c>
      <c r="G186" s="1045" t="s">
        <v>6961</v>
      </c>
      <c r="H186" s="785">
        <v>45532</v>
      </c>
      <c r="I186" s="507">
        <v>120</v>
      </c>
      <c r="J186" s="484">
        <v>0</v>
      </c>
      <c r="K186" s="84" t="s">
        <v>4955</v>
      </c>
      <c r="L186" s="127" t="s">
        <v>6962</v>
      </c>
      <c r="M186" s="127" t="s">
        <v>6963</v>
      </c>
      <c r="N186" s="287" t="s">
        <v>6964</v>
      </c>
    </row>
    <row r="187" spans="2:19" x14ac:dyDescent="0.35">
      <c r="B187" s="851">
        <v>45801</v>
      </c>
      <c r="C187" s="84" t="s">
        <v>235</v>
      </c>
      <c r="D187" s="84" t="s">
        <v>6960</v>
      </c>
      <c r="F187" s="84" t="s">
        <v>126</v>
      </c>
      <c r="G187" s="505" t="s">
        <v>6965</v>
      </c>
      <c r="H187" s="785">
        <v>45745</v>
      </c>
      <c r="I187" s="507">
        <v>0</v>
      </c>
      <c r="J187" s="484">
        <v>150</v>
      </c>
      <c r="L187" s="516" t="s">
        <v>849</v>
      </c>
      <c r="N187" s="287" t="s">
        <v>6966</v>
      </c>
    </row>
    <row r="188" spans="2:19" x14ac:dyDescent="0.35">
      <c r="B188" s="851">
        <v>45801</v>
      </c>
      <c r="C188" s="84" t="s">
        <v>235</v>
      </c>
      <c r="D188" s="84" t="s">
        <v>6960</v>
      </c>
      <c r="F188" s="84" t="s">
        <v>126</v>
      </c>
      <c r="G188" s="87" t="s">
        <v>6967</v>
      </c>
      <c r="H188" s="785">
        <v>45699</v>
      </c>
      <c r="J188" s="484">
        <v>150</v>
      </c>
      <c r="K188" s="84" t="s">
        <v>4664</v>
      </c>
      <c r="L188" s="127" t="s">
        <v>522</v>
      </c>
      <c r="M188" s="516" t="s">
        <v>5361</v>
      </c>
      <c r="N188" s="287" t="s">
        <v>6968</v>
      </c>
      <c r="O188" s="146"/>
      <c r="P188" s="146" t="s">
        <v>6969</v>
      </c>
      <c r="Q188" s="287" t="s">
        <v>6970</v>
      </c>
      <c r="S188" s="84"/>
    </row>
    <row r="189" spans="2:19" x14ac:dyDescent="0.35">
      <c r="B189" s="851">
        <v>45801</v>
      </c>
      <c r="C189" s="84" t="s">
        <v>235</v>
      </c>
      <c r="D189" s="84" t="s">
        <v>6960</v>
      </c>
      <c r="F189" s="84" t="s">
        <v>126</v>
      </c>
      <c r="G189" s="87" t="s">
        <v>6971</v>
      </c>
      <c r="H189" s="785">
        <v>45742</v>
      </c>
      <c r="J189" s="484">
        <v>150</v>
      </c>
      <c r="K189" s="84"/>
      <c r="L189" s="127" t="s">
        <v>848</v>
      </c>
      <c r="N189" s="287" t="s">
        <v>6972</v>
      </c>
      <c r="O189" s="146"/>
      <c r="P189" s="146" t="s">
        <v>6973</v>
      </c>
      <c r="S189" s="84"/>
    </row>
    <row r="190" spans="2:19" x14ac:dyDescent="0.35">
      <c r="B190" s="851">
        <v>45801</v>
      </c>
      <c r="C190" s="84" t="s">
        <v>235</v>
      </c>
      <c r="D190" s="84" t="s">
        <v>6960</v>
      </c>
      <c r="F190" s="84" t="s">
        <v>126</v>
      </c>
      <c r="G190" s="505" t="s">
        <v>6974</v>
      </c>
      <c r="H190" s="785">
        <v>45747</v>
      </c>
      <c r="J190" s="484">
        <v>150</v>
      </c>
      <c r="K190" s="84"/>
      <c r="L190" s="127" t="s">
        <v>850</v>
      </c>
      <c r="N190" s="287" t="s">
        <v>6975</v>
      </c>
      <c r="O190" s="146"/>
      <c r="P190" s="146" t="s">
        <v>6976</v>
      </c>
      <c r="S190" s="84"/>
    </row>
    <row r="191" spans="2:19" x14ac:dyDescent="0.35">
      <c r="B191" s="851">
        <v>45801</v>
      </c>
      <c r="C191" s="84" t="s">
        <v>235</v>
      </c>
      <c r="D191" s="84" t="s">
        <v>6960</v>
      </c>
      <c r="F191" s="84" t="s">
        <v>174</v>
      </c>
      <c r="G191" s="84" t="s">
        <v>5304</v>
      </c>
      <c r="H191" s="785">
        <v>45745</v>
      </c>
      <c r="I191" s="507">
        <v>150</v>
      </c>
      <c r="K191" s="84" t="s">
        <v>4955</v>
      </c>
      <c r="L191" s="127" t="s">
        <v>6977</v>
      </c>
      <c r="M191" s="516" t="s">
        <v>4265</v>
      </c>
      <c r="N191" s="287" t="s">
        <v>6978</v>
      </c>
      <c r="O191" s="146" t="s">
        <v>5014</v>
      </c>
      <c r="P191" s="146" t="s">
        <v>6979</v>
      </c>
      <c r="Q191" s="484" t="s">
        <v>6980</v>
      </c>
      <c r="R191" s="484" t="s">
        <v>6981</v>
      </c>
      <c r="S191" s="84" t="s">
        <v>6982</v>
      </c>
    </row>
    <row r="192" spans="2:19" x14ac:dyDescent="0.35">
      <c r="B192" s="851">
        <v>45801</v>
      </c>
      <c r="C192" s="84" t="s">
        <v>235</v>
      </c>
      <c r="D192" s="84" t="s">
        <v>6960</v>
      </c>
      <c r="F192" s="84" t="s">
        <v>126</v>
      </c>
      <c r="G192" s="505" t="s">
        <v>6983</v>
      </c>
      <c r="H192" s="785">
        <v>45753</v>
      </c>
      <c r="I192" s="507">
        <v>0</v>
      </c>
      <c r="J192" s="484">
        <v>150</v>
      </c>
      <c r="K192" s="84"/>
      <c r="L192" s="127" t="s">
        <v>852</v>
      </c>
      <c r="N192" s="287" t="s">
        <v>6984</v>
      </c>
      <c r="O192" s="146"/>
      <c r="P192" s="146" t="s">
        <v>6985</v>
      </c>
      <c r="S192" s="84"/>
    </row>
    <row r="193" spans="2:19" x14ac:dyDescent="0.35">
      <c r="B193" s="851">
        <v>45801</v>
      </c>
      <c r="C193" s="84" t="s">
        <v>235</v>
      </c>
      <c r="D193" s="84" t="s">
        <v>6960</v>
      </c>
      <c r="F193" s="84" t="s">
        <v>174</v>
      </c>
      <c r="G193" s="87" t="s">
        <v>5317</v>
      </c>
      <c r="H193" s="785">
        <v>45755</v>
      </c>
      <c r="I193" s="507">
        <v>150</v>
      </c>
      <c r="J193" s="484">
        <v>0</v>
      </c>
      <c r="K193" s="84" t="s">
        <v>4664</v>
      </c>
      <c r="L193" s="127" t="s">
        <v>5834</v>
      </c>
      <c r="M193" s="127" t="s">
        <v>6986</v>
      </c>
      <c r="N193" s="287" t="s">
        <v>6987</v>
      </c>
      <c r="O193" s="146" t="s">
        <v>4879</v>
      </c>
      <c r="P193" s="146" t="s">
        <v>6988</v>
      </c>
      <c r="Q193" s="484" t="s">
        <v>6989</v>
      </c>
      <c r="R193" s="484" t="s">
        <v>6990</v>
      </c>
      <c r="S193" s="84" t="s">
        <v>4370</v>
      </c>
    </row>
    <row r="194" spans="2:19" x14ac:dyDescent="0.35">
      <c r="B194" s="879">
        <v>45801</v>
      </c>
      <c r="C194" s="607" t="s">
        <v>235</v>
      </c>
      <c r="D194" s="607" t="s">
        <v>6960</v>
      </c>
      <c r="E194" s="607"/>
      <c r="F194" s="607" t="s">
        <v>126</v>
      </c>
      <c r="G194" s="608" t="s">
        <v>6991</v>
      </c>
      <c r="H194" s="785">
        <v>45749</v>
      </c>
      <c r="I194" s="507">
        <v>0</v>
      </c>
      <c r="J194" s="607">
        <v>150</v>
      </c>
      <c r="K194" s="607"/>
      <c r="L194" s="1162" t="s">
        <v>851</v>
      </c>
      <c r="M194" s="1162"/>
      <c r="N194" s="287" t="s">
        <v>6992</v>
      </c>
      <c r="O194" s="146"/>
      <c r="P194" s="146" t="s">
        <v>6993</v>
      </c>
      <c r="S194" s="84"/>
    </row>
    <row r="196" spans="2:19" x14ac:dyDescent="0.35">
      <c r="B196" s="851"/>
      <c r="C196" s="84"/>
      <c r="D196" s="84"/>
      <c r="F196" s="84"/>
      <c r="H196" s="785"/>
      <c r="K196" s="84"/>
      <c r="L196" s="127"/>
      <c r="N196" s="287"/>
      <c r="O196" s="146"/>
      <c r="P196" s="146"/>
      <c r="S196" s="84"/>
    </row>
    <row r="197" spans="2:19" x14ac:dyDescent="0.35">
      <c r="P197" s="146"/>
      <c r="S197" s="84"/>
    </row>
    <row r="198" spans="2:19" x14ac:dyDescent="0.35">
      <c r="B198" s="851"/>
      <c r="C198" s="783"/>
      <c r="D198" s="84"/>
      <c r="E198" s="84"/>
      <c r="F198" s="84"/>
      <c r="H198" s="785"/>
      <c r="K198" s="96"/>
      <c r="L198" s="830"/>
      <c r="M198" s="896"/>
      <c r="N198" s="549"/>
      <c r="O198" s="146"/>
      <c r="P198" s="146"/>
      <c r="S198" s="84"/>
    </row>
    <row r="199" spans="2:19" x14ac:dyDescent="0.35">
      <c r="B199" s="851"/>
      <c r="C199" s="783"/>
      <c r="D199" s="84"/>
      <c r="E199" s="84"/>
      <c r="F199" s="84"/>
      <c r="H199" s="785"/>
      <c r="K199" s="96"/>
      <c r="L199" s="830"/>
      <c r="M199" s="896"/>
      <c r="N199" s="549"/>
      <c r="O199" s="146"/>
      <c r="P199" s="146"/>
      <c r="S199" s="84"/>
    </row>
    <row r="200" spans="2:19" x14ac:dyDescent="0.35">
      <c r="B200" s="851">
        <v>45806</v>
      </c>
      <c r="C200" s="84" t="s">
        <v>2217</v>
      </c>
      <c r="D200" s="84"/>
      <c r="F200" s="84" t="s">
        <v>126</v>
      </c>
      <c r="G200" s="87" t="s">
        <v>6994</v>
      </c>
      <c r="H200" s="785">
        <v>45728</v>
      </c>
      <c r="I200" s="507">
        <v>0</v>
      </c>
      <c r="J200" s="484">
        <v>50</v>
      </c>
      <c r="K200" s="84"/>
      <c r="L200" s="127" t="s">
        <v>829</v>
      </c>
      <c r="N200" s="287" t="s">
        <v>6995</v>
      </c>
      <c r="O200" s="146"/>
      <c r="P200" s="146" t="s">
        <v>6996</v>
      </c>
      <c r="S200" s="84"/>
    </row>
    <row r="201" spans="2:19" x14ac:dyDescent="0.35">
      <c r="B201" s="851">
        <v>45806</v>
      </c>
      <c r="C201" s="84" t="s">
        <v>2217</v>
      </c>
      <c r="D201" s="84"/>
      <c r="F201" s="84" t="s">
        <v>126</v>
      </c>
      <c r="G201" s="87" t="s">
        <v>6997</v>
      </c>
      <c r="H201" s="785">
        <v>45733</v>
      </c>
      <c r="I201" s="507">
        <v>0</v>
      </c>
      <c r="J201" s="484">
        <v>50</v>
      </c>
      <c r="K201" s="84"/>
      <c r="L201" s="127" t="s">
        <v>680</v>
      </c>
      <c r="N201" s="287" t="s">
        <v>6998</v>
      </c>
      <c r="O201" s="146"/>
      <c r="P201" s="146" t="s">
        <v>6999</v>
      </c>
      <c r="S201" s="84"/>
    </row>
    <row r="202" spans="2:19" x14ac:dyDescent="0.35">
      <c r="B202" s="851">
        <v>45806</v>
      </c>
      <c r="C202" s="84" t="s">
        <v>2217</v>
      </c>
      <c r="D202" s="84"/>
      <c r="F202" s="84" t="s">
        <v>126</v>
      </c>
      <c r="G202" s="87" t="s">
        <v>7000</v>
      </c>
      <c r="H202" s="785">
        <v>45736</v>
      </c>
      <c r="I202" s="507">
        <v>0</v>
      </c>
      <c r="J202" s="484">
        <v>50</v>
      </c>
      <c r="K202" s="84"/>
      <c r="L202" s="127" t="s">
        <v>830</v>
      </c>
      <c r="N202" s="287" t="s">
        <v>7001</v>
      </c>
      <c r="O202" s="146"/>
      <c r="P202" s="146" t="s">
        <v>7002</v>
      </c>
      <c r="S202" s="84"/>
    </row>
    <row r="203" spans="2:19" x14ac:dyDescent="0.35">
      <c r="B203" s="851">
        <v>45806</v>
      </c>
      <c r="C203" s="84" t="s">
        <v>2217</v>
      </c>
      <c r="D203" s="84"/>
      <c r="F203" s="84" t="s">
        <v>126</v>
      </c>
      <c r="G203" s="87" t="s">
        <v>7003</v>
      </c>
      <c r="H203" s="785">
        <v>45737</v>
      </c>
      <c r="I203" s="507">
        <v>0</v>
      </c>
      <c r="J203" s="484">
        <v>50</v>
      </c>
      <c r="K203" s="84"/>
      <c r="L203" s="127" t="s">
        <v>386</v>
      </c>
      <c r="N203" s="287" t="s">
        <v>7004</v>
      </c>
      <c r="O203" s="146"/>
      <c r="P203" s="146" t="s">
        <v>7005</v>
      </c>
      <c r="Q203" s="484" t="s">
        <v>7006</v>
      </c>
      <c r="S203" s="84"/>
    </row>
    <row r="204" spans="2:19" x14ac:dyDescent="0.35">
      <c r="B204" s="851">
        <v>45806</v>
      </c>
      <c r="C204" s="84" t="s">
        <v>2217</v>
      </c>
      <c r="D204" s="84"/>
      <c r="F204" s="84" t="s">
        <v>126</v>
      </c>
      <c r="G204" s="87" t="s">
        <v>7007</v>
      </c>
      <c r="H204" s="785">
        <v>45741</v>
      </c>
      <c r="I204" s="507">
        <v>0</v>
      </c>
      <c r="J204" s="484">
        <v>50</v>
      </c>
      <c r="K204" s="84"/>
      <c r="L204" s="127" t="s">
        <v>643</v>
      </c>
      <c r="N204" s="287" t="s">
        <v>7008</v>
      </c>
      <c r="O204" s="146"/>
      <c r="P204" s="146"/>
      <c r="S204" s="84"/>
    </row>
    <row r="205" spans="2:19" x14ac:dyDescent="0.35">
      <c r="B205" s="851">
        <v>45806</v>
      </c>
      <c r="C205" s="84" t="s">
        <v>2217</v>
      </c>
      <c r="D205" s="84"/>
      <c r="F205" s="84" t="s">
        <v>126</v>
      </c>
      <c r="G205" s="87" t="s">
        <v>7009</v>
      </c>
      <c r="H205" s="785">
        <v>45741</v>
      </c>
      <c r="I205" s="507">
        <v>0</v>
      </c>
      <c r="J205" s="484">
        <v>50</v>
      </c>
      <c r="K205" s="84"/>
      <c r="L205" s="127" t="s">
        <v>831</v>
      </c>
      <c r="N205" s="287" t="s">
        <v>7010</v>
      </c>
      <c r="O205" s="146"/>
      <c r="P205" s="146" t="s">
        <v>7011</v>
      </c>
      <c r="S205" s="84"/>
    </row>
    <row r="206" spans="2:19" x14ac:dyDescent="0.35">
      <c r="B206" s="851">
        <v>45806</v>
      </c>
      <c r="C206" s="84" t="s">
        <v>2217</v>
      </c>
      <c r="D206" s="84"/>
      <c r="F206" s="84" t="s">
        <v>126</v>
      </c>
      <c r="G206" s="87" t="s">
        <v>7012</v>
      </c>
      <c r="H206" s="785">
        <v>45745</v>
      </c>
      <c r="I206" s="507">
        <v>0</v>
      </c>
      <c r="J206" s="484">
        <v>50</v>
      </c>
      <c r="K206" s="84"/>
      <c r="L206" s="127" t="s">
        <v>832</v>
      </c>
      <c r="N206" s="287" t="s">
        <v>7013</v>
      </c>
      <c r="O206" s="146"/>
      <c r="P206" s="146" t="s">
        <v>7014</v>
      </c>
      <c r="S206" s="84"/>
    </row>
    <row r="207" spans="2:19" x14ac:dyDescent="0.35">
      <c r="B207" s="851"/>
      <c r="C207" s="84"/>
      <c r="D207" s="84"/>
      <c r="F207" s="84"/>
      <c r="G207" s="87"/>
      <c r="H207" s="785"/>
      <c r="K207" s="84"/>
      <c r="L207" s="127"/>
      <c r="N207" s="287"/>
      <c r="O207" s="146"/>
      <c r="P207" s="146"/>
      <c r="S207" s="84"/>
    </row>
    <row r="208" spans="2:19" x14ac:dyDescent="0.35">
      <c r="B208" s="851"/>
      <c r="C208" s="84"/>
      <c r="D208" s="84"/>
      <c r="F208" s="84"/>
      <c r="G208" s="87"/>
      <c r="H208" s="785"/>
      <c r="K208" s="84"/>
      <c r="L208" s="127"/>
      <c r="N208" s="287"/>
      <c r="O208" s="146"/>
      <c r="P208" s="146"/>
      <c r="S208" s="84"/>
    </row>
    <row r="209" spans="2:19" x14ac:dyDescent="0.35">
      <c r="B209" s="851">
        <v>45807</v>
      </c>
      <c r="C209" s="84" t="s">
        <v>833</v>
      </c>
      <c r="D209" s="84" t="s">
        <v>7015</v>
      </c>
      <c r="F209" s="84" t="s">
        <v>126</v>
      </c>
      <c r="G209" s="87" t="s">
        <v>7016</v>
      </c>
      <c r="H209" s="785">
        <v>45686</v>
      </c>
      <c r="I209" s="507">
        <v>0</v>
      </c>
      <c r="J209" s="484">
        <v>60</v>
      </c>
      <c r="K209" s="84" t="s">
        <v>4955</v>
      </c>
      <c r="L209" s="127" t="s">
        <v>5972</v>
      </c>
      <c r="M209" s="127" t="s">
        <v>4057</v>
      </c>
      <c r="N209" s="287" t="s">
        <v>7006</v>
      </c>
      <c r="O209" s="146"/>
      <c r="P209" s="146" t="s">
        <v>7005</v>
      </c>
      <c r="Q209" s="484" t="s">
        <v>7006</v>
      </c>
      <c r="S209" s="84"/>
    </row>
    <row r="210" spans="2:19" x14ac:dyDescent="0.35">
      <c r="B210" s="851">
        <v>45807</v>
      </c>
      <c r="C210" s="84" t="s">
        <v>833</v>
      </c>
      <c r="D210" s="84" t="s">
        <v>7015</v>
      </c>
      <c r="F210" s="84"/>
      <c r="G210" s="87"/>
      <c r="H210" s="785">
        <v>45687</v>
      </c>
      <c r="I210" s="507">
        <v>55</v>
      </c>
      <c r="J210" s="507">
        <v>0</v>
      </c>
      <c r="K210" s="84" t="s">
        <v>4664</v>
      </c>
      <c r="L210" s="127" t="s">
        <v>7017</v>
      </c>
      <c r="M210" s="127" t="s">
        <v>3998</v>
      </c>
      <c r="N210" s="287" t="s">
        <v>7018</v>
      </c>
      <c r="O210" s="146"/>
      <c r="P210" s="146" t="s">
        <v>6824</v>
      </c>
      <c r="S210" s="84"/>
    </row>
    <row r="211" spans="2:19" x14ac:dyDescent="0.35">
      <c r="B211" s="851">
        <v>45807</v>
      </c>
      <c r="C211" s="84" t="s">
        <v>833</v>
      </c>
      <c r="D211" s="84" t="s">
        <v>7015</v>
      </c>
      <c r="F211" s="84" t="s">
        <v>126</v>
      </c>
      <c r="G211" s="87" t="s">
        <v>7019</v>
      </c>
      <c r="H211" s="785">
        <v>45743</v>
      </c>
      <c r="I211" s="507">
        <v>0</v>
      </c>
      <c r="J211" s="507">
        <v>60</v>
      </c>
      <c r="K211" s="84"/>
      <c r="L211" s="127" t="s">
        <v>835</v>
      </c>
      <c r="M211" s="127"/>
      <c r="N211" s="287" t="s">
        <v>7020</v>
      </c>
      <c r="O211" s="146"/>
      <c r="P211" s="1139" t="s">
        <v>7021</v>
      </c>
      <c r="S211" s="84"/>
    </row>
    <row r="212" spans="2:19" x14ac:dyDescent="0.35">
      <c r="B212" s="851">
        <v>45807</v>
      </c>
      <c r="C212" s="84" t="s">
        <v>833</v>
      </c>
      <c r="D212" s="84" t="s">
        <v>7015</v>
      </c>
      <c r="F212" s="84" t="s">
        <v>126</v>
      </c>
      <c r="G212" s="87" t="s">
        <v>7022</v>
      </c>
      <c r="H212" s="785">
        <v>45745</v>
      </c>
      <c r="I212" s="507">
        <v>0</v>
      </c>
      <c r="J212" s="507">
        <v>60</v>
      </c>
      <c r="K212" s="84"/>
      <c r="L212" s="127" t="s">
        <v>836</v>
      </c>
      <c r="M212" s="127"/>
      <c r="N212" s="287" t="s">
        <v>7023</v>
      </c>
      <c r="O212" s="146"/>
      <c r="P212" s="146" t="s">
        <v>7024</v>
      </c>
      <c r="S212" s="84"/>
    </row>
    <row r="213" spans="2:19" x14ac:dyDescent="0.35">
      <c r="B213" s="851"/>
      <c r="H213" s="785"/>
    </row>
    <row r="214" spans="2:19" x14ac:dyDescent="0.35">
      <c r="B214" s="851"/>
      <c r="H214" s="785"/>
    </row>
    <row r="215" spans="2:19" x14ac:dyDescent="0.35">
      <c r="B215" s="879">
        <v>45843</v>
      </c>
      <c r="C215" s="84" t="s">
        <v>7025</v>
      </c>
      <c r="D215" s="84" t="s">
        <v>7026</v>
      </c>
      <c r="F215" s="84" t="s">
        <v>126</v>
      </c>
      <c r="G215" s="505" t="s">
        <v>7027</v>
      </c>
      <c r="H215" s="785">
        <v>45694</v>
      </c>
      <c r="I215" s="507">
        <v>0</v>
      </c>
      <c r="J215" s="484">
        <v>150</v>
      </c>
      <c r="K215" s="84" t="s">
        <v>4955</v>
      </c>
      <c r="L215" s="127" t="s">
        <v>4197</v>
      </c>
      <c r="M215" s="127" t="s">
        <v>7028</v>
      </c>
      <c r="N215" s="287" t="s">
        <v>7029</v>
      </c>
    </row>
    <row r="216" spans="2:19" ht="29.25" customHeight="1" x14ac:dyDescent="0.35">
      <c r="B216" s="879">
        <v>45843</v>
      </c>
      <c r="C216" s="84" t="s">
        <v>7025</v>
      </c>
      <c r="D216" s="1169" t="s">
        <v>7030</v>
      </c>
      <c r="F216" s="84" t="s">
        <v>126</v>
      </c>
      <c r="G216" s="505" t="s">
        <v>7031</v>
      </c>
      <c r="H216" s="785">
        <v>45698</v>
      </c>
      <c r="I216" s="507">
        <v>0</v>
      </c>
      <c r="J216" s="484">
        <v>150</v>
      </c>
      <c r="K216" s="84" t="s">
        <v>4664</v>
      </c>
      <c r="L216" s="127" t="s">
        <v>7032</v>
      </c>
      <c r="M216" s="127" t="s">
        <v>7033</v>
      </c>
      <c r="N216" s="291" t="s">
        <v>7034</v>
      </c>
    </row>
    <row r="217" spans="2:19" x14ac:dyDescent="0.35">
      <c r="B217" s="879">
        <v>45843</v>
      </c>
      <c r="C217" s="607" t="s">
        <v>7035</v>
      </c>
      <c r="D217" s="96" t="s">
        <v>3701</v>
      </c>
      <c r="F217" s="84" t="s">
        <v>126</v>
      </c>
      <c r="G217" s="505" t="s">
        <v>7036</v>
      </c>
      <c r="H217" s="785">
        <v>45719</v>
      </c>
      <c r="I217" s="507">
        <v>0</v>
      </c>
      <c r="J217" s="484">
        <v>150</v>
      </c>
      <c r="K217" s="84"/>
      <c r="L217" s="1162" t="s">
        <v>761</v>
      </c>
      <c r="M217" s="127"/>
      <c r="N217" s="287" t="s">
        <v>7037</v>
      </c>
      <c r="P217" s="146" t="s">
        <v>7038</v>
      </c>
    </row>
    <row r="218" spans="2:19" ht="29.25" customHeight="1" x14ac:dyDescent="0.35">
      <c r="B218" s="879">
        <v>45843</v>
      </c>
      <c r="C218" s="84" t="s">
        <v>7025</v>
      </c>
      <c r="D218" s="1169" t="s">
        <v>7030</v>
      </c>
      <c r="F218" s="84" t="s">
        <v>126</v>
      </c>
      <c r="G218" s="505" t="s">
        <v>7039</v>
      </c>
      <c r="H218" s="785">
        <v>45719</v>
      </c>
      <c r="I218" s="507">
        <v>0</v>
      </c>
      <c r="J218" s="484">
        <v>150</v>
      </c>
      <c r="K218" s="84"/>
      <c r="L218" s="127" t="s">
        <v>765</v>
      </c>
      <c r="M218" s="127"/>
      <c r="N218" s="287" t="s">
        <v>7040</v>
      </c>
      <c r="P218" s="146" t="s">
        <v>7041</v>
      </c>
    </row>
    <row r="220" spans="2:19" ht="29.25" customHeight="1" x14ac:dyDescent="0.35">
      <c r="B220" s="879">
        <v>45843</v>
      </c>
      <c r="C220" s="84" t="s">
        <v>7025</v>
      </c>
      <c r="D220" s="1169" t="s">
        <v>7030</v>
      </c>
      <c r="F220" s="84" t="s">
        <v>126</v>
      </c>
      <c r="G220" s="505" t="s">
        <v>7042</v>
      </c>
      <c r="H220" s="785">
        <v>45729</v>
      </c>
      <c r="I220" s="507">
        <v>0</v>
      </c>
      <c r="J220" s="484">
        <v>150</v>
      </c>
      <c r="K220" s="84"/>
      <c r="L220" s="127" t="s">
        <v>767</v>
      </c>
      <c r="M220" s="127"/>
      <c r="N220" s="287" t="s">
        <v>7043</v>
      </c>
      <c r="P220" s="146" t="s">
        <v>7044</v>
      </c>
    </row>
    <row r="221" spans="2:19" x14ac:dyDescent="0.35">
      <c r="B221" s="879">
        <v>45843</v>
      </c>
      <c r="C221" s="84" t="s">
        <v>7025</v>
      </c>
      <c r="D221" s="84" t="s">
        <v>3701</v>
      </c>
      <c r="F221" s="84" t="s">
        <v>175</v>
      </c>
      <c r="G221" s="87" t="s">
        <v>7045</v>
      </c>
      <c r="H221" s="785">
        <v>45729</v>
      </c>
      <c r="I221" s="507">
        <v>150</v>
      </c>
      <c r="J221" s="484">
        <v>0</v>
      </c>
      <c r="K221" s="84" t="s">
        <v>4664</v>
      </c>
      <c r="L221" s="127" t="s">
        <v>4533</v>
      </c>
      <c r="M221" s="127" t="s">
        <v>5868</v>
      </c>
      <c r="N221" s="287" t="s">
        <v>5867</v>
      </c>
      <c r="O221" s="146" t="s">
        <v>5741</v>
      </c>
      <c r="P221" s="146" t="s">
        <v>5869</v>
      </c>
      <c r="Q221" s="484" t="s">
        <v>6914</v>
      </c>
      <c r="R221" s="484" t="s">
        <v>6915</v>
      </c>
      <c r="S221" s="84" t="s">
        <v>4424</v>
      </c>
    </row>
    <row r="222" spans="2:19" x14ac:dyDescent="0.35">
      <c r="B222" s="879"/>
      <c r="C222" s="84"/>
      <c r="D222" s="84"/>
      <c r="F222" s="84"/>
      <c r="G222" s="87"/>
      <c r="H222" s="785"/>
      <c r="K222" s="84"/>
      <c r="L222" s="127"/>
      <c r="M222" s="127"/>
      <c r="N222" s="287"/>
      <c r="O222" s="146"/>
      <c r="P222" s="146"/>
      <c r="S222" s="84"/>
    </row>
    <row r="223" spans="2:19" x14ac:dyDescent="0.35">
      <c r="B223" s="879"/>
      <c r="C223" s="84"/>
      <c r="D223" s="84"/>
      <c r="F223" s="84"/>
      <c r="G223" s="87"/>
      <c r="H223" s="785"/>
      <c r="K223" s="84"/>
      <c r="L223" s="127"/>
      <c r="M223" s="127"/>
      <c r="N223" s="287"/>
      <c r="O223" s="146"/>
      <c r="P223" s="146"/>
      <c r="S223" s="84"/>
    </row>
    <row r="224" spans="2:19" x14ac:dyDescent="0.35">
      <c r="B224" s="851">
        <v>45844</v>
      </c>
      <c r="C224" s="84" t="s">
        <v>279</v>
      </c>
      <c r="D224" s="783" t="s">
        <v>801</v>
      </c>
      <c r="E224" s="84" t="s">
        <v>5593</v>
      </c>
      <c r="F224" s="84" t="s">
        <v>126</v>
      </c>
      <c r="G224" s="505" t="s">
        <v>7046</v>
      </c>
      <c r="H224" s="785">
        <v>45691</v>
      </c>
      <c r="J224" s="484">
        <v>35</v>
      </c>
      <c r="K224" s="84" t="s">
        <v>4664</v>
      </c>
      <c r="L224" s="127" t="s">
        <v>6822</v>
      </c>
      <c r="M224" s="127" t="s">
        <v>3998</v>
      </c>
      <c r="N224" s="287" t="s">
        <v>6823</v>
      </c>
      <c r="S224" s="84"/>
    </row>
    <row r="225" spans="2:19" x14ac:dyDescent="0.35">
      <c r="B225" s="851">
        <v>45844</v>
      </c>
      <c r="C225" s="84" t="s">
        <v>279</v>
      </c>
      <c r="D225" s="783" t="s">
        <v>801</v>
      </c>
      <c r="E225" s="84" t="s">
        <v>5593</v>
      </c>
      <c r="F225" s="84" t="s">
        <v>126</v>
      </c>
      <c r="G225" s="505" t="s">
        <v>7047</v>
      </c>
      <c r="H225" s="785">
        <v>45698</v>
      </c>
      <c r="J225" s="484">
        <v>35</v>
      </c>
      <c r="K225" s="84" t="s">
        <v>4664</v>
      </c>
      <c r="L225" s="127" t="s">
        <v>7048</v>
      </c>
      <c r="M225" s="516" t="s">
        <v>7049</v>
      </c>
      <c r="N225" s="291" t="s">
        <v>7050</v>
      </c>
      <c r="P225" s="146" t="s">
        <v>7051</v>
      </c>
      <c r="S225" s="84"/>
    </row>
    <row r="226" spans="2:19" x14ac:dyDescent="0.35">
      <c r="B226" s="851">
        <v>45844</v>
      </c>
      <c r="C226" s="783" t="s">
        <v>2047</v>
      </c>
      <c r="D226" s="84" t="s">
        <v>7052</v>
      </c>
      <c r="E226" s="84" t="s">
        <v>5374</v>
      </c>
      <c r="F226" s="84" t="s">
        <v>126</v>
      </c>
      <c r="G226" s="505" t="s">
        <v>7053</v>
      </c>
      <c r="H226" s="785">
        <v>45712</v>
      </c>
      <c r="I226" s="507">
        <v>0</v>
      </c>
      <c r="J226" s="484">
        <v>60</v>
      </c>
      <c r="K226" s="96"/>
      <c r="L226" s="830" t="s">
        <v>952</v>
      </c>
      <c r="M226" s="896"/>
      <c r="N226" s="549" t="s">
        <v>7054</v>
      </c>
      <c r="O226" s="146"/>
      <c r="S226" s="84"/>
    </row>
    <row r="227" spans="2:19" x14ac:dyDescent="0.35">
      <c r="B227" s="851">
        <v>45844</v>
      </c>
      <c r="C227" s="607" t="s">
        <v>279</v>
      </c>
      <c r="D227" s="783" t="s">
        <v>801</v>
      </c>
      <c r="E227" s="84" t="s">
        <v>5593</v>
      </c>
      <c r="F227" s="84" t="s">
        <v>126</v>
      </c>
      <c r="G227" s="505" t="s">
        <v>7055</v>
      </c>
      <c r="H227" s="785">
        <v>45728</v>
      </c>
      <c r="I227" s="507">
        <v>0</v>
      </c>
      <c r="J227" s="484">
        <v>35</v>
      </c>
      <c r="K227" s="84"/>
      <c r="L227" s="127" t="s">
        <v>803</v>
      </c>
      <c r="N227" s="291" t="s">
        <v>6910</v>
      </c>
      <c r="P227" s="146" t="s">
        <v>6911</v>
      </c>
      <c r="S227" s="84"/>
    </row>
    <row r="228" spans="2:19" x14ac:dyDescent="0.35">
      <c r="S228" s="84"/>
    </row>
    <row r="229" spans="2:19" x14ac:dyDescent="0.35">
      <c r="B229" s="851"/>
      <c r="H229" s="785"/>
      <c r="S229" s="84"/>
    </row>
    <row r="230" spans="2:19" x14ac:dyDescent="0.35">
      <c r="B230" s="851">
        <v>45850</v>
      </c>
      <c r="C230" s="84" t="s">
        <v>7056</v>
      </c>
      <c r="D230" s="484" t="s">
        <v>7057</v>
      </c>
      <c r="E230" s="84" t="s">
        <v>5374</v>
      </c>
      <c r="F230" s="84" t="s">
        <v>126</v>
      </c>
      <c r="G230" s="505" t="s">
        <v>7058</v>
      </c>
      <c r="H230" s="785">
        <v>45705</v>
      </c>
      <c r="I230" s="507">
        <v>0</v>
      </c>
      <c r="J230" s="484">
        <v>95</v>
      </c>
      <c r="K230" s="84" t="s">
        <v>4664</v>
      </c>
      <c r="L230" s="127" t="s">
        <v>4192</v>
      </c>
      <c r="M230" s="127" t="s">
        <v>6590</v>
      </c>
      <c r="N230" s="287" t="s">
        <v>6591</v>
      </c>
      <c r="S230" s="84"/>
    </row>
    <row r="231" spans="2:19" x14ac:dyDescent="0.35">
      <c r="B231" s="879"/>
      <c r="C231" s="84"/>
      <c r="D231" s="84"/>
      <c r="F231" s="84"/>
      <c r="G231" s="87"/>
      <c r="H231" s="785"/>
      <c r="K231" s="84"/>
      <c r="L231" s="127"/>
      <c r="M231" s="127"/>
      <c r="N231" s="287"/>
      <c r="O231" s="146"/>
      <c r="P231" s="146"/>
      <c r="S231" s="84"/>
    </row>
    <row r="232" spans="2:19" x14ac:dyDescent="0.35">
      <c r="B232" s="879"/>
      <c r="C232" s="84"/>
      <c r="D232" s="84"/>
      <c r="F232" s="84"/>
      <c r="G232" s="87"/>
      <c r="H232" s="785"/>
      <c r="K232" s="84"/>
      <c r="L232" s="127"/>
      <c r="M232" s="127"/>
      <c r="N232" s="287"/>
      <c r="O232" s="146"/>
      <c r="P232" s="146"/>
      <c r="S232" s="84"/>
    </row>
    <row r="233" spans="2:19" x14ac:dyDescent="0.35">
      <c r="B233" s="879">
        <v>45864</v>
      </c>
      <c r="C233" s="84" t="s">
        <v>7025</v>
      </c>
      <c r="D233" s="607" t="s">
        <v>7059</v>
      </c>
      <c r="F233" s="84" t="s">
        <v>126</v>
      </c>
      <c r="G233" s="505" t="s">
        <v>7060</v>
      </c>
      <c r="H233" s="785">
        <v>45751</v>
      </c>
      <c r="I233" s="507">
        <v>0</v>
      </c>
      <c r="J233" s="484">
        <v>150</v>
      </c>
      <c r="K233" s="84"/>
      <c r="L233" s="127" t="s">
        <v>768</v>
      </c>
      <c r="M233" s="127"/>
      <c r="N233" s="287" t="s">
        <v>7061</v>
      </c>
      <c r="P233" s="146"/>
      <c r="Q233" s="287" t="s">
        <v>7062</v>
      </c>
    </row>
    <row r="234" spans="2:19" x14ac:dyDescent="0.35">
      <c r="B234" s="879"/>
      <c r="C234" s="84"/>
      <c r="D234" s="607"/>
      <c r="F234" s="84"/>
      <c r="H234" s="785"/>
      <c r="K234" s="84"/>
      <c r="L234" s="127"/>
      <c r="M234" s="127"/>
      <c r="N234" s="287"/>
      <c r="P234" s="146"/>
      <c r="Q234" s="287"/>
    </row>
    <row r="235" spans="2:19" x14ac:dyDescent="0.35">
      <c r="B235" s="879">
        <v>45857</v>
      </c>
      <c r="C235" s="84" t="s">
        <v>7025</v>
      </c>
      <c r="D235" s="84" t="s">
        <v>7063</v>
      </c>
      <c r="F235" s="84" t="s">
        <v>126</v>
      </c>
      <c r="G235" s="505" t="s">
        <v>7064</v>
      </c>
      <c r="H235" s="785">
        <v>45729</v>
      </c>
      <c r="I235" s="507">
        <v>0</v>
      </c>
      <c r="J235" s="484">
        <v>150</v>
      </c>
      <c r="K235" s="84"/>
      <c r="L235" s="127" t="s">
        <v>766</v>
      </c>
      <c r="M235" s="127"/>
      <c r="N235" s="287" t="s">
        <v>7065</v>
      </c>
      <c r="P235" s="146"/>
      <c r="Q235" s="287"/>
    </row>
    <row r="236" spans="2:19" x14ac:dyDescent="0.35">
      <c r="B236" s="879"/>
      <c r="C236" s="84"/>
      <c r="D236" s="607"/>
      <c r="F236" s="84"/>
      <c r="H236" s="785"/>
      <c r="K236" s="84"/>
      <c r="L236" s="127"/>
      <c r="M236" s="127"/>
      <c r="N236" s="287"/>
      <c r="P236" s="146"/>
      <c r="Q236" s="287"/>
    </row>
    <row r="237" spans="2:19" x14ac:dyDescent="0.35">
      <c r="B237" s="851"/>
      <c r="C237" s="84"/>
      <c r="D237" s="84"/>
      <c r="F237" s="84"/>
      <c r="H237" s="785"/>
      <c r="K237" s="84"/>
      <c r="L237" s="127"/>
      <c r="M237" s="127"/>
      <c r="N237" s="287"/>
      <c r="P237" s="146"/>
    </row>
    <row r="238" spans="2:19" x14ac:dyDescent="0.35">
      <c r="B238" s="851">
        <v>45885</v>
      </c>
      <c r="C238" s="84" t="s">
        <v>7066</v>
      </c>
      <c r="D238" s="84"/>
      <c r="F238" s="84" t="s">
        <v>126</v>
      </c>
      <c r="G238" s="505" t="s">
        <v>7067</v>
      </c>
      <c r="H238" s="785">
        <v>45745</v>
      </c>
      <c r="I238" s="507">
        <v>0</v>
      </c>
      <c r="J238" s="484">
        <v>125</v>
      </c>
      <c r="K238" s="84"/>
      <c r="L238" s="127" t="s">
        <v>737</v>
      </c>
      <c r="M238" s="127"/>
      <c r="N238" s="287" t="s">
        <v>7068</v>
      </c>
      <c r="P238" s="146" t="s">
        <v>7069</v>
      </c>
    </row>
    <row r="239" spans="2:19" x14ac:dyDescent="0.35">
      <c r="B239" s="851">
        <v>45885</v>
      </c>
      <c r="C239" s="84" t="s">
        <v>7066</v>
      </c>
      <c r="D239" s="84"/>
      <c r="F239" s="84"/>
      <c r="G239" s="87" t="s">
        <v>7070</v>
      </c>
      <c r="H239" s="785">
        <v>45720</v>
      </c>
      <c r="I239" s="507">
        <v>100</v>
      </c>
      <c r="K239" s="84" t="s">
        <v>4664</v>
      </c>
      <c r="L239" s="127" t="s">
        <v>6788</v>
      </c>
      <c r="M239" s="146" t="s">
        <v>6789</v>
      </c>
      <c r="N239" s="287" t="s">
        <v>6790</v>
      </c>
      <c r="O239" s="146" t="s">
        <v>5750</v>
      </c>
      <c r="P239" s="146" t="s">
        <v>6791</v>
      </c>
      <c r="Q239" s="484" t="s">
        <v>6792</v>
      </c>
      <c r="R239" s="484" t="s">
        <v>6793</v>
      </c>
      <c r="S239" s="84" t="s">
        <v>6794</v>
      </c>
    </row>
    <row r="240" spans="2:19" x14ac:dyDescent="0.35">
      <c r="B240" s="851">
        <v>45885</v>
      </c>
      <c r="C240" s="84" t="s">
        <v>7066</v>
      </c>
      <c r="D240" s="84"/>
      <c r="F240" s="84"/>
      <c r="G240" s="87" t="s">
        <v>7071</v>
      </c>
      <c r="H240" s="785">
        <v>45848</v>
      </c>
      <c r="I240" s="507">
        <v>125</v>
      </c>
      <c r="J240" s="484">
        <v>0</v>
      </c>
      <c r="K240" s="84" t="s">
        <v>4664</v>
      </c>
      <c r="L240" s="127" t="s">
        <v>7072</v>
      </c>
      <c r="M240" s="146" t="s">
        <v>7073</v>
      </c>
      <c r="N240" s="287" t="s">
        <v>7074</v>
      </c>
      <c r="O240" s="146" t="s">
        <v>6107</v>
      </c>
      <c r="P240" s="146" t="s">
        <v>7075</v>
      </c>
      <c r="Q240" s="484" t="s">
        <v>7076</v>
      </c>
      <c r="S240" s="84" t="s">
        <v>7077</v>
      </c>
    </row>
    <row r="241" spans="2:19" x14ac:dyDescent="0.35">
      <c r="B241" s="851">
        <v>45885</v>
      </c>
      <c r="C241" s="84" t="s">
        <v>7066</v>
      </c>
      <c r="D241" s="84"/>
      <c r="F241" s="84"/>
      <c r="G241" s="87" t="s">
        <v>7078</v>
      </c>
      <c r="H241" s="785">
        <v>45866</v>
      </c>
      <c r="I241" s="507">
        <v>100</v>
      </c>
      <c r="J241" s="484">
        <v>0</v>
      </c>
      <c r="K241" s="84" t="s">
        <v>4955</v>
      </c>
      <c r="L241" s="127" t="s">
        <v>4063</v>
      </c>
      <c r="M241" s="146" t="s">
        <v>7079</v>
      </c>
      <c r="N241" s="287" t="s">
        <v>7080</v>
      </c>
      <c r="O241" s="146" t="s">
        <v>4755</v>
      </c>
      <c r="P241" s="146" t="s">
        <v>7081</v>
      </c>
      <c r="Q241" s="484" t="s">
        <v>7082</v>
      </c>
      <c r="S241" s="84" t="s">
        <v>7083</v>
      </c>
    </row>
    <row r="242" spans="2:19" x14ac:dyDescent="0.35">
      <c r="B242" s="851"/>
      <c r="C242" s="84"/>
      <c r="D242" s="84"/>
      <c r="F242" s="84"/>
      <c r="G242" s="87"/>
      <c r="H242" s="785"/>
      <c r="K242" s="84"/>
      <c r="L242" s="127"/>
      <c r="M242" s="146"/>
      <c r="N242" s="287"/>
      <c r="O242" s="146"/>
      <c r="P242" s="146"/>
      <c r="S242" s="84"/>
    </row>
    <row r="243" spans="2:19" x14ac:dyDescent="0.35">
      <c r="B243" s="851">
        <v>45886</v>
      </c>
      <c r="C243" s="84" t="s">
        <v>7084</v>
      </c>
      <c r="D243" s="84"/>
      <c r="F243" s="84"/>
      <c r="G243" s="87" t="s">
        <v>7070</v>
      </c>
      <c r="H243" s="785">
        <v>45720</v>
      </c>
      <c r="I243" s="507">
        <v>100</v>
      </c>
      <c r="K243" s="84" t="s">
        <v>4664</v>
      </c>
      <c r="L243" s="127" t="s">
        <v>6788</v>
      </c>
      <c r="M243" s="146" t="s">
        <v>6789</v>
      </c>
      <c r="N243" s="287" t="s">
        <v>6790</v>
      </c>
      <c r="O243" s="146" t="s">
        <v>5750</v>
      </c>
      <c r="P243" s="146" t="s">
        <v>6791</v>
      </c>
      <c r="Q243" s="484" t="s">
        <v>6792</v>
      </c>
      <c r="R243" s="484" t="s">
        <v>6793</v>
      </c>
      <c r="S243" s="84" t="s">
        <v>6794</v>
      </c>
    </row>
    <row r="244" spans="2:19" x14ac:dyDescent="0.35">
      <c r="B244" s="851">
        <v>45886</v>
      </c>
      <c r="C244" s="84" t="s">
        <v>7084</v>
      </c>
      <c r="D244" s="84"/>
      <c r="F244" s="84" t="s">
        <v>126</v>
      </c>
      <c r="G244" s="505" t="s">
        <v>7085</v>
      </c>
      <c r="H244" s="785">
        <v>45757</v>
      </c>
      <c r="I244" s="507">
        <v>0</v>
      </c>
      <c r="J244" s="484">
        <v>125</v>
      </c>
      <c r="K244" s="84"/>
      <c r="L244" s="127" t="s">
        <v>740</v>
      </c>
      <c r="M244" s="127"/>
      <c r="N244" s="287" t="s">
        <v>7086</v>
      </c>
    </row>
    <row r="245" spans="2:19" x14ac:dyDescent="0.35">
      <c r="B245" s="851">
        <v>45886</v>
      </c>
      <c r="C245" s="84" t="s">
        <v>7084</v>
      </c>
      <c r="D245" s="84"/>
      <c r="F245" s="84" t="s">
        <v>126</v>
      </c>
      <c r="H245" s="785"/>
      <c r="K245" s="84"/>
      <c r="L245" s="127" t="s">
        <v>766</v>
      </c>
      <c r="M245" s="127"/>
      <c r="N245" s="287" t="s">
        <v>7065</v>
      </c>
    </row>
    <row r="246" spans="2:19" x14ac:dyDescent="0.35">
      <c r="B246" s="851">
        <v>45885</v>
      </c>
      <c r="C246" s="84" t="s">
        <v>7084</v>
      </c>
      <c r="D246" s="84"/>
      <c r="F246" s="84"/>
      <c r="G246" s="87" t="s">
        <v>7078</v>
      </c>
      <c r="H246" s="785">
        <v>45866</v>
      </c>
      <c r="I246" s="507">
        <v>100</v>
      </c>
      <c r="J246" s="484">
        <v>0</v>
      </c>
      <c r="K246" s="84" t="s">
        <v>4955</v>
      </c>
      <c r="L246" s="127" t="s">
        <v>4063</v>
      </c>
      <c r="M246" s="146" t="s">
        <v>7079</v>
      </c>
      <c r="N246" s="287" t="s">
        <v>7080</v>
      </c>
      <c r="O246" s="146" t="s">
        <v>4755</v>
      </c>
      <c r="P246" s="146" t="s">
        <v>7081</v>
      </c>
      <c r="Q246" s="484" t="s">
        <v>7082</v>
      </c>
      <c r="S246" s="84" t="s">
        <v>7083</v>
      </c>
    </row>
    <row r="247" spans="2:19" x14ac:dyDescent="0.35">
      <c r="B247" s="851"/>
      <c r="C247" s="84"/>
      <c r="D247" s="84"/>
      <c r="F247" s="84"/>
      <c r="H247" s="785"/>
      <c r="K247" s="84"/>
      <c r="L247" s="127"/>
      <c r="M247" s="127"/>
      <c r="N247" s="287"/>
    </row>
    <row r="248" spans="2:19" x14ac:dyDescent="0.35">
      <c r="B248" s="851"/>
      <c r="C248" s="84"/>
      <c r="D248" s="84"/>
      <c r="F248" s="84"/>
      <c r="H248" s="785"/>
      <c r="K248" s="84"/>
      <c r="L248" s="127"/>
      <c r="M248" s="127"/>
      <c r="N248" s="287"/>
    </row>
    <row r="249" spans="2:19" x14ac:dyDescent="0.35">
      <c r="B249" s="851">
        <v>45897</v>
      </c>
      <c r="C249" s="84" t="s">
        <v>783</v>
      </c>
      <c r="D249" s="783" t="s">
        <v>316</v>
      </c>
      <c r="E249" s="783" t="s">
        <v>5374</v>
      </c>
      <c r="F249" s="84" t="s">
        <v>126</v>
      </c>
      <c r="G249" s="505" t="s">
        <v>7087</v>
      </c>
      <c r="H249" s="785">
        <v>45744</v>
      </c>
      <c r="I249" s="507">
        <v>0</v>
      </c>
      <c r="J249" s="484">
        <v>50</v>
      </c>
      <c r="K249" s="84"/>
      <c r="L249" s="127" t="s">
        <v>728</v>
      </c>
      <c r="M249" s="127"/>
      <c r="N249" s="287" t="s">
        <v>7088</v>
      </c>
    </row>
    <row r="250" spans="2:19" x14ac:dyDescent="0.35">
      <c r="B250" s="851">
        <v>45897</v>
      </c>
      <c r="C250" s="84" t="s">
        <v>783</v>
      </c>
      <c r="D250" s="783" t="s">
        <v>316</v>
      </c>
      <c r="E250" s="783" t="s">
        <v>5374</v>
      </c>
      <c r="F250" s="84" t="s">
        <v>126</v>
      </c>
      <c r="G250" s="505" t="s">
        <v>7089</v>
      </c>
      <c r="H250" s="785">
        <v>45776</v>
      </c>
      <c r="I250" s="507">
        <v>0</v>
      </c>
      <c r="J250" s="484">
        <v>50</v>
      </c>
      <c r="K250" s="84"/>
      <c r="L250" s="127" t="s">
        <v>730</v>
      </c>
      <c r="M250" s="127"/>
      <c r="N250" s="287" t="s">
        <v>6840</v>
      </c>
    </row>
    <row r="251" spans="2:19" x14ac:dyDescent="0.35">
      <c r="B251" s="851">
        <v>45897</v>
      </c>
      <c r="C251" s="84" t="s">
        <v>783</v>
      </c>
      <c r="D251" s="783" t="s">
        <v>316</v>
      </c>
      <c r="E251" s="783" t="s">
        <v>5374</v>
      </c>
      <c r="F251" s="84" t="s">
        <v>126</v>
      </c>
      <c r="G251" s="505" t="s">
        <v>7090</v>
      </c>
      <c r="H251" s="785">
        <v>45780</v>
      </c>
      <c r="I251" s="507">
        <v>0</v>
      </c>
      <c r="J251" s="484">
        <v>50</v>
      </c>
      <c r="K251" s="84"/>
      <c r="L251" s="127" t="s">
        <v>390</v>
      </c>
      <c r="N251" s="1168" t="s">
        <v>6664</v>
      </c>
    </row>
    <row r="252" spans="2:19" x14ac:dyDescent="0.35">
      <c r="B252" s="851">
        <v>45897</v>
      </c>
      <c r="C252" s="84" t="s">
        <v>783</v>
      </c>
      <c r="D252" s="783" t="s">
        <v>316</v>
      </c>
      <c r="E252" s="783" t="s">
        <v>5374</v>
      </c>
      <c r="F252" s="84" t="s">
        <v>126</v>
      </c>
      <c r="H252" s="785"/>
      <c r="K252" s="84"/>
      <c r="L252" s="127" t="s">
        <v>766</v>
      </c>
      <c r="M252" s="127"/>
      <c r="N252" s="287" t="s">
        <v>7065</v>
      </c>
    </row>
    <row r="253" spans="2:19" x14ac:dyDescent="0.35">
      <c r="B253" s="851">
        <v>45897</v>
      </c>
      <c r="C253" s="84" t="s">
        <v>783</v>
      </c>
      <c r="D253" s="783" t="s">
        <v>316</v>
      </c>
      <c r="E253" s="783" t="s">
        <v>5374</v>
      </c>
      <c r="F253" s="84" t="s">
        <v>175</v>
      </c>
      <c r="G253" s="84" t="s">
        <v>7091</v>
      </c>
      <c r="H253" s="785">
        <v>45890</v>
      </c>
      <c r="I253" s="507">
        <v>50</v>
      </c>
      <c r="K253" s="84"/>
      <c r="L253" s="127" t="s">
        <v>676</v>
      </c>
      <c r="N253" s="287" t="s">
        <v>7092</v>
      </c>
      <c r="O253" s="146" t="s">
        <v>4683</v>
      </c>
      <c r="P253" s="146" t="s">
        <v>7093</v>
      </c>
    </row>
    <row r="254" spans="2:19" x14ac:dyDescent="0.35">
      <c r="B254" s="851">
        <v>45897</v>
      </c>
      <c r="C254" s="84" t="s">
        <v>783</v>
      </c>
      <c r="D254" s="783" t="s">
        <v>316</v>
      </c>
      <c r="E254" s="783" t="s">
        <v>5374</v>
      </c>
      <c r="F254" s="84" t="s">
        <v>174</v>
      </c>
      <c r="G254" s="84" t="s">
        <v>7094</v>
      </c>
      <c r="H254" s="785">
        <v>45891</v>
      </c>
      <c r="I254" s="507">
        <v>50</v>
      </c>
      <c r="J254" s="484">
        <v>0</v>
      </c>
      <c r="K254" s="84"/>
      <c r="L254" s="127" t="s">
        <v>786</v>
      </c>
      <c r="N254" s="287" t="s">
        <v>7095</v>
      </c>
      <c r="O254" s="146" t="s">
        <v>5104</v>
      </c>
      <c r="P254" s="146" t="s">
        <v>7096</v>
      </c>
    </row>
    <row r="255" spans="2:19" x14ac:dyDescent="0.35">
      <c r="B255" s="851"/>
      <c r="C255" s="84"/>
      <c r="D255" s="84"/>
      <c r="F255" s="84"/>
      <c r="H255" s="785"/>
      <c r="K255" s="84"/>
      <c r="L255" s="127"/>
      <c r="M255" s="127"/>
      <c r="N255" s="287"/>
    </row>
    <row r="256" spans="2:19" x14ac:dyDescent="0.35">
      <c r="B256" s="851">
        <v>45900</v>
      </c>
      <c r="C256" s="851" t="s">
        <v>1426</v>
      </c>
      <c r="D256" s="783" t="s">
        <v>6470</v>
      </c>
      <c r="E256" s="783" t="s">
        <v>6471</v>
      </c>
      <c r="F256" s="783" t="s">
        <v>174</v>
      </c>
      <c r="G256" s="784" t="s">
        <v>5265</v>
      </c>
      <c r="H256" s="785">
        <v>45470</v>
      </c>
      <c r="I256" s="786">
        <v>125</v>
      </c>
      <c r="J256" s="784">
        <v>0</v>
      </c>
      <c r="K256" s="96" t="s">
        <v>4955</v>
      </c>
      <c r="L256" s="830" t="s">
        <v>7097</v>
      </c>
      <c r="M256" s="896" t="s">
        <v>4036</v>
      </c>
      <c r="N256" s="287" t="s">
        <v>7098</v>
      </c>
      <c r="O256" s="829" t="s">
        <v>6099</v>
      </c>
      <c r="P256" s="829" t="s">
        <v>7099</v>
      </c>
      <c r="Q256" s="96" t="s">
        <v>7100</v>
      </c>
      <c r="R256" s="96" t="s">
        <v>7101</v>
      </c>
      <c r="S256" s="96" t="s">
        <v>7102</v>
      </c>
    </row>
    <row r="257" spans="2:19" x14ac:dyDescent="0.35">
      <c r="B257" s="851">
        <v>45900</v>
      </c>
      <c r="C257" s="851" t="s">
        <v>1426</v>
      </c>
      <c r="D257" s="783" t="s">
        <v>6470</v>
      </c>
      <c r="E257" s="783" t="s">
        <v>6471</v>
      </c>
      <c r="F257" s="783" t="s">
        <v>126</v>
      </c>
      <c r="G257" s="784" t="s">
        <v>7103</v>
      </c>
      <c r="H257" s="785">
        <v>45758</v>
      </c>
      <c r="I257" s="786">
        <v>0</v>
      </c>
      <c r="J257" s="784">
        <v>125</v>
      </c>
      <c r="K257" s="96"/>
      <c r="L257" s="830" t="s">
        <v>663</v>
      </c>
      <c r="M257" s="896"/>
      <c r="N257" s="287" t="s">
        <v>7104</v>
      </c>
      <c r="O257" s="829"/>
      <c r="P257" s="829" t="s">
        <v>7105</v>
      </c>
      <c r="Q257" s="96"/>
      <c r="R257" s="96"/>
      <c r="S257" s="96"/>
    </row>
    <row r="258" spans="2:19" x14ac:dyDescent="0.35">
      <c r="B258" s="851">
        <v>45900</v>
      </c>
      <c r="C258" s="851" t="s">
        <v>1426</v>
      </c>
      <c r="D258" s="783" t="s">
        <v>7106</v>
      </c>
      <c r="E258" s="783" t="s">
        <v>6471</v>
      </c>
      <c r="F258" s="84" t="s">
        <v>126</v>
      </c>
      <c r="G258" s="784" t="s">
        <v>7107</v>
      </c>
      <c r="H258" s="785">
        <v>45719</v>
      </c>
      <c r="I258" s="786"/>
      <c r="J258" s="784">
        <v>125</v>
      </c>
      <c r="K258" s="86"/>
      <c r="L258" s="4" t="s">
        <v>926</v>
      </c>
      <c r="M258" s="4"/>
      <c r="N258" s="549" t="s">
        <v>7108</v>
      </c>
      <c r="O258" s="551"/>
      <c r="P258" s="146" t="s">
        <v>7109</v>
      </c>
      <c r="R258" s="96"/>
      <c r="S258" s="96"/>
    </row>
    <row r="259" spans="2:19" x14ac:dyDescent="0.35">
      <c r="B259" s="851"/>
      <c r="C259" s="851"/>
      <c r="D259" s="783"/>
      <c r="E259" s="783"/>
      <c r="F259" s="783"/>
      <c r="G259" s="784"/>
      <c r="H259" s="785"/>
      <c r="I259" s="786"/>
      <c r="J259" s="784"/>
      <c r="K259" s="96"/>
      <c r="L259" s="830"/>
      <c r="M259" s="896"/>
      <c r="N259" s="287"/>
      <c r="O259" s="829"/>
      <c r="P259" s="829"/>
      <c r="Q259" s="96"/>
      <c r="R259" s="96"/>
      <c r="S259" s="96"/>
    </row>
    <row r="260" spans="2:19" x14ac:dyDescent="0.35">
      <c r="B260" s="851"/>
      <c r="C260" s="851"/>
      <c r="D260" s="783"/>
      <c r="E260" s="783"/>
      <c r="F260" s="783"/>
      <c r="G260" s="784"/>
      <c r="H260" s="785"/>
      <c r="I260" s="786"/>
      <c r="J260" s="784"/>
      <c r="K260" s="96"/>
      <c r="L260" s="830"/>
      <c r="M260" s="896"/>
      <c r="N260" s="287"/>
      <c r="O260" s="829"/>
      <c r="P260" s="829"/>
      <c r="Q260" s="96"/>
      <c r="R260" s="96"/>
      <c r="S260" s="96"/>
    </row>
    <row r="261" spans="2:19" x14ac:dyDescent="0.35">
      <c r="B261" s="851">
        <v>45916</v>
      </c>
      <c r="C261" s="84" t="s">
        <v>2217</v>
      </c>
      <c r="E261" s="84" t="s">
        <v>5374</v>
      </c>
      <c r="F261" s="84" t="s">
        <v>126</v>
      </c>
      <c r="G261" s="505" t="s">
        <v>7110</v>
      </c>
      <c r="H261" s="785">
        <v>45749</v>
      </c>
      <c r="I261" s="507">
        <v>0</v>
      </c>
      <c r="J261" s="484">
        <v>50</v>
      </c>
      <c r="L261" s="516" t="s">
        <v>675</v>
      </c>
      <c r="N261" s="287" t="s">
        <v>7111</v>
      </c>
      <c r="P261" s="484" t="s">
        <v>7112</v>
      </c>
    </row>
    <row r="262" spans="2:19" x14ac:dyDescent="0.35">
      <c r="B262" s="851">
        <v>45916</v>
      </c>
      <c r="C262" s="84" t="s">
        <v>2217</v>
      </c>
      <c r="E262" s="84" t="s">
        <v>5374</v>
      </c>
      <c r="F262" s="84" t="s">
        <v>126</v>
      </c>
      <c r="G262" s="505" t="s">
        <v>7113</v>
      </c>
      <c r="H262" s="785">
        <v>45749</v>
      </c>
      <c r="I262" s="507">
        <v>0</v>
      </c>
      <c r="J262" s="484">
        <v>50</v>
      </c>
      <c r="L262" s="516" t="s">
        <v>673</v>
      </c>
      <c r="N262" s="287" t="s">
        <v>6934</v>
      </c>
    </row>
    <row r="263" spans="2:19" x14ac:dyDescent="0.35">
      <c r="B263" s="851">
        <v>45916</v>
      </c>
      <c r="C263" s="84" t="s">
        <v>2217</v>
      </c>
      <c r="E263" s="84" t="s">
        <v>5374</v>
      </c>
      <c r="F263" s="84" t="s">
        <v>175</v>
      </c>
      <c r="G263" s="87" t="s">
        <v>7114</v>
      </c>
      <c r="H263" s="785">
        <v>45783</v>
      </c>
      <c r="I263" s="507">
        <v>0</v>
      </c>
      <c r="J263" s="484">
        <v>50</v>
      </c>
      <c r="L263" s="516" t="s">
        <v>954</v>
      </c>
      <c r="N263" s="287" t="s">
        <v>7115</v>
      </c>
      <c r="O263" s="146" t="s">
        <v>4722</v>
      </c>
      <c r="P263" s="146" t="s">
        <v>7116</v>
      </c>
      <c r="Q263" s="484" t="s">
        <v>7117</v>
      </c>
      <c r="R263" s="484" t="s">
        <v>7118</v>
      </c>
      <c r="S263" s="484" t="s">
        <v>7119</v>
      </c>
    </row>
    <row r="264" spans="2:19" x14ac:dyDescent="0.35">
      <c r="B264" s="851">
        <v>45916</v>
      </c>
      <c r="C264" s="84" t="s">
        <v>2217</v>
      </c>
      <c r="E264" s="84" t="s">
        <v>5374</v>
      </c>
      <c r="F264" s="84" t="s">
        <v>175</v>
      </c>
      <c r="G264" s="87" t="s">
        <v>7120</v>
      </c>
      <c r="H264" s="785">
        <v>45799</v>
      </c>
      <c r="I264" s="507">
        <v>50</v>
      </c>
      <c r="J264" s="484">
        <v>0</v>
      </c>
      <c r="L264" s="127" t="s">
        <v>4039</v>
      </c>
      <c r="M264" s="127" t="s">
        <v>7121</v>
      </c>
      <c r="N264" s="287" t="s">
        <v>7122</v>
      </c>
      <c r="O264" s="146" t="s">
        <v>5014</v>
      </c>
      <c r="P264" s="146" t="s">
        <v>7123</v>
      </c>
      <c r="R264" s="484" t="s">
        <v>7124</v>
      </c>
    </row>
    <row r="265" spans="2:19" x14ac:dyDescent="0.35">
      <c r="B265" s="851">
        <v>45916</v>
      </c>
      <c r="C265" s="84" t="s">
        <v>2217</v>
      </c>
      <c r="E265" s="84" t="s">
        <v>5374</v>
      </c>
      <c r="F265" s="84" t="s">
        <v>175</v>
      </c>
      <c r="G265" s="87" t="s">
        <v>7120</v>
      </c>
      <c r="H265" s="785">
        <v>45799</v>
      </c>
      <c r="I265" s="507">
        <v>50</v>
      </c>
      <c r="J265" s="484">
        <v>0</v>
      </c>
      <c r="L265" s="127" t="s">
        <v>4055</v>
      </c>
      <c r="N265" s="287"/>
      <c r="O265" s="146"/>
      <c r="P265" s="146"/>
    </row>
    <row r="266" spans="2:19" x14ac:dyDescent="0.35">
      <c r="B266" s="851">
        <v>45916</v>
      </c>
      <c r="C266" s="84" t="s">
        <v>2217</v>
      </c>
      <c r="E266" s="84" t="s">
        <v>5374</v>
      </c>
      <c r="F266" s="84" t="s">
        <v>174</v>
      </c>
      <c r="G266" s="87" t="s">
        <v>7125</v>
      </c>
      <c r="H266" s="785">
        <v>45889</v>
      </c>
      <c r="I266" s="507">
        <v>50</v>
      </c>
      <c r="J266" s="484">
        <v>0</v>
      </c>
      <c r="L266" s="127" t="s">
        <v>7126</v>
      </c>
      <c r="M266" s="516" t="s">
        <v>7127</v>
      </c>
      <c r="N266" s="545" t="s">
        <v>7128</v>
      </c>
      <c r="O266" s="146" t="s">
        <v>4683</v>
      </c>
      <c r="P266" s="146" t="s">
        <v>7129</v>
      </c>
    </row>
    <row r="267" spans="2:19" x14ac:dyDescent="0.35">
      <c r="B267" s="851"/>
      <c r="H267" s="785"/>
    </row>
    <row r="268" spans="2:19" x14ac:dyDescent="0.35">
      <c r="B268" s="851">
        <v>45919</v>
      </c>
      <c r="C268" s="84" t="s">
        <v>463</v>
      </c>
      <c r="D268" s="84" t="s">
        <v>463</v>
      </c>
      <c r="E268" s="84" t="s">
        <v>4357</v>
      </c>
      <c r="F268" s="84" t="s">
        <v>176</v>
      </c>
      <c r="G268" s="87" t="s">
        <v>7130</v>
      </c>
      <c r="H268" s="785">
        <v>45675</v>
      </c>
      <c r="I268" s="507">
        <f>895+145</f>
        <v>1040</v>
      </c>
      <c r="J268" s="484">
        <v>0</v>
      </c>
      <c r="K268" s="84" t="s">
        <v>4664</v>
      </c>
      <c r="L268" s="127" t="s">
        <v>4058</v>
      </c>
      <c r="M268" s="516" t="s">
        <v>7131</v>
      </c>
      <c r="N268" s="287" t="s">
        <v>7132</v>
      </c>
      <c r="O268" s="146" t="s">
        <v>7133</v>
      </c>
      <c r="P268" s="146" t="s">
        <v>7134</v>
      </c>
      <c r="Q268" s="484" t="s">
        <v>7135</v>
      </c>
      <c r="R268" s="484" t="s">
        <v>7136</v>
      </c>
      <c r="S268" s="84" t="s">
        <v>7137</v>
      </c>
    </row>
    <row r="269" spans="2:19" x14ac:dyDescent="0.35">
      <c r="B269" s="851">
        <v>45919</v>
      </c>
      <c r="C269" s="84" t="s">
        <v>463</v>
      </c>
      <c r="D269" s="84" t="s">
        <v>7138</v>
      </c>
      <c r="E269" s="84" t="s">
        <v>4357</v>
      </c>
      <c r="F269" s="84" t="s">
        <v>5414</v>
      </c>
      <c r="G269" s="84" t="s">
        <v>7139</v>
      </c>
      <c r="H269" s="785">
        <v>45815</v>
      </c>
      <c r="I269" s="507">
        <v>1120</v>
      </c>
      <c r="J269" s="484">
        <v>0</v>
      </c>
      <c r="K269" s="86" t="s">
        <v>4955</v>
      </c>
      <c r="L269" s="4" t="s">
        <v>4262</v>
      </c>
      <c r="M269" s="4" t="s">
        <v>4271</v>
      </c>
      <c r="N269" s="92" t="s">
        <v>6842</v>
      </c>
      <c r="O269" s="94" t="s">
        <v>5008</v>
      </c>
      <c r="P269" s="146" t="s">
        <v>4530</v>
      </c>
      <c r="Q269" s="84" t="s">
        <v>6843</v>
      </c>
      <c r="R269" s="84" t="s">
        <v>6844</v>
      </c>
      <c r="S269" s="87" t="s">
        <v>4370</v>
      </c>
    </row>
    <row r="270" spans="2:19" x14ac:dyDescent="0.35">
      <c r="B270" s="851"/>
      <c r="C270" s="84"/>
      <c r="D270" s="84"/>
      <c r="E270" s="84"/>
      <c r="F270" s="84"/>
      <c r="G270" s="84"/>
      <c r="H270" s="785"/>
      <c r="K270" s="86"/>
      <c r="L270" s="4"/>
      <c r="M270" s="4"/>
      <c r="N270" s="92"/>
      <c r="O270" s="94"/>
      <c r="P270" s="146"/>
      <c r="Q270" s="84"/>
      <c r="R270" s="84"/>
      <c r="S270" s="87"/>
    </row>
    <row r="271" spans="2:19" x14ac:dyDescent="0.35">
      <c r="B271" s="879">
        <v>45924</v>
      </c>
      <c r="C271" s="878" t="s">
        <v>681</v>
      </c>
      <c r="D271" s="878" t="s">
        <v>4376</v>
      </c>
      <c r="E271" s="878" t="s">
        <v>5374</v>
      </c>
      <c r="F271" s="607" t="s">
        <v>126</v>
      </c>
      <c r="G271" s="608" t="s">
        <v>7140</v>
      </c>
      <c r="H271" s="899">
        <v>45783</v>
      </c>
      <c r="I271" s="609">
        <v>0</v>
      </c>
      <c r="J271" s="607">
        <v>50</v>
      </c>
      <c r="K271" s="607"/>
      <c r="L271" s="1162" t="s">
        <v>676</v>
      </c>
      <c r="N271" s="287" t="s">
        <v>7092</v>
      </c>
      <c r="O271" s="146"/>
      <c r="P271" s="146" t="s">
        <v>7093</v>
      </c>
      <c r="S271" s="84"/>
    </row>
    <row r="272" spans="2:19" x14ac:dyDescent="0.35">
      <c r="B272" s="851">
        <v>45924</v>
      </c>
      <c r="C272" s="783" t="s">
        <v>681</v>
      </c>
      <c r="D272" s="783" t="s">
        <v>4376</v>
      </c>
      <c r="E272" s="783" t="s">
        <v>5374</v>
      </c>
      <c r="F272" s="84" t="s">
        <v>126</v>
      </c>
      <c r="G272" s="87" t="s">
        <v>7141</v>
      </c>
      <c r="H272" s="785">
        <v>45780</v>
      </c>
      <c r="I272" s="507">
        <v>0</v>
      </c>
      <c r="J272" s="484">
        <v>50</v>
      </c>
      <c r="K272" s="84"/>
      <c r="L272" s="127" t="s">
        <v>680</v>
      </c>
      <c r="N272" s="1167" t="s">
        <v>6998</v>
      </c>
      <c r="O272" s="146"/>
      <c r="P272" s="146" t="s">
        <v>7142</v>
      </c>
      <c r="S272" s="84"/>
    </row>
    <row r="273" spans="1:20" x14ac:dyDescent="0.35">
      <c r="B273" s="851">
        <v>45924</v>
      </c>
      <c r="C273" s="783" t="s">
        <v>681</v>
      </c>
      <c r="D273" s="783" t="s">
        <v>4376</v>
      </c>
      <c r="E273" s="783" t="s">
        <v>5374</v>
      </c>
      <c r="F273" s="84" t="s">
        <v>175</v>
      </c>
      <c r="G273" s="87" t="s">
        <v>7143</v>
      </c>
      <c r="H273" s="785">
        <v>45904</v>
      </c>
      <c r="I273" s="507">
        <v>50</v>
      </c>
      <c r="K273" s="84"/>
      <c r="L273" s="127" t="s">
        <v>327</v>
      </c>
      <c r="N273" s="287" t="s">
        <v>7144</v>
      </c>
      <c r="O273" s="146"/>
      <c r="P273" s="146" t="s">
        <v>7145</v>
      </c>
      <c r="S273" s="84"/>
    </row>
    <row r="274" spans="1:20" x14ac:dyDescent="0.35">
      <c r="B274" s="851">
        <v>45924</v>
      </c>
      <c r="C274" s="783" t="s">
        <v>681</v>
      </c>
      <c r="D274" s="783" t="s">
        <v>4376</v>
      </c>
      <c r="E274" s="783" t="s">
        <v>5374</v>
      </c>
      <c r="F274" s="84" t="s">
        <v>175</v>
      </c>
      <c r="G274" s="87" t="s">
        <v>7146</v>
      </c>
      <c r="H274" s="785">
        <v>45908</v>
      </c>
      <c r="I274" s="507">
        <v>50</v>
      </c>
      <c r="J274" s="484">
        <v>0</v>
      </c>
      <c r="K274" s="84"/>
      <c r="L274" s="127" t="s">
        <v>7147</v>
      </c>
      <c r="M274" s="127" t="s">
        <v>7148</v>
      </c>
      <c r="N274" s="287" t="s">
        <v>7149</v>
      </c>
      <c r="O274" s="146" t="s">
        <v>6530</v>
      </c>
      <c r="P274" s="146" t="s">
        <v>7150</v>
      </c>
      <c r="S274" s="84"/>
    </row>
    <row r="275" spans="1:20" x14ac:dyDescent="0.35">
      <c r="B275" s="851">
        <v>45924</v>
      </c>
      <c r="C275" s="783" t="s">
        <v>681</v>
      </c>
      <c r="D275" s="783" t="s">
        <v>4376</v>
      </c>
      <c r="E275" s="783" t="s">
        <v>5374</v>
      </c>
      <c r="F275" s="84" t="s">
        <v>176</v>
      </c>
      <c r="G275" s="87" t="s">
        <v>7151</v>
      </c>
      <c r="H275" s="785">
        <v>45918</v>
      </c>
      <c r="I275" s="507">
        <v>50</v>
      </c>
      <c r="K275" s="84" t="s">
        <v>4664</v>
      </c>
      <c r="L275" s="127" t="s">
        <v>513</v>
      </c>
      <c r="M275" s="127" t="s">
        <v>7152</v>
      </c>
      <c r="N275" s="287" t="s">
        <v>7153</v>
      </c>
      <c r="O275" s="146">
        <v>20</v>
      </c>
      <c r="P275" s="146" t="s">
        <v>7154</v>
      </c>
      <c r="S275" s="84"/>
    </row>
    <row r="276" spans="1:20" x14ac:dyDescent="0.35">
      <c r="B276" s="851">
        <v>45924</v>
      </c>
      <c r="C276" s="783" t="s">
        <v>681</v>
      </c>
      <c r="D276" s="783" t="s">
        <v>4376</v>
      </c>
      <c r="E276" s="783" t="s">
        <v>5374</v>
      </c>
      <c r="F276" s="84" t="s">
        <v>174</v>
      </c>
      <c r="G276" s="87" t="s">
        <v>7155</v>
      </c>
      <c r="H276" s="785">
        <v>45921</v>
      </c>
      <c r="I276" s="507">
        <v>50</v>
      </c>
      <c r="J276" s="484">
        <v>0</v>
      </c>
      <c r="K276" s="84" t="s">
        <v>4664</v>
      </c>
      <c r="L276" s="127" t="s">
        <v>4039</v>
      </c>
      <c r="M276" s="127" t="s">
        <v>7156</v>
      </c>
      <c r="N276" s="287" t="s">
        <v>7157</v>
      </c>
      <c r="O276" s="146" t="s">
        <v>4849</v>
      </c>
      <c r="P276" s="146" t="s">
        <v>7158</v>
      </c>
      <c r="S276" s="84"/>
    </row>
    <row r="277" spans="1:20" x14ac:dyDescent="0.35">
      <c r="B277" s="851"/>
      <c r="C277" s="783"/>
      <c r="D277" s="783"/>
      <c r="E277" s="783"/>
      <c r="F277" s="84"/>
      <c r="G277" s="87"/>
      <c r="H277" s="785"/>
      <c r="K277" s="84"/>
      <c r="L277" s="127"/>
      <c r="N277" s="287"/>
      <c r="O277" s="146"/>
      <c r="P277" s="146"/>
      <c r="S277" s="84"/>
    </row>
    <row r="278" spans="1:20" x14ac:dyDescent="0.35">
      <c r="B278" s="851">
        <v>45926</v>
      </c>
      <c r="C278" s="1175" t="s">
        <v>219</v>
      </c>
      <c r="D278" s="783" t="s">
        <v>7159</v>
      </c>
      <c r="E278" s="783" t="s">
        <v>528</v>
      </c>
      <c r="F278" s="84" t="s">
        <v>174</v>
      </c>
      <c r="G278" s="87" t="s">
        <v>7160</v>
      </c>
      <c r="H278" s="785">
        <v>45819</v>
      </c>
      <c r="I278" s="507">
        <f>750+80</f>
        <v>830</v>
      </c>
      <c r="K278" s="84" t="s">
        <v>5045</v>
      </c>
      <c r="L278" s="127" t="s">
        <v>7161</v>
      </c>
      <c r="M278" s="516" t="s">
        <v>7162</v>
      </c>
      <c r="N278" s="287" t="s">
        <v>7163</v>
      </c>
      <c r="O278" s="146"/>
      <c r="P278" s="146"/>
      <c r="S278" s="84" t="s">
        <v>7164</v>
      </c>
    </row>
    <row r="279" spans="1:20" x14ac:dyDescent="0.35">
      <c r="B279" s="851">
        <v>45926</v>
      </c>
      <c r="C279" s="1175" t="s">
        <v>219</v>
      </c>
      <c r="D279" s="783" t="s">
        <v>7165</v>
      </c>
      <c r="E279" s="783" t="s">
        <v>528</v>
      </c>
      <c r="F279" s="84" t="s">
        <v>174</v>
      </c>
      <c r="G279" s="87" t="s">
        <v>7166</v>
      </c>
      <c r="H279" s="785">
        <v>45838</v>
      </c>
      <c r="I279" s="507">
        <v>750</v>
      </c>
      <c r="K279" s="84" t="s">
        <v>4664</v>
      </c>
      <c r="L279" s="127" t="s">
        <v>7167</v>
      </c>
      <c r="M279" s="516" t="s">
        <v>7168</v>
      </c>
      <c r="N279" s="287" t="s">
        <v>7169</v>
      </c>
      <c r="O279" s="146"/>
      <c r="P279" s="146"/>
      <c r="S279" s="84" t="s">
        <v>4457</v>
      </c>
    </row>
    <row r="280" spans="1:20" x14ac:dyDescent="0.35">
      <c r="B280" s="851">
        <v>45926</v>
      </c>
      <c r="C280" s="1175" t="s">
        <v>219</v>
      </c>
      <c r="D280" s="783" t="s">
        <v>7170</v>
      </c>
      <c r="E280" s="783" t="s">
        <v>528</v>
      </c>
      <c r="F280" s="84" t="s">
        <v>174</v>
      </c>
      <c r="G280" s="87" t="s">
        <v>7171</v>
      </c>
      <c r="H280" s="785">
        <v>45905</v>
      </c>
      <c r="I280" s="507">
        <v>750</v>
      </c>
      <c r="K280" s="84" t="s">
        <v>4664</v>
      </c>
      <c r="L280" s="127" t="s">
        <v>7172</v>
      </c>
      <c r="M280" s="127" t="s">
        <v>7173</v>
      </c>
      <c r="N280" s="287" t="s">
        <v>7174</v>
      </c>
      <c r="O280" s="146" t="s">
        <v>6398</v>
      </c>
      <c r="P280" s="146" t="s">
        <v>7175</v>
      </c>
      <c r="S280" s="84"/>
    </row>
    <row r="281" spans="1:20" x14ac:dyDescent="0.35">
      <c r="B281" s="851"/>
      <c r="D281" s="84"/>
      <c r="E281" s="84"/>
      <c r="F281" s="84"/>
      <c r="G281" s="87"/>
      <c r="H281" s="785"/>
      <c r="K281" s="84"/>
      <c r="L281" s="127"/>
      <c r="O281" s="146"/>
      <c r="P281" s="146"/>
      <c r="S281" s="84"/>
    </row>
    <row r="282" spans="1:20" x14ac:dyDescent="0.35">
      <c r="B282" s="851">
        <v>45931</v>
      </c>
      <c r="C282" s="84" t="s">
        <v>2217</v>
      </c>
      <c r="D282" s="84"/>
      <c r="E282" s="84" t="s">
        <v>5374</v>
      </c>
      <c r="F282" s="84" t="s">
        <v>126</v>
      </c>
      <c r="G282" s="87" t="s">
        <v>7176</v>
      </c>
      <c r="H282" s="785">
        <v>45749</v>
      </c>
      <c r="I282" s="507">
        <v>0</v>
      </c>
      <c r="J282" s="484">
        <v>50</v>
      </c>
      <c r="K282" s="84"/>
      <c r="L282" s="127" t="s">
        <v>682</v>
      </c>
      <c r="N282" s="287" t="s">
        <v>7177</v>
      </c>
      <c r="O282" s="146"/>
      <c r="P282" s="146" t="s">
        <v>7178</v>
      </c>
      <c r="S282" s="84"/>
    </row>
    <row r="283" spans="1:20" x14ac:dyDescent="0.35">
      <c r="B283" s="851">
        <v>45931</v>
      </c>
      <c r="C283" s="84" t="s">
        <v>2217</v>
      </c>
      <c r="E283" s="84" t="s">
        <v>5374</v>
      </c>
      <c r="F283" s="84" t="s">
        <v>126</v>
      </c>
      <c r="G283" s="505" t="s">
        <v>7179</v>
      </c>
      <c r="H283" s="785">
        <v>45780</v>
      </c>
      <c r="I283" s="507">
        <v>0</v>
      </c>
      <c r="J283" s="484">
        <v>50</v>
      </c>
      <c r="L283" s="1162" t="s">
        <v>684</v>
      </c>
      <c r="N283" s="1167" t="s">
        <v>6958</v>
      </c>
      <c r="S283" s="84"/>
    </row>
    <row r="284" spans="1:20" x14ac:dyDescent="0.35">
      <c r="B284" s="851">
        <v>45931</v>
      </c>
      <c r="C284" s="84" t="s">
        <v>2217</v>
      </c>
      <c r="E284" s="84" t="s">
        <v>5374</v>
      </c>
      <c r="F284" s="84" t="s">
        <v>126</v>
      </c>
      <c r="G284" s="87" t="s">
        <v>7180</v>
      </c>
      <c r="H284" s="785">
        <v>45792</v>
      </c>
      <c r="I284" s="507">
        <v>0</v>
      </c>
      <c r="J284" s="484">
        <v>50</v>
      </c>
      <c r="K284" s="84"/>
      <c r="L284" s="1162" t="s">
        <v>7181</v>
      </c>
      <c r="N284" s="287" t="s">
        <v>7182</v>
      </c>
      <c r="O284" s="146"/>
      <c r="P284" s="146" t="s">
        <v>7183</v>
      </c>
      <c r="S284" s="84"/>
    </row>
    <row r="285" spans="1:20" x14ac:dyDescent="0.35">
      <c r="B285" s="851"/>
      <c r="C285" s="851"/>
      <c r="D285" s="84"/>
      <c r="E285" s="84"/>
      <c r="F285" s="84"/>
      <c r="G285" s="87"/>
      <c r="H285" s="785"/>
      <c r="K285" s="84"/>
      <c r="L285" s="127"/>
      <c r="N285" s="287"/>
      <c r="O285" s="146"/>
      <c r="P285" s="146"/>
      <c r="S285" s="84"/>
    </row>
    <row r="286" spans="1:20" x14ac:dyDescent="0.35">
      <c r="B286" s="851"/>
      <c r="C286" s="851"/>
      <c r="D286" s="84"/>
      <c r="E286" s="84"/>
      <c r="F286" s="84"/>
      <c r="G286" s="87"/>
      <c r="H286" s="785"/>
      <c r="K286" s="84"/>
      <c r="L286" s="127"/>
      <c r="N286" s="287"/>
      <c r="O286" s="146"/>
      <c r="P286" s="146"/>
      <c r="S286" s="84"/>
    </row>
    <row r="287" spans="1:20" x14ac:dyDescent="0.35">
      <c r="A287" s="851"/>
      <c r="B287" s="851">
        <v>45947</v>
      </c>
      <c r="C287" s="783" t="s">
        <v>324</v>
      </c>
      <c r="D287" s="783" t="s">
        <v>7184</v>
      </c>
      <c r="E287" s="783" t="s">
        <v>5593</v>
      </c>
      <c r="F287" s="784" t="s">
        <v>176</v>
      </c>
      <c r="G287" s="785" t="s">
        <v>5256</v>
      </c>
      <c r="H287" s="785">
        <v>45674</v>
      </c>
      <c r="I287" s="784">
        <v>15</v>
      </c>
      <c r="J287" s="784">
        <v>0</v>
      </c>
      <c r="K287" s="830" t="s">
        <v>5045</v>
      </c>
      <c r="L287" s="896" t="s">
        <v>6195</v>
      </c>
      <c r="M287" s="829" t="s">
        <v>6196</v>
      </c>
      <c r="N287" s="287" t="s">
        <v>6194</v>
      </c>
      <c r="O287" s="829" t="s">
        <v>4746</v>
      </c>
      <c r="P287" s="829" t="s">
        <v>6197</v>
      </c>
      <c r="Q287" s="96" t="s">
        <v>6198</v>
      </c>
      <c r="R287" s="96" t="s">
        <v>6199</v>
      </c>
      <c r="S287" s="84" t="s">
        <v>4370</v>
      </c>
      <c r="T287" s="851"/>
    </row>
    <row r="288" spans="1:20" x14ac:dyDescent="0.35">
      <c r="A288" s="851"/>
      <c r="B288" s="851">
        <v>45947</v>
      </c>
      <c r="C288" s="783" t="s">
        <v>324</v>
      </c>
      <c r="D288" s="783" t="s">
        <v>7184</v>
      </c>
      <c r="E288" s="783" t="s">
        <v>5593</v>
      </c>
      <c r="F288" s="784" t="s">
        <v>126</v>
      </c>
      <c r="G288" s="785" t="s">
        <v>7185</v>
      </c>
      <c r="H288" s="785">
        <v>45715</v>
      </c>
      <c r="I288" s="784"/>
      <c r="J288" s="784">
        <v>12</v>
      </c>
      <c r="K288" s="830"/>
      <c r="L288" s="896" t="s">
        <v>627</v>
      </c>
      <c r="M288" s="829"/>
      <c r="N288" s="287" t="s">
        <v>7186</v>
      </c>
      <c r="O288" s="829"/>
      <c r="P288" s="829"/>
      <c r="Q288" s="96"/>
      <c r="R288" s="96"/>
      <c r="S288" s="84"/>
      <c r="T288" s="851"/>
    </row>
    <row r="289" spans="1:20" x14ac:dyDescent="0.35">
      <c r="A289" s="851"/>
      <c r="B289" s="879">
        <v>45947</v>
      </c>
      <c r="C289" s="878" t="s">
        <v>324</v>
      </c>
      <c r="D289" s="878" t="s">
        <v>7184</v>
      </c>
      <c r="E289" s="783" t="s">
        <v>5593</v>
      </c>
      <c r="F289" s="784" t="s">
        <v>126</v>
      </c>
      <c r="G289" s="785" t="s">
        <v>7187</v>
      </c>
      <c r="H289" s="785">
        <v>45722</v>
      </c>
      <c r="I289" s="784"/>
      <c r="J289" s="784">
        <v>12</v>
      </c>
      <c r="K289" s="830"/>
      <c r="L289" s="1165" t="s">
        <v>629</v>
      </c>
      <c r="M289" s="829"/>
      <c r="N289" s="287" t="s">
        <v>7188</v>
      </c>
      <c r="O289" s="829"/>
      <c r="P289" s="829"/>
      <c r="Q289" s="96"/>
      <c r="R289" s="96"/>
      <c r="S289" s="84"/>
      <c r="T289" s="851"/>
    </row>
    <row r="290" spans="1:20" x14ac:dyDescent="0.35">
      <c r="A290" s="851"/>
      <c r="B290" s="851">
        <v>45947</v>
      </c>
      <c r="C290" s="783" t="s">
        <v>324</v>
      </c>
      <c r="D290" s="783" t="s">
        <v>7184</v>
      </c>
      <c r="E290" s="783" t="s">
        <v>5593</v>
      </c>
      <c r="F290" s="784" t="s">
        <v>126</v>
      </c>
      <c r="G290" s="785" t="s">
        <v>7189</v>
      </c>
      <c r="H290" s="785">
        <v>45729</v>
      </c>
      <c r="I290" s="784"/>
      <c r="J290" s="784">
        <v>12</v>
      </c>
      <c r="K290" s="830"/>
      <c r="L290" s="896" t="s">
        <v>630</v>
      </c>
      <c r="M290" s="829"/>
      <c r="N290" s="287" t="s">
        <v>7190</v>
      </c>
      <c r="O290" s="829"/>
      <c r="P290" s="829" t="s">
        <v>7191</v>
      </c>
      <c r="Q290" s="96"/>
      <c r="R290" s="96"/>
      <c r="S290" s="84"/>
      <c r="T290" s="851"/>
    </row>
    <row r="291" spans="1:20" x14ac:dyDescent="0.35">
      <c r="A291" s="851"/>
      <c r="B291" s="851">
        <v>45947</v>
      </c>
      <c r="C291" s="783" t="s">
        <v>324</v>
      </c>
      <c r="D291" s="783" t="s">
        <v>7184</v>
      </c>
      <c r="E291" s="783" t="s">
        <v>5593</v>
      </c>
      <c r="F291" s="784" t="s">
        <v>126</v>
      </c>
      <c r="G291" s="785" t="s">
        <v>7192</v>
      </c>
      <c r="H291" s="785">
        <v>45729</v>
      </c>
      <c r="I291" s="784">
        <v>0</v>
      </c>
      <c r="J291" s="784">
        <v>15</v>
      </c>
      <c r="K291" s="830"/>
      <c r="L291" s="896" t="s">
        <v>632</v>
      </c>
      <c r="M291" s="829"/>
      <c r="N291" s="287" t="s">
        <v>7193</v>
      </c>
      <c r="O291" s="829"/>
      <c r="P291" s="829"/>
      <c r="Q291" s="96"/>
      <c r="R291" s="96"/>
      <c r="S291" s="84"/>
      <c r="T291" s="851"/>
    </row>
    <row r="292" spans="1:20" x14ac:dyDescent="0.35">
      <c r="A292" s="851"/>
      <c r="B292" s="851">
        <v>45947</v>
      </c>
      <c r="C292" s="783" t="s">
        <v>324</v>
      </c>
      <c r="D292" s="783" t="s">
        <v>7184</v>
      </c>
      <c r="E292" s="783" t="s">
        <v>5593</v>
      </c>
      <c r="F292" s="784" t="s">
        <v>126</v>
      </c>
      <c r="G292" s="785" t="s">
        <v>7194</v>
      </c>
      <c r="H292" s="785">
        <v>45734</v>
      </c>
      <c r="I292" s="784">
        <v>0</v>
      </c>
      <c r="J292" s="784">
        <v>12</v>
      </c>
      <c r="K292" s="830"/>
      <c r="L292" s="896" t="s">
        <v>628</v>
      </c>
      <c r="M292" s="829"/>
      <c r="N292" s="287" t="s">
        <v>7195</v>
      </c>
      <c r="O292" s="829"/>
      <c r="P292" s="829" t="s">
        <v>7196</v>
      </c>
      <c r="Q292" s="96"/>
      <c r="R292" s="96"/>
      <c r="S292" s="84"/>
      <c r="T292" s="851"/>
    </row>
    <row r="293" spans="1:20" x14ac:dyDescent="0.35">
      <c r="A293" s="851"/>
      <c r="B293" s="879">
        <v>45947</v>
      </c>
      <c r="C293" s="878" t="s">
        <v>324</v>
      </c>
      <c r="D293" s="878" t="s">
        <v>7184</v>
      </c>
      <c r="E293" s="878" t="s">
        <v>5593</v>
      </c>
      <c r="F293" s="1164" t="s">
        <v>126</v>
      </c>
      <c r="G293" s="899" t="s">
        <v>7197</v>
      </c>
      <c r="H293" s="899">
        <v>45734</v>
      </c>
      <c r="I293" s="1164">
        <v>0</v>
      </c>
      <c r="J293" s="784">
        <v>15</v>
      </c>
      <c r="K293" s="830"/>
      <c r="L293" s="896" t="s">
        <v>631</v>
      </c>
      <c r="M293" s="829"/>
      <c r="N293" s="287" t="s">
        <v>7198</v>
      </c>
      <c r="O293" s="829"/>
      <c r="P293" s="829"/>
      <c r="Q293" s="96"/>
      <c r="R293" s="96"/>
      <c r="S293" s="84"/>
      <c r="T293" s="851"/>
    </row>
    <row r="294" spans="1:20" x14ac:dyDescent="0.35">
      <c r="A294" s="851"/>
      <c r="B294" s="851"/>
      <c r="C294" s="783"/>
      <c r="D294" s="783"/>
      <c r="E294" s="783"/>
      <c r="F294" s="784"/>
      <c r="G294" s="785"/>
      <c r="H294" s="785"/>
      <c r="I294" s="784"/>
      <c r="J294" s="784"/>
      <c r="K294" s="830"/>
      <c r="L294" s="896"/>
      <c r="M294" s="829"/>
      <c r="N294" s="287"/>
      <c r="O294" s="829"/>
      <c r="P294" s="829"/>
      <c r="Q294" s="96"/>
      <c r="R294" s="96"/>
      <c r="S294" s="84"/>
      <c r="T294" s="851"/>
    </row>
    <row r="295" spans="1:20" x14ac:dyDescent="0.35">
      <c r="A295" s="851"/>
      <c r="B295" s="851">
        <v>45948</v>
      </c>
      <c r="C295" s="783" t="s">
        <v>613</v>
      </c>
      <c r="D295" s="84" t="s">
        <v>6960</v>
      </c>
      <c r="E295" s="783" t="s">
        <v>7199</v>
      </c>
      <c r="F295" s="784" t="s">
        <v>126</v>
      </c>
      <c r="G295" s="785" t="s">
        <v>7200</v>
      </c>
      <c r="H295" s="785">
        <v>45736</v>
      </c>
      <c r="I295" s="784">
        <v>0</v>
      </c>
      <c r="J295" s="784">
        <v>150</v>
      </c>
      <c r="K295" s="830"/>
      <c r="L295" s="896" t="s">
        <v>633</v>
      </c>
      <c r="M295" s="829"/>
      <c r="N295" s="287" t="s">
        <v>7201</v>
      </c>
      <c r="O295" s="829"/>
      <c r="P295" s="829" t="s">
        <v>7202</v>
      </c>
      <c r="Q295" s="96"/>
      <c r="R295" s="96"/>
      <c r="S295" s="84"/>
      <c r="T295" s="851"/>
    </row>
    <row r="296" spans="1:20" x14ac:dyDescent="0.35">
      <c r="A296" s="851"/>
      <c r="B296" s="851">
        <v>45948</v>
      </c>
      <c r="C296" s="783" t="s">
        <v>613</v>
      </c>
      <c r="D296" s="84" t="s">
        <v>6960</v>
      </c>
      <c r="E296" s="783" t="s">
        <v>7199</v>
      </c>
      <c r="F296" s="84" t="s">
        <v>180</v>
      </c>
      <c r="G296" s="1080" t="s">
        <v>7203</v>
      </c>
      <c r="H296" s="785">
        <v>45687</v>
      </c>
      <c r="I296" s="784">
        <v>120</v>
      </c>
      <c r="J296" s="784">
        <v>0</v>
      </c>
      <c r="K296" s="830" t="s">
        <v>4955</v>
      </c>
      <c r="L296" s="896" t="s">
        <v>7204</v>
      </c>
      <c r="M296" s="829" t="s">
        <v>7205</v>
      </c>
      <c r="N296" s="287" t="s">
        <v>7206</v>
      </c>
      <c r="O296" s="829"/>
      <c r="P296" s="829" t="s">
        <v>7207</v>
      </c>
      <c r="Q296" s="96"/>
      <c r="R296" s="96"/>
      <c r="S296" s="84"/>
    </row>
    <row r="297" spans="1:20" x14ac:dyDescent="0.35">
      <c r="A297" s="851"/>
      <c r="B297" s="851">
        <v>45948</v>
      </c>
      <c r="C297" s="84" t="s">
        <v>235</v>
      </c>
      <c r="D297" s="84" t="s">
        <v>6960</v>
      </c>
      <c r="F297" s="84" t="s">
        <v>6352</v>
      </c>
      <c r="G297" s="87" t="s">
        <v>7208</v>
      </c>
      <c r="H297" s="785">
        <v>45625</v>
      </c>
      <c r="I297" s="507">
        <v>150</v>
      </c>
      <c r="J297" s="484">
        <v>0</v>
      </c>
      <c r="K297" s="84" t="s">
        <v>4664</v>
      </c>
      <c r="L297" s="127" t="s">
        <v>7209</v>
      </c>
      <c r="M297" s="516" t="s">
        <v>4770</v>
      </c>
      <c r="N297" s="287" t="s">
        <v>7210</v>
      </c>
      <c r="O297" s="146" t="s">
        <v>4683</v>
      </c>
      <c r="P297" s="146" t="s">
        <v>7211</v>
      </c>
      <c r="Q297" s="484" t="s">
        <v>7212</v>
      </c>
      <c r="R297" s="484" t="s">
        <v>7213</v>
      </c>
      <c r="S297" s="84" t="s">
        <v>7214</v>
      </c>
      <c r="T297" s="851"/>
    </row>
    <row r="298" spans="1:20" x14ac:dyDescent="0.35">
      <c r="A298" s="851"/>
      <c r="B298" s="851">
        <v>45948</v>
      </c>
      <c r="C298" s="783" t="s">
        <v>613</v>
      </c>
      <c r="D298" s="84" t="s">
        <v>6960</v>
      </c>
      <c r="E298" s="783" t="s">
        <v>7199</v>
      </c>
      <c r="F298" s="784" t="s">
        <v>126</v>
      </c>
      <c r="G298" s="785" t="s">
        <v>7200</v>
      </c>
      <c r="H298" s="785">
        <v>45881</v>
      </c>
      <c r="J298" s="484">
        <v>150</v>
      </c>
      <c r="K298" s="84"/>
      <c r="L298" s="127" t="s">
        <v>634</v>
      </c>
      <c r="N298" s="1167" t="s">
        <v>7215</v>
      </c>
      <c r="O298" s="146"/>
      <c r="P298" s="146" t="s">
        <v>7216</v>
      </c>
      <c r="S298" s="84"/>
      <c r="T298" s="851"/>
    </row>
    <row r="299" spans="1:20" x14ac:dyDescent="0.35">
      <c r="A299" s="851"/>
      <c r="B299" s="851">
        <v>45948</v>
      </c>
      <c r="C299" s="84" t="s">
        <v>235</v>
      </c>
      <c r="D299" s="84" t="s">
        <v>6960</v>
      </c>
      <c r="E299" s="783" t="s">
        <v>7199</v>
      </c>
      <c r="F299" s="784" t="s">
        <v>175</v>
      </c>
      <c r="G299" s="785" t="s">
        <v>7217</v>
      </c>
      <c r="H299" s="785">
        <v>45946</v>
      </c>
      <c r="I299" s="507">
        <v>150</v>
      </c>
      <c r="K299" s="84" t="s">
        <v>4664</v>
      </c>
      <c r="L299" s="127" t="s">
        <v>4533</v>
      </c>
      <c r="M299" s="127" t="s">
        <v>4534</v>
      </c>
      <c r="N299" s="287" t="s">
        <v>4532</v>
      </c>
      <c r="O299" s="146" t="s">
        <v>4879</v>
      </c>
      <c r="P299" s="146" t="s">
        <v>4535</v>
      </c>
      <c r="Q299" s="484" t="s">
        <v>6524</v>
      </c>
      <c r="R299" s="484" t="s">
        <v>6525</v>
      </c>
      <c r="S299" s="484" t="s">
        <v>6526</v>
      </c>
      <c r="T299" s="851"/>
    </row>
    <row r="300" spans="1:20" x14ac:dyDescent="0.35">
      <c r="A300" s="851"/>
      <c r="B300" s="851"/>
      <c r="C300" s="783"/>
      <c r="D300" s="783"/>
      <c r="E300" s="783"/>
      <c r="F300" s="784"/>
      <c r="G300" s="785"/>
      <c r="H300" s="785"/>
      <c r="I300" s="784"/>
      <c r="J300" s="784"/>
      <c r="K300" s="830"/>
      <c r="L300" s="896"/>
      <c r="M300" s="829"/>
      <c r="N300" s="287"/>
      <c r="O300" s="829"/>
      <c r="P300" s="829"/>
      <c r="Q300" s="96"/>
      <c r="R300" s="96"/>
      <c r="S300" s="84"/>
      <c r="T300" s="851"/>
    </row>
    <row r="301" spans="1:20" x14ac:dyDescent="0.35">
      <c r="A301" s="851"/>
      <c r="B301" s="879">
        <v>46131</v>
      </c>
      <c r="C301" s="879" t="s">
        <v>1426</v>
      </c>
      <c r="D301" s="878" t="s">
        <v>6470</v>
      </c>
      <c r="E301" s="783" t="s">
        <v>6471</v>
      </c>
      <c r="F301" s="784" t="s">
        <v>174</v>
      </c>
      <c r="G301" s="785" t="s">
        <v>7218</v>
      </c>
      <c r="H301" s="785">
        <v>45849</v>
      </c>
      <c r="I301" s="784">
        <v>125</v>
      </c>
      <c r="J301" s="784">
        <v>0</v>
      </c>
      <c r="K301" s="830" t="s">
        <v>4955</v>
      </c>
      <c r="L301" s="896" t="s">
        <v>7219</v>
      </c>
      <c r="M301" s="829" t="s">
        <v>7220</v>
      </c>
      <c r="N301" s="287" t="s">
        <v>7221</v>
      </c>
      <c r="O301" s="829" t="s">
        <v>4689</v>
      </c>
      <c r="P301" s="829" t="s">
        <v>7222</v>
      </c>
      <c r="Q301" s="96" t="s">
        <v>7223</v>
      </c>
      <c r="R301" s="96"/>
      <c r="S301" s="84" t="s">
        <v>7224</v>
      </c>
      <c r="T301" s="851"/>
    </row>
    <row r="302" spans="1:20" x14ac:dyDescent="0.35">
      <c r="A302" s="851"/>
      <c r="R302" s="96"/>
      <c r="S302" s="84"/>
      <c r="T302" s="851"/>
    </row>
    <row r="304" spans="1:20" x14ac:dyDescent="0.35">
      <c r="A304" s="851"/>
      <c r="B304" s="851"/>
      <c r="C304" s="783"/>
      <c r="D304" s="783"/>
      <c r="E304" s="783"/>
      <c r="F304" s="784"/>
      <c r="G304" s="785"/>
      <c r="H304" s="785"/>
      <c r="I304" s="784"/>
      <c r="J304" s="784"/>
      <c r="K304" s="830"/>
      <c r="L304" s="896"/>
      <c r="M304" s="829"/>
      <c r="N304" s="287"/>
      <c r="O304" s="829"/>
      <c r="P304" s="829"/>
      <c r="Q304" s="96"/>
      <c r="R304" s="96"/>
      <c r="S304" s="84"/>
      <c r="T304" s="851"/>
    </row>
    <row r="305" spans="1:19" x14ac:dyDescent="0.35">
      <c r="A305" s="84" t="s">
        <v>7225</v>
      </c>
      <c r="B305" s="879">
        <v>45954</v>
      </c>
      <c r="C305" s="879" t="s">
        <v>177</v>
      </c>
      <c r="D305" s="1107" t="s">
        <v>7226</v>
      </c>
      <c r="E305" s="84" t="s">
        <v>6471</v>
      </c>
      <c r="F305" s="84" t="s">
        <v>126</v>
      </c>
      <c r="G305" s="87" t="s">
        <v>7227</v>
      </c>
      <c r="H305" s="785">
        <v>45736</v>
      </c>
      <c r="I305" s="507">
        <v>0</v>
      </c>
      <c r="J305" s="484">
        <v>150</v>
      </c>
      <c r="K305" s="84"/>
      <c r="L305" s="1162" t="s">
        <v>635</v>
      </c>
      <c r="N305" s="287" t="s">
        <v>7228</v>
      </c>
      <c r="O305" s="146"/>
      <c r="P305" s="146"/>
      <c r="S305" s="84"/>
    </row>
    <row r="306" spans="1:19" x14ac:dyDescent="0.35">
      <c r="B306" s="851">
        <v>45954</v>
      </c>
      <c r="C306" s="851" t="s">
        <v>177</v>
      </c>
      <c r="D306" s="1107" t="s">
        <v>7226</v>
      </c>
      <c r="E306" s="84" t="s">
        <v>6471</v>
      </c>
      <c r="F306" s="84" t="s">
        <v>126</v>
      </c>
      <c r="G306" s="87" t="s">
        <v>7229</v>
      </c>
      <c r="H306" s="785">
        <v>45753</v>
      </c>
      <c r="I306" s="507">
        <v>0</v>
      </c>
      <c r="J306" s="484">
        <v>150</v>
      </c>
      <c r="K306" s="84"/>
      <c r="L306" s="127" t="s">
        <v>637</v>
      </c>
      <c r="N306" s="287" t="s">
        <v>7230</v>
      </c>
      <c r="O306" s="146"/>
      <c r="P306" s="146" t="s">
        <v>7231</v>
      </c>
      <c r="S306" s="84"/>
    </row>
    <row r="307" spans="1:19" x14ac:dyDescent="0.35">
      <c r="B307" s="851">
        <v>45954</v>
      </c>
      <c r="C307" s="851" t="s">
        <v>177</v>
      </c>
      <c r="D307" s="783" t="s">
        <v>7232</v>
      </c>
      <c r="E307" s="84" t="s">
        <v>7233</v>
      </c>
      <c r="F307" s="84" t="s">
        <v>111</v>
      </c>
      <c r="G307" s="1045" t="s">
        <v>7234</v>
      </c>
      <c r="H307" s="785">
        <v>45749</v>
      </c>
      <c r="I307" s="507">
        <v>0</v>
      </c>
      <c r="J307" s="484">
        <v>100</v>
      </c>
      <c r="K307" s="84" t="s">
        <v>4664</v>
      </c>
      <c r="L307" s="127" t="s">
        <v>5078</v>
      </c>
      <c r="M307" s="127" t="s">
        <v>7235</v>
      </c>
      <c r="N307" s="287" t="s">
        <v>7236</v>
      </c>
      <c r="O307" s="146"/>
      <c r="P307" s="146" t="s">
        <v>7237</v>
      </c>
      <c r="S307" s="84"/>
    </row>
    <row r="308" spans="1:19" x14ac:dyDescent="0.35">
      <c r="B308" s="851">
        <v>45954</v>
      </c>
      <c r="C308" s="851" t="s">
        <v>177</v>
      </c>
      <c r="D308" s="783" t="s">
        <v>7232</v>
      </c>
      <c r="E308" s="84" t="s">
        <v>7233</v>
      </c>
      <c r="F308" s="84" t="s">
        <v>126</v>
      </c>
      <c r="G308" s="87" t="s">
        <v>7238</v>
      </c>
      <c r="H308" s="785">
        <v>45744</v>
      </c>
      <c r="I308" s="507">
        <v>0</v>
      </c>
      <c r="J308" s="484">
        <v>99</v>
      </c>
      <c r="K308" s="84"/>
      <c r="L308" s="127" t="s">
        <v>638</v>
      </c>
      <c r="N308" s="287" t="s">
        <v>7239</v>
      </c>
      <c r="O308" s="146"/>
      <c r="P308" s="146" t="s">
        <v>7240</v>
      </c>
      <c r="S308" s="84"/>
    </row>
    <row r="309" spans="1:19" x14ac:dyDescent="0.35">
      <c r="B309" s="851">
        <v>45954</v>
      </c>
      <c r="C309" s="851" t="s">
        <v>177</v>
      </c>
      <c r="D309" s="783" t="s">
        <v>7232</v>
      </c>
      <c r="E309" s="84" t="s">
        <v>7233</v>
      </c>
      <c r="F309" s="84" t="s">
        <v>174</v>
      </c>
      <c r="G309" s="87" t="s">
        <v>7241</v>
      </c>
      <c r="H309" s="785">
        <v>45881</v>
      </c>
      <c r="I309" s="507">
        <v>99</v>
      </c>
      <c r="J309" s="484">
        <v>0</v>
      </c>
      <c r="K309" s="84" t="s">
        <v>4955</v>
      </c>
      <c r="L309" s="127" t="s">
        <v>6106</v>
      </c>
      <c r="M309" s="127" t="s">
        <v>7242</v>
      </c>
      <c r="N309" s="287" t="s">
        <v>7243</v>
      </c>
      <c r="O309" s="146" t="s">
        <v>6398</v>
      </c>
      <c r="P309" s="146" t="s">
        <v>7244</v>
      </c>
      <c r="S309" s="84"/>
    </row>
    <row r="310" spans="1:19" x14ac:dyDescent="0.35">
      <c r="B310" s="851">
        <v>45954</v>
      </c>
      <c r="C310" s="851" t="s">
        <v>177</v>
      </c>
      <c r="D310" s="783" t="s">
        <v>7245</v>
      </c>
      <c r="E310" s="84" t="s">
        <v>7233</v>
      </c>
      <c r="F310" s="84" t="s">
        <v>111</v>
      </c>
      <c r="G310" s="1045" t="s">
        <v>7246</v>
      </c>
      <c r="H310" s="785">
        <v>45719</v>
      </c>
      <c r="I310" s="507">
        <v>0</v>
      </c>
      <c r="J310" s="484">
        <v>100</v>
      </c>
      <c r="K310" s="84" t="s">
        <v>4664</v>
      </c>
      <c r="L310" s="127" t="s">
        <v>4533</v>
      </c>
      <c r="M310" s="127" t="s">
        <v>7247</v>
      </c>
      <c r="N310" s="287" t="s">
        <v>7248</v>
      </c>
      <c r="O310" s="146"/>
      <c r="P310" s="146" t="s">
        <v>7249</v>
      </c>
      <c r="S310" s="84"/>
    </row>
    <row r="311" spans="1:19" x14ac:dyDescent="0.35">
      <c r="A311" s="84" t="s">
        <v>7250</v>
      </c>
      <c r="B311" s="851">
        <v>45954</v>
      </c>
      <c r="C311" s="851" t="s">
        <v>177</v>
      </c>
      <c r="D311" s="783" t="s">
        <v>7251</v>
      </c>
      <c r="E311" s="84" t="s">
        <v>7233</v>
      </c>
      <c r="F311" s="84" t="s">
        <v>175</v>
      </c>
      <c r="G311" s="87" t="s">
        <v>7114</v>
      </c>
      <c r="H311" s="785">
        <v>45783</v>
      </c>
      <c r="I311" s="507">
        <v>0</v>
      </c>
      <c r="J311" s="484">
        <v>99</v>
      </c>
      <c r="L311" s="1162" t="s">
        <v>954</v>
      </c>
      <c r="N311" s="287" t="s">
        <v>7115</v>
      </c>
      <c r="O311" s="146" t="s">
        <v>4722</v>
      </c>
      <c r="P311" s="146" t="s">
        <v>7116</v>
      </c>
      <c r="Q311" s="484" t="s">
        <v>7117</v>
      </c>
      <c r="R311" s="484" t="s">
        <v>7118</v>
      </c>
      <c r="S311" s="484" t="s">
        <v>7119</v>
      </c>
    </row>
    <row r="312" spans="1:19" x14ac:dyDescent="0.35">
      <c r="B312" s="851">
        <v>45954</v>
      </c>
      <c r="C312" s="851" t="s">
        <v>177</v>
      </c>
      <c r="D312" s="783" t="s">
        <v>7251</v>
      </c>
      <c r="E312" s="84" t="s">
        <v>7233</v>
      </c>
      <c r="F312" s="84" t="s">
        <v>174</v>
      </c>
      <c r="G312" s="87" t="s">
        <v>7252</v>
      </c>
      <c r="H312" s="785">
        <v>45815</v>
      </c>
      <c r="I312" s="507">
        <v>0</v>
      </c>
      <c r="J312" s="484">
        <f>297/3</f>
        <v>99</v>
      </c>
      <c r="L312" s="127" t="s">
        <v>7253</v>
      </c>
      <c r="M312" s="516" t="s">
        <v>7254</v>
      </c>
      <c r="N312" s="287" t="s">
        <v>7255</v>
      </c>
      <c r="O312" s="146"/>
      <c r="P312" s="146" t="s">
        <v>7256</v>
      </c>
      <c r="Q312" s="484" t="s">
        <v>7257</v>
      </c>
      <c r="S312" s="84" t="s">
        <v>5691</v>
      </c>
    </row>
    <row r="313" spans="1:19" x14ac:dyDescent="0.35">
      <c r="B313" s="851">
        <v>45954</v>
      </c>
      <c r="C313" s="851" t="s">
        <v>177</v>
      </c>
      <c r="D313" s="783" t="s">
        <v>7245</v>
      </c>
      <c r="E313" s="84" t="s">
        <v>7233</v>
      </c>
      <c r="F313" s="84" t="s">
        <v>174</v>
      </c>
      <c r="G313" s="87" t="s">
        <v>7252</v>
      </c>
      <c r="H313" s="785">
        <v>45815</v>
      </c>
      <c r="I313" s="507">
        <v>0</v>
      </c>
      <c r="J313" s="484">
        <f>297/3</f>
        <v>99</v>
      </c>
      <c r="L313" s="127" t="s">
        <v>7253</v>
      </c>
      <c r="M313" s="516" t="s">
        <v>7254</v>
      </c>
      <c r="N313" s="287" t="s">
        <v>7255</v>
      </c>
      <c r="O313" s="146"/>
      <c r="P313" s="146" t="s">
        <v>7256</v>
      </c>
      <c r="Q313" s="484" t="s">
        <v>7257</v>
      </c>
      <c r="S313" s="84" t="s">
        <v>5691</v>
      </c>
    </row>
    <row r="314" spans="1:19" x14ac:dyDescent="0.35">
      <c r="B314" s="851">
        <v>45954</v>
      </c>
      <c r="C314" s="851" t="s">
        <v>177</v>
      </c>
      <c r="D314" s="783" t="s">
        <v>7245</v>
      </c>
      <c r="E314" s="84" t="s">
        <v>7233</v>
      </c>
      <c r="F314" s="84" t="s">
        <v>174</v>
      </c>
      <c r="G314" s="87" t="s">
        <v>7252</v>
      </c>
      <c r="H314" s="785">
        <v>45815</v>
      </c>
      <c r="I314" s="507">
        <v>0</v>
      </c>
      <c r="J314" s="484">
        <f>297/3</f>
        <v>99</v>
      </c>
      <c r="L314" s="127" t="s">
        <v>7253</v>
      </c>
      <c r="M314" s="516" t="s">
        <v>7254</v>
      </c>
      <c r="N314" s="287" t="s">
        <v>7255</v>
      </c>
      <c r="O314" s="146"/>
      <c r="P314" s="146" t="s">
        <v>7256</v>
      </c>
      <c r="Q314" s="484" t="s">
        <v>7257</v>
      </c>
      <c r="S314" s="84" t="s">
        <v>5691</v>
      </c>
    </row>
    <row r="315" spans="1:19" x14ac:dyDescent="0.35">
      <c r="B315" s="851"/>
      <c r="C315" s="851"/>
      <c r="D315" s="783"/>
      <c r="E315" s="84"/>
      <c r="F315" s="84"/>
      <c r="G315" s="87"/>
      <c r="H315" s="785"/>
      <c r="N315" s="287"/>
      <c r="O315" s="146"/>
      <c r="P315" s="146"/>
    </row>
    <row r="316" spans="1:19" x14ac:dyDescent="0.35">
      <c r="B316" s="851"/>
      <c r="C316" s="851"/>
      <c r="D316" s="783"/>
      <c r="E316" s="84"/>
      <c r="F316" s="84"/>
      <c r="G316" s="87"/>
      <c r="H316" s="785"/>
      <c r="N316" s="287"/>
      <c r="O316" s="146"/>
      <c r="P316" s="146"/>
    </row>
    <row r="317" spans="1:19" x14ac:dyDescent="0.35">
      <c r="B317" s="851">
        <v>45955</v>
      </c>
      <c r="C317" s="851" t="s">
        <v>177</v>
      </c>
      <c r="D317" s="1107" t="s">
        <v>7226</v>
      </c>
      <c r="E317" s="84" t="s">
        <v>6471</v>
      </c>
      <c r="F317" s="84" t="s">
        <v>126</v>
      </c>
      <c r="G317" s="87" t="s">
        <v>7258</v>
      </c>
      <c r="H317" s="785">
        <v>45881</v>
      </c>
      <c r="I317" s="507">
        <v>0</v>
      </c>
      <c r="J317" s="484">
        <v>150</v>
      </c>
      <c r="K317" s="84"/>
      <c r="L317" s="127" t="s">
        <v>644</v>
      </c>
      <c r="N317" s="1167" t="s">
        <v>7259</v>
      </c>
      <c r="O317" s="146"/>
      <c r="P317" s="146" t="s">
        <v>7260</v>
      </c>
      <c r="S317" s="84"/>
    </row>
    <row r="318" spans="1:19" x14ac:dyDescent="0.35">
      <c r="B318" s="851">
        <v>45955</v>
      </c>
      <c r="C318" s="851" t="s">
        <v>177</v>
      </c>
      <c r="D318" s="1107" t="s">
        <v>7226</v>
      </c>
      <c r="E318" s="84" t="s">
        <v>6471</v>
      </c>
      <c r="F318" s="84" t="s">
        <v>126</v>
      </c>
      <c r="G318" s="1045" t="s">
        <v>7261</v>
      </c>
      <c r="H318" s="785">
        <v>45733</v>
      </c>
      <c r="I318" s="507">
        <v>0</v>
      </c>
      <c r="J318" s="484">
        <v>150</v>
      </c>
      <c r="K318" s="84"/>
      <c r="L318" s="127" t="s">
        <v>640</v>
      </c>
      <c r="N318" s="287" t="s">
        <v>7262</v>
      </c>
      <c r="O318" s="146"/>
      <c r="P318" s="146" t="s">
        <v>7263</v>
      </c>
      <c r="Q318" s="484" t="s">
        <v>7264</v>
      </c>
      <c r="S318" s="84"/>
    </row>
    <row r="319" spans="1:19" x14ac:dyDescent="0.35">
      <c r="B319" s="851">
        <v>45955</v>
      </c>
      <c r="C319" s="851" t="s">
        <v>177</v>
      </c>
      <c r="D319" s="1107" t="s">
        <v>7226</v>
      </c>
      <c r="E319" s="84" t="s">
        <v>6471</v>
      </c>
      <c r="F319" s="84" t="s">
        <v>126</v>
      </c>
      <c r="G319" s="87" t="s">
        <v>7265</v>
      </c>
      <c r="H319" s="785">
        <v>45733</v>
      </c>
      <c r="I319" s="507">
        <v>0</v>
      </c>
      <c r="J319" s="484">
        <v>150</v>
      </c>
      <c r="K319" s="84"/>
      <c r="L319" s="127" t="s">
        <v>639</v>
      </c>
      <c r="N319" s="287" t="s">
        <v>7266</v>
      </c>
      <c r="O319" s="146"/>
      <c r="P319" s="146" t="s">
        <v>7267</v>
      </c>
      <c r="S319" s="84"/>
    </row>
    <row r="320" spans="1:19" x14ac:dyDescent="0.35">
      <c r="A320" s="84" t="s">
        <v>7268</v>
      </c>
      <c r="B320" s="851">
        <v>45955</v>
      </c>
      <c r="C320" s="851" t="s">
        <v>177</v>
      </c>
      <c r="D320" s="1107" t="s">
        <v>7226</v>
      </c>
      <c r="E320" s="84" t="s">
        <v>6471</v>
      </c>
      <c r="F320" s="84" t="s">
        <v>126</v>
      </c>
      <c r="G320" s="87" t="s">
        <v>7269</v>
      </c>
      <c r="H320" s="785">
        <v>45742</v>
      </c>
      <c r="J320" s="484">
        <v>150</v>
      </c>
      <c r="K320" s="84"/>
      <c r="L320" s="127" t="s">
        <v>641</v>
      </c>
      <c r="N320" s="287" t="s">
        <v>7270</v>
      </c>
      <c r="O320" s="146"/>
      <c r="P320" s="146" t="s">
        <v>7271</v>
      </c>
      <c r="Q320" s="484" t="s">
        <v>7272</v>
      </c>
      <c r="S320" s="84"/>
    </row>
    <row r="321" spans="1:19" x14ac:dyDescent="0.35">
      <c r="A321" s="84" t="s">
        <v>7268</v>
      </c>
      <c r="B321" s="851">
        <v>45955</v>
      </c>
      <c r="C321" s="851" t="s">
        <v>177</v>
      </c>
      <c r="D321" s="1107" t="s">
        <v>7226</v>
      </c>
      <c r="E321" s="84" t="s">
        <v>6471</v>
      </c>
      <c r="F321" s="84" t="s">
        <v>126</v>
      </c>
      <c r="G321" s="87" t="s">
        <v>7273</v>
      </c>
      <c r="H321" s="785">
        <v>45748</v>
      </c>
      <c r="I321" s="507">
        <v>0</v>
      </c>
      <c r="J321" s="484">
        <v>150</v>
      </c>
      <c r="K321" s="84"/>
      <c r="L321" s="127" t="s">
        <v>642</v>
      </c>
      <c r="N321" s="287" t="s">
        <v>7274</v>
      </c>
      <c r="O321" s="146"/>
      <c r="P321" s="146" t="s">
        <v>7275</v>
      </c>
      <c r="S321" s="84"/>
    </row>
    <row r="322" spans="1:19" x14ac:dyDescent="0.35">
      <c r="A322" s="484" t="s">
        <v>7276</v>
      </c>
      <c r="B322" s="879">
        <v>45955</v>
      </c>
      <c r="C322" s="879" t="s">
        <v>7276</v>
      </c>
      <c r="D322" s="1107" t="s">
        <v>7226</v>
      </c>
      <c r="E322" s="84" t="s">
        <v>6471</v>
      </c>
      <c r="F322" s="84" t="s">
        <v>126</v>
      </c>
      <c r="G322" s="87" t="s">
        <v>7277</v>
      </c>
      <c r="H322" s="785">
        <v>45769</v>
      </c>
      <c r="I322" s="507">
        <v>0</v>
      </c>
      <c r="J322" s="484">
        <v>150</v>
      </c>
      <c r="K322" s="84"/>
      <c r="L322" s="1162" t="s">
        <v>386</v>
      </c>
      <c r="N322" s="287" t="s">
        <v>7004</v>
      </c>
      <c r="O322" s="146"/>
      <c r="P322" s="146" t="s">
        <v>7005</v>
      </c>
      <c r="S322" s="84"/>
    </row>
    <row r="323" spans="1:19" x14ac:dyDescent="0.35">
      <c r="B323" s="851">
        <v>45955</v>
      </c>
      <c r="C323" s="851" t="s">
        <v>177</v>
      </c>
      <c r="D323" s="783" t="s">
        <v>7232</v>
      </c>
      <c r="E323" s="84" t="s">
        <v>6471</v>
      </c>
      <c r="F323" s="84" t="s">
        <v>126</v>
      </c>
      <c r="G323" s="87" t="s">
        <v>7278</v>
      </c>
      <c r="H323" s="785">
        <v>45741</v>
      </c>
      <c r="I323" s="507">
        <v>0</v>
      </c>
      <c r="J323" s="484">
        <v>99</v>
      </c>
      <c r="K323" s="84"/>
      <c r="L323" s="127" t="s">
        <v>643</v>
      </c>
      <c r="N323" s="287" t="s">
        <v>7008</v>
      </c>
      <c r="O323" s="146"/>
      <c r="P323" s="146"/>
      <c r="S323" s="84"/>
    </row>
    <row r="324" spans="1:19" x14ac:dyDescent="0.35">
      <c r="B324" s="851">
        <v>45955</v>
      </c>
      <c r="C324" s="851" t="s">
        <v>7279</v>
      </c>
      <c r="D324" s="783" t="s">
        <v>7280</v>
      </c>
      <c r="E324" s="84" t="s">
        <v>7233</v>
      </c>
      <c r="F324" s="84" t="s">
        <v>1594</v>
      </c>
      <c r="G324" s="1045" t="s">
        <v>7281</v>
      </c>
      <c r="H324" s="785">
        <v>45748</v>
      </c>
      <c r="I324" s="507">
        <v>100</v>
      </c>
      <c r="J324" s="484">
        <v>0</v>
      </c>
      <c r="K324" s="84"/>
      <c r="L324" s="127" t="s">
        <v>7282</v>
      </c>
      <c r="M324" s="127" t="s">
        <v>7079</v>
      </c>
      <c r="N324" s="287" t="s">
        <v>7283</v>
      </c>
      <c r="P324" s="146" t="s">
        <v>7284</v>
      </c>
      <c r="S324" s="84"/>
    </row>
    <row r="325" spans="1:19" x14ac:dyDescent="0.35">
      <c r="B325" s="851">
        <v>45955</v>
      </c>
      <c r="C325" s="851" t="s">
        <v>177</v>
      </c>
      <c r="D325" s="783" t="s">
        <v>7251</v>
      </c>
      <c r="E325" s="84" t="s">
        <v>7233</v>
      </c>
      <c r="F325" s="84" t="s">
        <v>126</v>
      </c>
      <c r="G325" s="87" t="s">
        <v>7285</v>
      </c>
      <c r="H325" s="785">
        <v>45751</v>
      </c>
      <c r="I325" s="507">
        <v>0</v>
      </c>
      <c r="J325" s="484">
        <v>99</v>
      </c>
      <c r="K325" s="84"/>
      <c r="L325" s="127" t="s">
        <v>645</v>
      </c>
      <c r="N325" s="287" t="s">
        <v>7286</v>
      </c>
      <c r="O325" s="146"/>
      <c r="P325" s="146" t="s">
        <v>7287</v>
      </c>
      <c r="S325" s="84"/>
    </row>
    <row r="326" spans="1:19" x14ac:dyDescent="0.35">
      <c r="B326" s="851"/>
      <c r="C326" s="851"/>
      <c r="D326" s="84"/>
      <c r="E326" s="84"/>
      <c r="F326" s="84"/>
      <c r="G326" s="87"/>
      <c r="H326" s="785"/>
      <c r="K326" s="84"/>
      <c r="L326" s="127"/>
      <c r="N326" s="287"/>
      <c r="O326" s="146"/>
      <c r="P326" s="146"/>
      <c r="S326" s="84"/>
    </row>
    <row r="327" spans="1:19" x14ac:dyDescent="0.35">
      <c r="B327" s="851"/>
      <c r="C327" s="851"/>
      <c r="D327" s="84"/>
      <c r="E327" s="84"/>
      <c r="F327" s="84"/>
      <c r="G327" s="87"/>
      <c r="H327" s="785"/>
      <c r="K327" s="84"/>
      <c r="L327" s="127"/>
      <c r="N327" s="287"/>
      <c r="O327" s="146"/>
      <c r="P327" s="146"/>
      <c r="S327" s="84"/>
    </row>
    <row r="328" spans="1:19" x14ac:dyDescent="0.35">
      <c r="B328" s="851">
        <v>45956</v>
      </c>
      <c r="C328" s="851" t="s">
        <v>177</v>
      </c>
      <c r="D328" s="783" t="s">
        <v>7251</v>
      </c>
      <c r="E328" s="84" t="s">
        <v>7233</v>
      </c>
      <c r="F328" s="84" t="s">
        <v>126</v>
      </c>
      <c r="G328" s="87" t="s">
        <v>7288</v>
      </c>
      <c r="H328" s="785">
        <v>45769</v>
      </c>
      <c r="I328" s="507">
        <v>0</v>
      </c>
      <c r="J328" s="484">
        <v>99</v>
      </c>
      <c r="K328" s="84"/>
      <c r="L328" s="127" t="s">
        <v>650</v>
      </c>
      <c r="N328" s="287" t="s">
        <v>6734</v>
      </c>
      <c r="O328" s="146"/>
      <c r="P328" s="146"/>
      <c r="S328" s="84"/>
    </row>
    <row r="329" spans="1:19" x14ac:dyDescent="0.35">
      <c r="B329" s="851">
        <v>45956</v>
      </c>
      <c r="C329" s="851" t="s">
        <v>177</v>
      </c>
      <c r="D329" s="783" t="s">
        <v>7251</v>
      </c>
      <c r="E329" s="84" t="s">
        <v>7233</v>
      </c>
      <c r="F329" s="84" t="s">
        <v>174</v>
      </c>
      <c r="G329" s="87" t="s">
        <v>7289</v>
      </c>
      <c r="H329" s="785">
        <v>45792</v>
      </c>
      <c r="I329" s="507">
        <v>99</v>
      </c>
      <c r="K329" s="84"/>
      <c r="L329" s="127" t="s">
        <v>513</v>
      </c>
      <c r="M329" s="127" t="s">
        <v>5355</v>
      </c>
      <c r="N329" s="287" t="s">
        <v>7290</v>
      </c>
      <c r="O329" s="146" t="s">
        <v>4689</v>
      </c>
      <c r="P329" s="146" t="s">
        <v>7291</v>
      </c>
      <c r="Q329" s="84" t="s">
        <v>7292</v>
      </c>
      <c r="S329" s="84"/>
    </row>
    <row r="330" spans="1:19" x14ac:dyDescent="0.35">
      <c r="B330" s="851">
        <v>45956</v>
      </c>
      <c r="C330" s="851" t="s">
        <v>177</v>
      </c>
      <c r="D330" s="1107" t="s">
        <v>7226</v>
      </c>
      <c r="E330" s="84" t="s">
        <v>6471</v>
      </c>
      <c r="F330" s="84" t="s">
        <v>177</v>
      </c>
      <c r="G330" s="87" t="s">
        <v>7293</v>
      </c>
      <c r="H330" s="785">
        <v>45905</v>
      </c>
      <c r="I330" s="507">
        <v>150</v>
      </c>
      <c r="J330" s="484">
        <v>0</v>
      </c>
      <c r="K330" s="146" t="s">
        <v>4872</v>
      </c>
      <c r="L330" s="127" t="s">
        <v>770</v>
      </c>
      <c r="M330" s="127"/>
      <c r="N330" s="287" t="s">
        <v>7294</v>
      </c>
      <c r="O330" s="146"/>
      <c r="P330" s="146" t="s">
        <v>7295</v>
      </c>
      <c r="Q330" s="84"/>
      <c r="S330" s="84"/>
    </row>
    <row r="331" spans="1:19" x14ac:dyDescent="0.35">
      <c r="B331" s="851">
        <v>45956</v>
      </c>
      <c r="C331" s="851" t="s">
        <v>177</v>
      </c>
      <c r="D331" s="1107" t="s">
        <v>7226</v>
      </c>
      <c r="E331" s="84" t="s">
        <v>6471</v>
      </c>
      <c r="F331" s="84" t="s">
        <v>126</v>
      </c>
      <c r="G331" s="87" t="s">
        <v>7296</v>
      </c>
      <c r="H331" s="785">
        <v>45881</v>
      </c>
      <c r="I331" s="507">
        <v>0</v>
      </c>
      <c r="J331" s="484">
        <v>150</v>
      </c>
      <c r="K331" s="84"/>
      <c r="L331" s="127" t="s">
        <v>646</v>
      </c>
      <c r="N331" s="1167" t="s">
        <v>7297</v>
      </c>
      <c r="O331" s="146"/>
      <c r="P331" s="146" t="s">
        <v>7298</v>
      </c>
      <c r="S331" s="84"/>
    </row>
    <row r="332" spans="1:19" x14ac:dyDescent="0.35">
      <c r="B332" s="851">
        <v>45956</v>
      </c>
      <c r="C332" s="851" t="s">
        <v>177</v>
      </c>
      <c r="D332" s="1107" t="s">
        <v>7226</v>
      </c>
      <c r="E332" s="84" t="s">
        <v>6471</v>
      </c>
      <c r="F332" s="84" t="s">
        <v>126</v>
      </c>
      <c r="G332" s="87" t="s">
        <v>7299</v>
      </c>
      <c r="H332" s="785">
        <v>45910</v>
      </c>
      <c r="I332" s="507">
        <v>0</v>
      </c>
      <c r="J332" s="484">
        <v>150</v>
      </c>
      <c r="K332" s="84"/>
      <c r="L332" s="127" t="s">
        <v>647</v>
      </c>
      <c r="N332" s="287" t="s">
        <v>7300</v>
      </c>
      <c r="O332" s="146"/>
      <c r="P332" s="146"/>
      <c r="S332" s="84"/>
    </row>
    <row r="333" spans="1:19" x14ac:dyDescent="0.35">
      <c r="A333" s="84" t="s">
        <v>4074</v>
      </c>
      <c r="B333" s="879">
        <v>45956</v>
      </c>
      <c r="C333" s="879" t="s">
        <v>177</v>
      </c>
      <c r="D333" s="1185" t="s">
        <v>7226</v>
      </c>
      <c r="E333" s="607" t="s">
        <v>6471</v>
      </c>
      <c r="F333" s="607" t="s">
        <v>126</v>
      </c>
      <c r="G333" s="608" t="s">
        <v>7301</v>
      </c>
      <c r="H333" s="899">
        <v>45923</v>
      </c>
      <c r="I333" s="609"/>
      <c r="J333" s="607">
        <v>150</v>
      </c>
      <c r="K333" s="607"/>
      <c r="L333" s="1162" t="s">
        <v>648</v>
      </c>
      <c r="N333" s="1167" t="s">
        <v>7302</v>
      </c>
      <c r="O333" s="146"/>
      <c r="P333" s="146" t="s">
        <v>7303</v>
      </c>
      <c r="S333" s="84"/>
    </row>
    <row r="334" spans="1:19" x14ac:dyDescent="0.35">
      <c r="B334" s="851">
        <v>45956</v>
      </c>
      <c r="C334" s="851" t="s">
        <v>177</v>
      </c>
      <c r="D334" s="1107" t="s">
        <v>7226</v>
      </c>
      <c r="E334" s="84" t="s">
        <v>6471</v>
      </c>
      <c r="F334" s="84" t="s">
        <v>126</v>
      </c>
      <c r="G334" s="87" t="s">
        <v>7304</v>
      </c>
      <c r="H334" s="785">
        <v>45940</v>
      </c>
      <c r="J334" s="484">
        <v>150</v>
      </c>
      <c r="K334" s="84"/>
      <c r="L334" s="127" t="s">
        <v>649</v>
      </c>
      <c r="N334" s="287" t="s">
        <v>7305</v>
      </c>
      <c r="O334" s="146"/>
      <c r="P334" s="146" t="s">
        <v>7306</v>
      </c>
      <c r="R334" s="287" t="s">
        <v>7307</v>
      </c>
      <c r="S334" s="84"/>
    </row>
    <row r="335" spans="1:19" x14ac:dyDescent="0.35">
      <c r="B335" s="851"/>
      <c r="C335" s="851"/>
      <c r="D335" s="84"/>
      <c r="E335" s="84"/>
      <c r="F335" s="84"/>
      <c r="G335" s="87"/>
      <c r="H335" s="785"/>
      <c r="K335" s="84"/>
      <c r="L335" s="127"/>
      <c r="N335" s="287"/>
      <c r="O335" s="146"/>
      <c r="P335" s="146"/>
      <c r="S335" s="84"/>
    </row>
    <row r="336" spans="1:19" x14ac:dyDescent="0.35">
      <c r="A336" s="84" t="s">
        <v>7308</v>
      </c>
      <c r="B336" s="879">
        <v>45959</v>
      </c>
      <c r="C336" s="879" t="s">
        <v>177</v>
      </c>
      <c r="D336" s="878" t="s">
        <v>7251</v>
      </c>
      <c r="E336" s="607" t="s">
        <v>5375</v>
      </c>
      <c r="F336" s="607" t="s">
        <v>174</v>
      </c>
      <c r="G336" s="608" t="s">
        <v>7309</v>
      </c>
      <c r="H336" s="899">
        <v>45824</v>
      </c>
      <c r="I336" s="609">
        <v>99</v>
      </c>
      <c r="J336" s="607"/>
      <c r="K336" s="607" t="s">
        <v>5045</v>
      </c>
      <c r="L336" s="1162" t="s">
        <v>7310</v>
      </c>
      <c r="M336" s="1162" t="s">
        <v>7311</v>
      </c>
      <c r="N336" s="287" t="s">
        <v>7312</v>
      </c>
      <c r="O336" s="146" t="s">
        <v>6530</v>
      </c>
      <c r="P336" s="146" t="s">
        <v>7313</v>
      </c>
      <c r="S336" s="84" t="s">
        <v>7314</v>
      </c>
    </row>
    <row r="337" spans="1:19" x14ac:dyDescent="0.35">
      <c r="S337" s="84"/>
    </row>
    <row r="338" spans="1:19" x14ac:dyDescent="0.35">
      <c r="B338" s="851"/>
      <c r="C338" s="851"/>
      <c r="D338" s="783"/>
      <c r="E338" s="84"/>
      <c r="F338" s="84"/>
      <c r="G338" s="87"/>
      <c r="H338" s="785"/>
      <c r="K338" s="84"/>
      <c r="L338" s="127"/>
      <c r="M338" s="127"/>
      <c r="N338" s="287"/>
      <c r="O338" s="146"/>
      <c r="P338" s="146"/>
      <c r="S338" s="84"/>
    </row>
    <row r="339" spans="1:19" x14ac:dyDescent="0.35">
      <c r="B339" s="851"/>
      <c r="C339" s="851"/>
      <c r="D339" s="783"/>
      <c r="E339" s="84"/>
      <c r="F339" s="84"/>
      <c r="G339" s="87"/>
      <c r="H339" s="785"/>
      <c r="K339" s="84"/>
      <c r="L339" s="127"/>
      <c r="M339" s="127"/>
      <c r="N339" s="287"/>
      <c r="O339" s="146"/>
      <c r="P339" s="146"/>
      <c r="S339" s="84"/>
    </row>
    <row r="340" spans="1:19" x14ac:dyDescent="0.35">
      <c r="B340" s="851">
        <v>45960</v>
      </c>
      <c r="C340" s="851" t="s">
        <v>177</v>
      </c>
      <c r="D340" s="783" t="s">
        <v>7232</v>
      </c>
      <c r="E340" s="84" t="s">
        <v>5375</v>
      </c>
      <c r="F340" s="84" t="s">
        <v>180</v>
      </c>
      <c r="G340" s="87" t="s">
        <v>7315</v>
      </c>
      <c r="H340" s="785">
        <v>45699</v>
      </c>
      <c r="J340" s="484">
        <v>100</v>
      </c>
      <c r="K340" s="84" t="s">
        <v>4955</v>
      </c>
      <c r="L340" s="127" t="s">
        <v>7316</v>
      </c>
      <c r="M340" s="127" t="s">
        <v>7317</v>
      </c>
      <c r="N340" s="287" t="s">
        <v>7318</v>
      </c>
      <c r="O340" s="146"/>
      <c r="P340" s="146" t="s">
        <v>7319</v>
      </c>
      <c r="S340" s="84"/>
    </row>
    <row r="341" spans="1:19" x14ac:dyDescent="0.35">
      <c r="B341" s="851">
        <v>45960</v>
      </c>
      <c r="C341" s="783" t="s">
        <v>177</v>
      </c>
      <c r="D341" s="783" t="s">
        <v>7232</v>
      </c>
      <c r="E341" s="84" t="s">
        <v>5375</v>
      </c>
      <c r="F341" s="84" t="s">
        <v>7320</v>
      </c>
      <c r="G341" s="87" t="s">
        <v>7321</v>
      </c>
      <c r="H341" s="785">
        <v>45818</v>
      </c>
      <c r="I341" s="507">
        <v>79.2</v>
      </c>
      <c r="J341" s="484">
        <v>0</v>
      </c>
      <c r="K341" s="84" t="s">
        <v>4664</v>
      </c>
      <c r="L341" s="127" t="s">
        <v>4192</v>
      </c>
      <c r="M341" s="127" t="s">
        <v>7322</v>
      </c>
      <c r="N341" s="287" t="s">
        <v>7323</v>
      </c>
      <c r="O341" s="146" t="s">
        <v>4749</v>
      </c>
      <c r="P341" s="146" t="s">
        <v>7324</v>
      </c>
      <c r="Q341" s="484" t="s">
        <v>7325</v>
      </c>
      <c r="R341" s="484" t="s">
        <v>7326</v>
      </c>
      <c r="S341" s="484" t="s">
        <v>7327</v>
      </c>
    </row>
    <row r="342" spans="1:19" x14ac:dyDescent="0.35">
      <c r="B342" s="851">
        <v>45960</v>
      </c>
      <c r="C342" s="783" t="s">
        <v>177</v>
      </c>
      <c r="D342" s="783" t="s">
        <v>7232</v>
      </c>
      <c r="E342" s="84"/>
      <c r="F342" s="84" t="s">
        <v>177</v>
      </c>
      <c r="G342" s="784" t="s">
        <v>7328</v>
      </c>
      <c r="H342" s="785">
        <v>45579</v>
      </c>
      <c r="I342" s="786">
        <v>99</v>
      </c>
      <c r="J342" s="784">
        <v>0</v>
      </c>
      <c r="K342" s="86" t="s">
        <v>4664</v>
      </c>
      <c r="L342" s="4" t="s">
        <v>6232</v>
      </c>
      <c r="M342" s="4" t="s">
        <v>7329</v>
      </c>
      <c r="N342" s="549" t="s">
        <v>7330</v>
      </c>
      <c r="O342" s="551" t="s">
        <v>5008</v>
      </c>
      <c r="P342" s="146" t="s">
        <v>7331</v>
      </c>
      <c r="Q342" s="484" t="s">
        <v>7332</v>
      </c>
      <c r="R342" s="84" t="s">
        <v>7333</v>
      </c>
      <c r="S342" s="87" t="s">
        <v>7334</v>
      </c>
    </row>
    <row r="343" spans="1:19" x14ac:dyDescent="0.35">
      <c r="B343" s="851">
        <v>45960</v>
      </c>
      <c r="C343" s="783" t="s">
        <v>177</v>
      </c>
      <c r="D343" s="1107" t="s">
        <v>7226</v>
      </c>
      <c r="E343" s="84" t="s">
        <v>6471</v>
      </c>
      <c r="F343" s="84" t="s">
        <v>174</v>
      </c>
      <c r="G343" s="784" t="s">
        <v>7335</v>
      </c>
      <c r="H343" s="785">
        <v>45862</v>
      </c>
      <c r="I343" s="786">
        <v>150</v>
      </c>
      <c r="J343" s="784">
        <v>0</v>
      </c>
      <c r="K343" s="86" t="s">
        <v>4664</v>
      </c>
      <c r="L343" s="4" t="s">
        <v>3975</v>
      </c>
      <c r="M343" s="4" t="s">
        <v>4245</v>
      </c>
      <c r="N343" s="549" t="s">
        <v>7336</v>
      </c>
      <c r="O343" s="551" t="s">
        <v>5014</v>
      </c>
      <c r="P343" s="146" t="s">
        <v>7337</v>
      </c>
      <c r="Q343" s="146" t="s">
        <v>7338</v>
      </c>
      <c r="R343" s="84"/>
      <c r="S343" s="87" t="s">
        <v>7339</v>
      </c>
    </row>
    <row r="344" spans="1:19" x14ac:dyDescent="0.35">
      <c r="B344" s="851">
        <v>45960</v>
      </c>
      <c r="C344" s="783" t="s">
        <v>177</v>
      </c>
      <c r="D344" s="783" t="s">
        <v>7245</v>
      </c>
      <c r="E344" s="84"/>
      <c r="F344" s="84" t="s">
        <v>177</v>
      </c>
      <c r="G344" s="784" t="s">
        <v>7340</v>
      </c>
      <c r="H344" s="785">
        <v>45906</v>
      </c>
      <c r="I344" s="786">
        <v>99</v>
      </c>
      <c r="J344" s="784">
        <v>0</v>
      </c>
      <c r="K344" s="86"/>
      <c r="L344" s="4" t="s">
        <v>769</v>
      </c>
      <c r="M344" s="4"/>
      <c r="N344" s="767" t="s">
        <v>7341</v>
      </c>
      <c r="O344" s="551" t="s">
        <v>5008</v>
      </c>
      <c r="P344" s="146" t="s">
        <v>7342</v>
      </c>
      <c r="R344" s="84"/>
      <c r="S344" s="87"/>
    </row>
    <row r="345" spans="1:19" x14ac:dyDescent="0.35">
      <c r="B345" s="851"/>
      <c r="C345" s="783"/>
      <c r="D345" s="783"/>
      <c r="E345" s="84"/>
      <c r="F345" s="84"/>
      <c r="G345" s="784"/>
      <c r="H345" s="785"/>
      <c r="I345" s="786"/>
      <c r="J345" s="784"/>
      <c r="K345" s="86"/>
      <c r="L345" s="4"/>
      <c r="M345" s="4"/>
      <c r="N345" s="549"/>
      <c r="O345" s="551"/>
      <c r="P345" s="146"/>
      <c r="R345" s="84"/>
      <c r="S345" s="87"/>
    </row>
    <row r="346" spans="1:19" x14ac:dyDescent="0.35">
      <c r="A346" s="607" t="s">
        <v>7268</v>
      </c>
      <c r="B346" s="851">
        <v>45961</v>
      </c>
      <c r="C346" s="783" t="s">
        <v>177</v>
      </c>
      <c r="D346" s="783" t="s">
        <v>7232</v>
      </c>
      <c r="E346" s="84"/>
      <c r="F346" s="84" t="s">
        <v>126</v>
      </c>
      <c r="G346" s="784" t="s">
        <v>7343</v>
      </c>
      <c r="H346" s="785">
        <v>45719</v>
      </c>
      <c r="I346" s="786"/>
      <c r="J346" s="784">
        <v>99</v>
      </c>
      <c r="K346" s="86"/>
      <c r="L346" s="4" t="s">
        <v>615</v>
      </c>
      <c r="M346" s="4"/>
      <c r="N346" s="291" t="s">
        <v>6904</v>
      </c>
      <c r="O346" s="551"/>
      <c r="P346" s="146" t="s">
        <v>6905</v>
      </c>
      <c r="R346" s="84"/>
      <c r="S346" s="87"/>
    </row>
    <row r="347" spans="1:19" x14ac:dyDescent="0.35">
      <c r="A347" s="607" t="s">
        <v>7268</v>
      </c>
      <c r="B347" s="851">
        <v>45961</v>
      </c>
      <c r="C347" s="783" t="s">
        <v>177</v>
      </c>
      <c r="D347" s="783" t="s">
        <v>7232</v>
      </c>
      <c r="E347" s="84"/>
      <c r="F347" s="84" t="s">
        <v>126</v>
      </c>
      <c r="G347" s="505" t="s">
        <v>7344</v>
      </c>
      <c r="H347" s="785">
        <v>45747</v>
      </c>
      <c r="J347" s="484">
        <v>99</v>
      </c>
      <c r="L347" s="484" t="s">
        <v>618</v>
      </c>
      <c r="N347" s="287" t="s">
        <v>6907</v>
      </c>
      <c r="O347" s="146"/>
      <c r="P347" s="146" t="s">
        <v>6908</v>
      </c>
    </row>
    <row r="351" spans="1:19" x14ac:dyDescent="0.35">
      <c r="B351" s="851"/>
      <c r="C351" s="783"/>
      <c r="D351" s="783"/>
      <c r="E351" s="84"/>
      <c r="F351" s="84"/>
      <c r="G351" s="87"/>
      <c r="H351" s="785"/>
      <c r="K351" s="84"/>
      <c r="N351" s="287"/>
      <c r="O351" s="146"/>
      <c r="P351" s="146"/>
    </row>
    <row r="352" spans="1:19" x14ac:dyDescent="0.35">
      <c r="B352" s="851"/>
      <c r="C352" s="851"/>
      <c r="D352" s="543"/>
      <c r="E352" s="84"/>
      <c r="F352" s="84"/>
      <c r="G352" s="96"/>
      <c r="H352" s="97"/>
      <c r="I352" s="6"/>
      <c r="J352" s="96"/>
      <c r="K352" s="86"/>
      <c r="L352" s="4"/>
      <c r="M352" s="4"/>
      <c r="N352" s="92"/>
      <c r="O352" s="94"/>
      <c r="P352" s="146"/>
      <c r="Q352" s="84"/>
      <c r="R352" s="84"/>
      <c r="S352" s="87"/>
    </row>
    <row r="353" spans="1:20" x14ac:dyDescent="0.35">
      <c r="B353" s="851"/>
    </row>
    <row r="354" spans="1:20" x14ac:dyDescent="0.35">
      <c r="A354" s="851"/>
      <c r="S354" s="84"/>
      <c r="T354" s="851"/>
    </row>
    <row r="356" spans="1:20" x14ac:dyDescent="0.35">
      <c r="B356" s="851"/>
      <c r="C356" s="84"/>
      <c r="D356" s="84"/>
      <c r="F356" s="84"/>
      <c r="G356" s="1080"/>
      <c r="H356" s="785"/>
      <c r="I356" s="784"/>
      <c r="J356" s="784"/>
      <c r="K356" s="830"/>
      <c r="L356" s="896"/>
      <c r="M356" s="829"/>
      <c r="N356" s="287"/>
      <c r="O356" s="829"/>
      <c r="P356" s="829"/>
      <c r="Q356" s="96"/>
      <c r="R356" s="96"/>
      <c r="S356" s="84"/>
    </row>
    <row r="357" spans="1:20" x14ac:dyDescent="0.35">
      <c r="B357" s="851"/>
      <c r="C357" s="84"/>
      <c r="D357" s="84"/>
      <c r="F357" s="84"/>
      <c r="G357" s="1080"/>
      <c r="H357" s="785"/>
      <c r="I357" s="784"/>
      <c r="J357" s="784"/>
      <c r="K357" s="830"/>
      <c r="L357" s="896"/>
      <c r="M357" s="829"/>
      <c r="N357" s="287"/>
      <c r="O357" s="829"/>
      <c r="P357" s="829"/>
      <c r="Q357" s="96"/>
      <c r="R357" s="96"/>
      <c r="S357" s="84"/>
    </row>
    <row r="358" spans="1:20" x14ac:dyDescent="0.35">
      <c r="B358" s="851">
        <v>45968</v>
      </c>
      <c r="C358" s="84" t="s">
        <v>7345</v>
      </c>
      <c r="D358" s="84"/>
      <c r="E358" s="84" t="s">
        <v>5593</v>
      </c>
      <c r="F358" s="84" t="s">
        <v>126</v>
      </c>
      <c r="G358" s="1080" t="s">
        <v>7346</v>
      </c>
      <c r="H358" s="785">
        <v>45727</v>
      </c>
      <c r="I358" s="784">
        <v>0</v>
      </c>
      <c r="J358" s="784">
        <v>12</v>
      </c>
      <c r="K358" s="830"/>
      <c r="L358" s="896" t="s">
        <v>7347</v>
      </c>
      <c r="M358" s="829" t="s">
        <v>7348</v>
      </c>
      <c r="N358" s="287" t="s">
        <v>7349</v>
      </c>
      <c r="O358" s="829"/>
      <c r="P358" s="829"/>
      <c r="Q358" s="96"/>
      <c r="R358" s="96"/>
      <c r="S358" s="84"/>
    </row>
    <row r="359" spans="1:20" x14ac:dyDescent="0.35">
      <c r="B359" s="851">
        <v>45968</v>
      </c>
      <c r="C359" s="84" t="s">
        <v>7345</v>
      </c>
      <c r="D359" s="84"/>
      <c r="E359" s="84" t="s">
        <v>5593</v>
      </c>
      <c r="F359" s="84" t="s">
        <v>126</v>
      </c>
      <c r="G359" s="1080" t="s">
        <v>7350</v>
      </c>
      <c r="H359" s="785">
        <v>45736</v>
      </c>
      <c r="I359" s="784">
        <v>0</v>
      </c>
      <c r="J359" s="784">
        <v>15</v>
      </c>
      <c r="K359" s="830"/>
      <c r="L359" s="896" t="s">
        <v>583</v>
      </c>
      <c r="M359" s="829"/>
      <c r="N359" s="287" t="s">
        <v>7351</v>
      </c>
      <c r="O359" s="829"/>
      <c r="P359" s="829"/>
      <c r="Q359" s="96"/>
      <c r="R359" s="96"/>
      <c r="S359" s="84"/>
    </row>
    <row r="360" spans="1:20" x14ac:dyDescent="0.35">
      <c r="B360" s="851">
        <v>45968</v>
      </c>
      <c r="C360" s="84" t="s">
        <v>7345</v>
      </c>
      <c r="D360" s="84"/>
      <c r="E360" s="84" t="s">
        <v>5593</v>
      </c>
      <c r="F360" s="84" t="s">
        <v>126</v>
      </c>
      <c r="G360" s="1080" t="s">
        <v>7352</v>
      </c>
      <c r="H360" s="785">
        <v>45736</v>
      </c>
      <c r="I360" s="784">
        <v>0</v>
      </c>
      <c r="J360" s="784">
        <v>15</v>
      </c>
      <c r="K360" s="830"/>
      <c r="L360" s="896" t="s">
        <v>585</v>
      </c>
      <c r="M360" s="829"/>
      <c r="N360" s="287" t="s">
        <v>7353</v>
      </c>
      <c r="O360" s="829"/>
      <c r="P360" s="829"/>
      <c r="Q360" s="96"/>
      <c r="R360" s="96"/>
      <c r="S360" s="84"/>
    </row>
    <row r="361" spans="1:20" x14ac:dyDescent="0.35">
      <c r="B361" s="851">
        <v>45968</v>
      </c>
      <c r="C361" s="84" t="s">
        <v>7345</v>
      </c>
      <c r="D361" s="84"/>
      <c r="E361" s="84" t="s">
        <v>5593</v>
      </c>
      <c r="F361" s="84" t="s">
        <v>126</v>
      </c>
      <c r="G361" s="1080" t="s">
        <v>7354</v>
      </c>
      <c r="H361" s="785">
        <v>45736</v>
      </c>
      <c r="I361" s="784">
        <v>0</v>
      </c>
      <c r="J361" s="784">
        <v>15</v>
      </c>
      <c r="K361" s="830"/>
      <c r="L361" s="896" t="s">
        <v>584</v>
      </c>
      <c r="M361" s="829"/>
      <c r="N361" s="287" t="s">
        <v>7355</v>
      </c>
      <c r="O361" s="829"/>
      <c r="P361" s="829"/>
      <c r="Q361" s="96"/>
      <c r="R361" s="96"/>
      <c r="S361" s="84"/>
    </row>
    <row r="362" spans="1:20" x14ac:dyDescent="0.35">
      <c r="B362" s="851">
        <v>45968</v>
      </c>
      <c r="C362" s="84" t="s">
        <v>7345</v>
      </c>
      <c r="D362" s="84"/>
      <c r="E362" s="84" t="s">
        <v>5593</v>
      </c>
      <c r="F362" s="84" t="s">
        <v>126</v>
      </c>
      <c r="G362" s="1080" t="s">
        <v>7356</v>
      </c>
      <c r="H362" s="785">
        <v>45737</v>
      </c>
      <c r="I362" s="784">
        <v>0</v>
      </c>
      <c r="J362" s="784">
        <v>15</v>
      </c>
      <c r="L362" s="516" t="s">
        <v>386</v>
      </c>
      <c r="M362" s="829"/>
      <c r="N362" s="287" t="s">
        <v>7004</v>
      </c>
      <c r="O362" s="829"/>
      <c r="P362" s="146" t="s">
        <v>7005</v>
      </c>
      <c r="Q362" s="287" t="s">
        <v>7006</v>
      </c>
      <c r="R362" s="96"/>
      <c r="S362" s="84"/>
    </row>
    <row r="363" spans="1:20" x14ac:dyDescent="0.35">
      <c r="B363" s="851">
        <v>45968</v>
      </c>
      <c r="C363" s="84" t="s">
        <v>7345</v>
      </c>
      <c r="D363" s="84"/>
      <c r="E363" s="84" t="s">
        <v>5593</v>
      </c>
      <c r="F363" s="84" t="s">
        <v>126</v>
      </c>
      <c r="G363" s="1080" t="s">
        <v>7357</v>
      </c>
      <c r="H363" s="785">
        <v>45739</v>
      </c>
      <c r="I363" s="784">
        <v>0</v>
      </c>
      <c r="J363" s="784">
        <v>15</v>
      </c>
      <c r="K363" s="830"/>
      <c r="L363" s="896" t="s">
        <v>586</v>
      </c>
      <c r="M363" s="829"/>
      <c r="N363" s="287" t="s">
        <v>7358</v>
      </c>
      <c r="O363" s="829"/>
      <c r="P363" s="829" t="s">
        <v>7359</v>
      </c>
      <c r="Q363" s="96"/>
      <c r="R363" s="96"/>
      <c r="S363" s="84"/>
    </row>
    <row r="364" spans="1:20" x14ac:dyDescent="0.35">
      <c r="B364" s="851">
        <v>45968</v>
      </c>
      <c r="C364" s="84" t="s">
        <v>7345</v>
      </c>
      <c r="D364" s="84"/>
      <c r="E364" s="84" t="s">
        <v>5593</v>
      </c>
      <c r="F364" s="84" t="s">
        <v>126</v>
      </c>
      <c r="G364" s="1080" t="s">
        <v>7360</v>
      </c>
      <c r="H364" s="785">
        <v>45740</v>
      </c>
      <c r="I364" s="784">
        <v>0</v>
      </c>
      <c r="J364" s="784">
        <v>15</v>
      </c>
      <c r="K364" s="830"/>
      <c r="L364" s="896" t="s">
        <v>587</v>
      </c>
      <c r="M364" s="829"/>
      <c r="N364" s="287" t="s">
        <v>7361</v>
      </c>
      <c r="O364" s="829"/>
      <c r="P364" s="829" t="s">
        <v>7362</v>
      </c>
      <c r="Q364" s="96"/>
      <c r="R364" s="96"/>
      <c r="S364" s="84"/>
    </row>
    <row r="365" spans="1:20" x14ac:dyDescent="0.35">
      <c r="B365" s="851">
        <v>45968</v>
      </c>
      <c r="C365" s="84" t="s">
        <v>7345</v>
      </c>
      <c r="D365" s="84"/>
      <c r="E365" s="84" t="s">
        <v>5593</v>
      </c>
      <c r="F365" s="84" t="s">
        <v>126</v>
      </c>
      <c r="G365" s="1080" t="s">
        <v>7363</v>
      </c>
      <c r="H365" s="785">
        <v>45740</v>
      </c>
      <c r="I365" s="784">
        <v>0</v>
      </c>
      <c r="J365" s="784">
        <v>15</v>
      </c>
      <c r="K365" s="830"/>
      <c r="L365" s="896" t="s">
        <v>582</v>
      </c>
      <c r="M365" s="829"/>
      <c r="N365" s="287" t="s">
        <v>7364</v>
      </c>
      <c r="O365" s="829"/>
      <c r="P365" s="829"/>
      <c r="Q365" s="96"/>
      <c r="R365" s="96"/>
      <c r="S365" s="84"/>
    </row>
    <row r="366" spans="1:20" x14ac:dyDescent="0.35">
      <c r="B366" s="851">
        <v>45968</v>
      </c>
      <c r="C366" s="84" t="s">
        <v>7345</v>
      </c>
      <c r="D366" s="84"/>
      <c r="E366" s="84" t="s">
        <v>5593</v>
      </c>
      <c r="F366" s="84" t="s">
        <v>126</v>
      </c>
      <c r="G366" s="1080" t="s">
        <v>7365</v>
      </c>
      <c r="H366" s="785">
        <v>45741</v>
      </c>
      <c r="I366" s="784">
        <v>0</v>
      </c>
      <c r="J366" s="784">
        <v>15</v>
      </c>
      <c r="K366" s="830"/>
      <c r="L366" s="896" t="s">
        <v>588</v>
      </c>
      <c r="M366" s="829"/>
      <c r="N366" s="287" t="s">
        <v>7366</v>
      </c>
      <c r="O366" s="829"/>
      <c r="P366" s="829"/>
      <c r="Q366" s="96"/>
      <c r="R366" s="96"/>
      <c r="S366" s="84"/>
    </row>
    <row r="367" spans="1:20" x14ac:dyDescent="0.35">
      <c r="A367" s="607" t="s">
        <v>7367</v>
      </c>
      <c r="B367" s="879">
        <v>45968</v>
      </c>
      <c r="C367" s="607" t="s">
        <v>7345</v>
      </c>
      <c r="D367" s="607"/>
      <c r="E367" s="607" t="s">
        <v>5593</v>
      </c>
      <c r="F367" s="607" t="s">
        <v>126</v>
      </c>
      <c r="G367" s="1184" t="s">
        <v>7368</v>
      </c>
      <c r="H367" s="899">
        <v>45741</v>
      </c>
      <c r="I367" s="1164">
        <v>0</v>
      </c>
      <c r="J367" s="1164">
        <v>15</v>
      </c>
      <c r="K367" s="1162"/>
      <c r="L367" s="1165" t="s">
        <v>589</v>
      </c>
      <c r="M367" s="1101"/>
      <c r="N367" s="287" t="s">
        <v>7369</v>
      </c>
      <c r="O367" s="829"/>
      <c r="P367" s="829" t="s">
        <v>7370</v>
      </c>
      <c r="Q367" s="96"/>
      <c r="R367" s="96"/>
      <c r="S367" s="84"/>
    </row>
    <row r="368" spans="1:20" x14ac:dyDescent="0.35">
      <c r="B368" s="851">
        <v>45968</v>
      </c>
      <c r="C368" s="84" t="s">
        <v>7345</v>
      </c>
      <c r="D368" s="84"/>
      <c r="E368" s="84" t="s">
        <v>5593</v>
      </c>
      <c r="F368" s="84" t="s">
        <v>126</v>
      </c>
      <c r="G368" s="1080" t="s">
        <v>7371</v>
      </c>
      <c r="H368" s="785">
        <v>45742</v>
      </c>
      <c r="I368" s="784">
        <v>0</v>
      </c>
      <c r="J368" s="784">
        <v>15</v>
      </c>
      <c r="K368" s="830"/>
      <c r="L368" s="896" t="s">
        <v>592</v>
      </c>
      <c r="M368" s="829"/>
      <c r="N368" s="287" t="s">
        <v>7372</v>
      </c>
      <c r="O368" s="829"/>
      <c r="P368" s="829" t="s">
        <v>7373</v>
      </c>
      <c r="Q368" s="96"/>
      <c r="R368" s="96"/>
      <c r="S368" s="84"/>
    </row>
    <row r="369" spans="1:19" x14ac:dyDescent="0.35">
      <c r="B369" s="851">
        <v>45968</v>
      </c>
      <c r="C369" s="84" t="s">
        <v>7345</v>
      </c>
      <c r="D369" s="84"/>
      <c r="E369" s="84" t="s">
        <v>5593</v>
      </c>
      <c r="F369" s="84" t="s">
        <v>126</v>
      </c>
      <c r="G369" s="1080" t="s">
        <v>7374</v>
      </c>
      <c r="H369" s="785">
        <v>45742</v>
      </c>
      <c r="I369" s="784">
        <v>0</v>
      </c>
      <c r="J369" s="784">
        <v>15</v>
      </c>
      <c r="K369" s="830"/>
      <c r="L369" s="896" t="s">
        <v>591</v>
      </c>
      <c r="M369" s="829"/>
      <c r="N369" s="287" t="s">
        <v>6319</v>
      </c>
      <c r="O369" s="829"/>
      <c r="P369" s="829"/>
      <c r="Q369" s="96"/>
      <c r="R369" s="96"/>
      <c r="S369" s="84"/>
    </row>
    <row r="370" spans="1:19" x14ac:dyDescent="0.35">
      <c r="B370" s="851">
        <v>45968</v>
      </c>
      <c r="C370" s="84" t="s">
        <v>7345</v>
      </c>
      <c r="D370" s="84"/>
      <c r="E370" s="84" t="s">
        <v>5593</v>
      </c>
      <c r="F370" s="84" t="s">
        <v>126</v>
      </c>
      <c r="G370" s="1080" t="s">
        <v>7375</v>
      </c>
      <c r="H370" s="785">
        <v>45742</v>
      </c>
      <c r="I370" s="784">
        <v>0</v>
      </c>
      <c r="J370" s="784">
        <v>15</v>
      </c>
      <c r="K370" s="830"/>
      <c r="L370" s="896" t="s">
        <v>387</v>
      </c>
      <c r="M370" s="829"/>
      <c r="N370" s="287" t="s">
        <v>7376</v>
      </c>
      <c r="O370" s="829"/>
      <c r="P370" s="829"/>
      <c r="Q370" s="96"/>
      <c r="R370" s="96"/>
      <c r="S370" s="84"/>
    </row>
    <row r="371" spans="1:19" x14ac:dyDescent="0.35">
      <c r="B371" s="851">
        <v>45968</v>
      </c>
      <c r="C371" s="84" t="s">
        <v>7345</v>
      </c>
      <c r="D371" s="84"/>
      <c r="E371" s="84" t="s">
        <v>5593</v>
      </c>
      <c r="F371" s="84" t="s">
        <v>126</v>
      </c>
      <c r="G371" s="1080" t="s">
        <v>7377</v>
      </c>
      <c r="H371" s="785">
        <v>45742</v>
      </c>
      <c r="I371" s="784">
        <v>0</v>
      </c>
      <c r="J371" s="784">
        <v>15</v>
      </c>
      <c r="K371" s="830"/>
      <c r="L371" s="896" t="s">
        <v>590</v>
      </c>
      <c r="M371" s="829"/>
      <c r="N371" s="287" t="s">
        <v>7378</v>
      </c>
      <c r="O371" s="829"/>
      <c r="P371" s="829" t="s">
        <v>7379</v>
      </c>
      <c r="Q371" s="96"/>
      <c r="R371" s="96"/>
      <c r="S371" s="84"/>
    </row>
    <row r="372" spans="1:19" x14ac:dyDescent="0.35">
      <c r="B372" s="851">
        <v>45968</v>
      </c>
      <c r="C372" s="84" t="s">
        <v>7345</v>
      </c>
      <c r="D372" s="84"/>
      <c r="E372" s="84" t="s">
        <v>5593</v>
      </c>
      <c r="F372" s="84" t="s">
        <v>126</v>
      </c>
      <c r="G372" s="1080" t="s">
        <v>7380</v>
      </c>
      <c r="H372" s="785">
        <v>45834</v>
      </c>
      <c r="I372" s="784">
        <v>0</v>
      </c>
      <c r="J372" s="784">
        <v>15</v>
      </c>
      <c r="K372" s="830"/>
      <c r="L372" s="896" t="s">
        <v>593</v>
      </c>
      <c r="M372" s="829"/>
      <c r="N372" s="287" t="s">
        <v>7381</v>
      </c>
      <c r="O372" s="829"/>
      <c r="P372" s="829" t="s">
        <v>7382</v>
      </c>
      <c r="Q372" s="96"/>
      <c r="R372" s="96"/>
      <c r="S372" s="84"/>
    </row>
    <row r="373" spans="1:19" x14ac:dyDescent="0.35">
      <c r="B373" s="851">
        <v>45968</v>
      </c>
      <c r="C373" s="84" t="s">
        <v>7345</v>
      </c>
      <c r="D373" s="84"/>
      <c r="E373" s="84" t="s">
        <v>5593</v>
      </c>
      <c r="F373" s="84" t="s">
        <v>126</v>
      </c>
      <c r="G373" s="1080" t="s">
        <v>7383</v>
      </c>
      <c r="H373" s="785">
        <v>45743</v>
      </c>
      <c r="I373" s="784">
        <v>0</v>
      </c>
      <c r="J373" s="784">
        <v>15</v>
      </c>
      <c r="K373" s="830"/>
      <c r="L373" s="896" t="s">
        <v>594</v>
      </c>
      <c r="M373" s="829"/>
      <c r="N373" s="287" t="s">
        <v>7384</v>
      </c>
      <c r="O373" s="829"/>
      <c r="P373" s="829"/>
      <c r="Q373" s="96"/>
      <c r="R373" s="96"/>
      <c r="S373" s="84"/>
    </row>
    <row r="374" spans="1:19" x14ac:dyDescent="0.35">
      <c r="A374" s="607" t="s">
        <v>6372</v>
      </c>
      <c r="B374" s="879">
        <v>45968</v>
      </c>
      <c r="C374" s="607" t="s">
        <v>7345</v>
      </c>
      <c r="D374" s="607"/>
      <c r="E374" s="607" t="s">
        <v>5593</v>
      </c>
      <c r="F374" s="607" t="s">
        <v>126</v>
      </c>
      <c r="G374" s="1184" t="s">
        <v>7385</v>
      </c>
      <c r="H374" s="899">
        <v>45743</v>
      </c>
      <c r="I374" s="1164">
        <v>0</v>
      </c>
      <c r="J374" s="1164">
        <v>15</v>
      </c>
      <c r="K374" s="1162"/>
      <c r="L374" s="1165" t="s">
        <v>596</v>
      </c>
      <c r="M374" s="829"/>
      <c r="N374" s="287" t="s">
        <v>7386</v>
      </c>
      <c r="O374" s="829"/>
      <c r="P374" s="829" t="s">
        <v>7387</v>
      </c>
      <c r="Q374" s="96"/>
      <c r="R374" s="96"/>
      <c r="S374" s="84"/>
    </row>
    <row r="375" spans="1:19" x14ac:dyDescent="0.35">
      <c r="B375" s="851">
        <v>45968</v>
      </c>
      <c r="C375" s="84" t="s">
        <v>7345</v>
      </c>
      <c r="D375" s="84"/>
      <c r="E375" s="84" t="s">
        <v>5593</v>
      </c>
      <c r="F375" s="84" t="s">
        <v>126</v>
      </c>
      <c r="G375" s="1080" t="s">
        <v>7388</v>
      </c>
      <c r="H375" s="785">
        <v>45743</v>
      </c>
      <c r="I375" s="784">
        <v>0</v>
      </c>
      <c r="J375" s="784">
        <v>15</v>
      </c>
      <c r="K375" s="830"/>
      <c r="L375" s="896" t="s">
        <v>595</v>
      </c>
      <c r="M375" s="829"/>
      <c r="N375" s="287" t="s">
        <v>7389</v>
      </c>
      <c r="O375" s="829"/>
      <c r="P375" s="829"/>
      <c r="Q375" s="96"/>
      <c r="R375" s="96"/>
      <c r="S375" s="84"/>
    </row>
    <row r="376" spans="1:19" x14ac:dyDescent="0.35">
      <c r="B376" s="851">
        <v>45968</v>
      </c>
      <c r="C376" s="84" t="s">
        <v>7345</v>
      </c>
      <c r="D376" s="84"/>
      <c r="E376" s="84" t="s">
        <v>5593</v>
      </c>
      <c r="F376" s="84" t="s">
        <v>126</v>
      </c>
      <c r="G376" s="1080" t="s">
        <v>7390</v>
      </c>
      <c r="H376" s="785">
        <v>45744</v>
      </c>
      <c r="I376" s="784">
        <v>0</v>
      </c>
      <c r="J376" s="784">
        <v>15</v>
      </c>
      <c r="K376" s="830"/>
      <c r="L376" s="896" t="s">
        <v>599</v>
      </c>
      <c r="M376" s="829"/>
      <c r="N376" s="287" t="s">
        <v>7391</v>
      </c>
      <c r="O376" s="829"/>
      <c r="P376" s="829"/>
      <c r="Q376" s="96"/>
      <c r="R376" s="96"/>
      <c r="S376" s="84"/>
    </row>
    <row r="377" spans="1:19" x14ac:dyDescent="0.35">
      <c r="B377" s="851">
        <v>45968</v>
      </c>
      <c r="C377" s="84" t="s">
        <v>7345</v>
      </c>
      <c r="D377" s="84"/>
      <c r="E377" s="84" t="s">
        <v>5593</v>
      </c>
      <c r="F377" s="84" t="s">
        <v>126</v>
      </c>
      <c r="G377" s="1080" t="s">
        <v>7392</v>
      </c>
      <c r="H377" s="785">
        <v>45745</v>
      </c>
      <c r="I377" s="784">
        <v>0</v>
      </c>
      <c r="J377" s="784">
        <v>15</v>
      </c>
      <c r="K377" s="830"/>
      <c r="L377" s="896" t="s">
        <v>598</v>
      </c>
      <c r="M377" s="829"/>
      <c r="N377" s="287" t="s">
        <v>7393</v>
      </c>
      <c r="O377" s="829"/>
      <c r="P377" s="829"/>
      <c r="Q377" s="96"/>
      <c r="R377" s="96"/>
      <c r="S377" s="84"/>
    </row>
    <row r="378" spans="1:19" x14ac:dyDescent="0.35">
      <c r="B378" s="851">
        <v>45968</v>
      </c>
      <c r="C378" s="84" t="s">
        <v>7345</v>
      </c>
      <c r="D378" s="84"/>
      <c r="E378" s="84" t="s">
        <v>5593</v>
      </c>
      <c r="F378" s="84" t="s">
        <v>126</v>
      </c>
      <c r="G378" s="1080" t="s">
        <v>7394</v>
      </c>
      <c r="H378" s="785">
        <v>45745</v>
      </c>
      <c r="I378" s="784">
        <v>0</v>
      </c>
      <c r="J378" s="784">
        <v>15</v>
      </c>
      <c r="K378" s="830"/>
      <c r="L378" s="896" t="s">
        <v>597</v>
      </c>
      <c r="M378" s="829"/>
      <c r="N378" s="287" t="s">
        <v>6587</v>
      </c>
      <c r="O378" s="829"/>
      <c r="P378" s="829" t="s">
        <v>6588</v>
      </c>
      <c r="Q378" s="96"/>
      <c r="R378" s="96"/>
      <c r="S378" s="84"/>
    </row>
    <row r="379" spans="1:19" x14ac:dyDescent="0.35">
      <c r="B379" s="851">
        <v>45968</v>
      </c>
      <c r="C379" s="84" t="s">
        <v>7345</v>
      </c>
      <c r="D379" s="84"/>
      <c r="E379" s="84" t="s">
        <v>5593</v>
      </c>
      <c r="F379" s="84" t="s">
        <v>126</v>
      </c>
      <c r="G379" s="1080" t="s">
        <v>7395</v>
      </c>
      <c r="H379" s="785">
        <v>45745</v>
      </c>
      <c r="I379" s="784">
        <v>0</v>
      </c>
      <c r="J379" s="784">
        <v>15</v>
      </c>
      <c r="K379" s="830"/>
      <c r="L379" s="896" t="s">
        <v>600</v>
      </c>
      <c r="M379" s="829"/>
      <c r="N379" s="287" t="s">
        <v>7396</v>
      </c>
      <c r="O379" s="829"/>
      <c r="P379" s="829"/>
      <c r="Q379" s="96"/>
      <c r="R379" s="96"/>
      <c r="S379" s="84"/>
    </row>
    <row r="380" spans="1:19" x14ac:dyDescent="0.35">
      <c r="B380" s="851">
        <v>45968</v>
      </c>
      <c r="C380" s="84" t="s">
        <v>7345</v>
      </c>
      <c r="D380" s="84"/>
      <c r="E380" s="84" t="s">
        <v>5593</v>
      </c>
      <c r="F380" s="84" t="s">
        <v>126</v>
      </c>
      <c r="G380" s="1080" t="s">
        <v>7397</v>
      </c>
      <c r="H380" s="785">
        <v>45746</v>
      </c>
      <c r="I380" s="784">
        <v>0</v>
      </c>
      <c r="J380" s="784">
        <v>15</v>
      </c>
      <c r="K380" s="830"/>
      <c r="L380" s="896" t="s">
        <v>601</v>
      </c>
      <c r="M380" s="829"/>
      <c r="N380" s="287" t="s">
        <v>7398</v>
      </c>
      <c r="O380" s="829"/>
      <c r="P380" s="829"/>
      <c r="Q380" s="96"/>
      <c r="R380" s="96"/>
      <c r="S380" s="84"/>
    </row>
    <row r="381" spans="1:19" x14ac:dyDescent="0.35">
      <c r="B381" s="851">
        <v>45968</v>
      </c>
      <c r="C381" s="84" t="s">
        <v>7345</v>
      </c>
      <c r="D381" s="84"/>
      <c r="E381" s="84" t="s">
        <v>5593</v>
      </c>
      <c r="F381" s="84" t="s">
        <v>126</v>
      </c>
      <c r="G381" s="1080" t="s">
        <v>7399</v>
      </c>
      <c r="H381" s="785">
        <v>45746</v>
      </c>
      <c r="I381" s="784">
        <v>0</v>
      </c>
      <c r="J381" s="784">
        <v>15</v>
      </c>
      <c r="K381" s="830"/>
      <c r="L381" s="896" t="s">
        <v>602</v>
      </c>
      <c r="M381" s="829"/>
      <c r="N381" s="287" t="s">
        <v>7400</v>
      </c>
      <c r="O381" s="829"/>
      <c r="P381" s="829"/>
      <c r="Q381" s="96"/>
      <c r="R381" s="96"/>
      <c r="S381" s="84"/>
    </row>
    <row r="382" spans="1:19" x14ac:dyDescent="0.35">
      <c r="B382" s="851"/>
      <c r="C382" s="84"/>
      <c r="D382" s="84"/>
      <c r="F382" s="84"/>
      <c r="G382" s="1080"/>
      <c r="H382" s="785"/>
      <c r="I382" s="784"/>
      <c r="J382" s="784"/>
      <c r="K382" s="830"/>
      <c r="L382" s="896"/>
      <c r="M382" s="829"/>
      <c r="N382" s="287"/>
      <c r="O382" s="829"/>
      <c r="P382" s="829"/>
      <c r="Q382" s="96"/>
      <c r="R382" s="96"/>
      <c r="S382" s="84"/>
    </row>
    <row r="383" spans="1:19" x14ac:dyDescent="0.35">
      <c r="B383" s="851">
        <v>45969</v>
      </c>
      <c r="C383" s="84" t="s">
        <v>604</v>
      </c>
      <c r="D383" s="84"/>
      <c r="E383" s="84" t="s">
        <v>5374</v>
      </c>
      <c r="F383" s="84" t="s">
        <v>126</v>
      </c>
      <c r="G383" s="1080" t="s">
        <v>7401</v>
      </c>
      <c r="H383" s="785">
        <v>45747</v>
      </c>
      <c r="I383" s="784">
        <v>0</v>
      </c>
      <c r="J383" s="784">
        <v>60</v>
      </c>
      <c r="K383" s="830"/>
      <c r="L383" s="896" t="s">
        <v>603</v>
      </c>
      <c r="M383" s="829"/>
      <c r="N383" s="287" t="s">
        <v>7402</v>
      </c>
      <c r="O383" s="829"/>
      <c r="P383" s="829"/>
      <c r="Q383" s="96"/>
      <c r="R383" s="96"/>
      <c r="S383" s="84"/>
    </row>
    <row r="384" spans="1:19" x14ac:dyDescent="0.35">
      <c r="B384" s="851">
        <v>45969</v>
      </c>
      <c r="C384" s="84" t="s">
        <v>604</v>
      </c>
      <c r="D384" s="84"/>
      <c r="E384" s="84" t="s">
        <v>5374</v>
      </c>
      <c r="F384" s="84" t="s">
        <v>126</v>
      </c>
      <c r="G384" s="1080" t="s">
        <v>7403</v>
      </c>
      <c r="H384" s="785">
        <v>45747</v>
      </c>
      <c r="I384" s="784">
        <v>0</v>
      </c>
      <c r="J384" s="784">
        <v>60</v>
      </c>
      <c r="K384" s="830"/>
      <c r="L384" s="896" t="s">
        <v>606</v>
      </c>
      <c r="M384" s="829"/>
      <c r="N384" s="287" t="s">
        <v>6879</v>
      </c>
      <c r="O384" s="829"/>
      <c r="P384" s="829" t="s">
        <v>7404</v>
      </c>
      <c r="Q384" s="96"/>
      <c r="R384" s="96"/>
      <c r="S384" s="84"/>
    </row>
    <row r="385" spans="1:22" x14ac:dyDescent="0.35">
      <c r="A385" s="607" t="s">
        <v>7405</v>
      </c>
      <c r="B385" s="851">
        <v>45969</v>
      </c>
      <c r="C385" s="84" t="s">
        <v>604</v>
      </c>
      <c r="D385" s="878"/>
      <c r="E385" s="84" t="s">
        <v>5374</v>
      </c>
      <c r="F385" s="784" t="s">
        <v>174</v>
      </c>
      <c r="G385" s="785" t="s">
        <v>7406</v>
      </c>
      <c r="H385" s="785">
        <v>45944</v>
      </c>
      <c r="I385" s="784">
        <v>65</v>
      </c>
      <c r="J385" s="784"/>
      <c r="K385" s="830" t="s">
        <v>5045</v>
      </c>
      <c r="L385" s="896" t="s">
        <v>710</v>
      </c>
      <c r="M385" s="829"/>
      <c r="N385" s="287" t="s">
        <v>7407</v>
      </c>
      <c r="O385" s="829" t="s">
        <v>4749</v>
      </c>
      <c r="P385" s="829" t="s">
        <v>7408</v>
      </c>
      <c r="Q385" s="96"/>
      <c r="R385" s="96"/>
      <c r="S385" s="84"/>
    </row>
    <row r="386" spans="1:22" x14ac:dyDescent="0.35">
      <c r="B386" s="851">
        <v>45969</v>
      </c>
      <c r="C386" s="84" t="s">
        <v>604</v>
      </c>
      <c r="D386" s="878"/>
      <c r="E386" s="84" t="s">
        <v>5374</v>
      </c>
      <c r="F386" s="784" t="s">
        <v>174</v>
      </c>
      <c r="G386" s="785" t="s">
        <v>7409</v>
      </c>
      <c r="H386" s="785">
        <v>45963</v>
      </c>
      <c r="I386" s="784">
        <v>65</v>
      </c>
      <c r="J386" s="784"/>
      <c r="K386" s="830"/>
      <c r="L386" s="896" t="s">
        <v>692</v>
      </c>
      <c r="M386" s="829"/>
      <c r="N386" s="287" t="s">
        <v>7410</v>
      </c>
      <c r="O386" s="829" t="s">
        <v>4716</v>
      </c>
      <c r="P386" s="829" t="s">
        <v>7411</v>
      </c>
      <c r="Q386" s="96"/>
      <c r="R386" s="96"/>
      <c r="S386" s="84"/>
    </row>
    <row r="387" spans="1:22" x14ac:dyDescent="0.35">
      <c r="B387" s="851"/>
      <c r="C387" s="84"/>
      <c r="D387" s="84"/>
      <c r="E387" s="84"/>
      <c r="F387" s="84"/>
      <c r="G387" s="1080"/>
      <c r="H387" s="785"/>
      <c r="I387" s="784"/>
      <c r="J387" s="784"/>
      <c r="K387" s="830"/>
      <c r="L387" s="896"/>
      <c r="M387" s="829"/>
      <c r="N387" s="287"/>
      <c r="O387" s="829"/>
      <c r="P387" s="829"/>
      <c r="Q387" s="96"/>
      <c r="R387" s="96"/>
      <c r="S387" s="84"/>
    </row>
    <row r="388" spans="1:22" x14ac:dyDescent="0.35">
      <c r="B388" s="851"/>
      <c r="C388" s="84"/>
      <c r="D388" s="84"/>
      <c r="E388" s="84"/>
      <c r="F388" s="84"/>
      <c r="G388" s="1080"/>
      <c r="H388" s="785"/>
      <c r="I388" s="784"/>
      <c r="J388" s="784"/>
      <c r="K388" s="830"/>
      <c r="L388" s="896"/>
      <c r="M388" s="829"/>
      <c r="N388" s="287"/>
      <c r="O388" s="829"/>
      <c r="P388" s="829"/>
      <c r="Q388" s="96"/>
      <c r="R388" s="96"/>
      <c r="S388" s="84"/>
    </row>
    <row r="389" spans="1:22" x14ac:dyDescent="0.35">
      <c r="B389" s="851">
        <v>45996</v>
      </c>
      <c r="C389" s="96" t="s">
        <v>7412</v>
      </c>
      <c r="D389" s="96"/>
      <c r="E389" s="96" t="s">
        <v>5593</v>
      </c>
      <c r="F389" s="96" t="s">
        <v>126</v>
      </c>
      <c r="G389" s="1080" t="s">
        <v>7413</v>
      </c>
      <c r="H389" s="785">
        <v>45748</v>
      </c>
      <c r="I389" s="784">
        <v>0</v>
      </c>
      <c r="J389" s="784">
        <v>15</v>
      </c>
      <c r="K389" s="830"/>
      <c r="L389" s="896" t="s">
        <v>393</v>
      </c>
      <c r="M389" s="829"/>
      <c r="N389" s="287" t="s">
        <v>7414</v>
      </c>
      <c r="O389" s="829"/>
      <c r="P389" s="829" t="s">
        <v>7415</v>
      </c>
      <c r="Q389" s="607"/>
      <c r="R389" s="96"/>
      <c r="S389" s="84"/>
    </row>
    <row r="390" spans="1:22" x14ac:dyDescent="0.35">
      <c r="B390" s="851">
        <v>45996</v>
      </c>
      <c r="C390" s="96" t="s">
        <v>7412</v>
      </c>
      <c r="D390" s="96"/>
      <c r="E390" s="96" t="s">
        <v>5593</v>
      </c>
      <c r="F390" s="96" t="s">
        <v>126</v>
      </c>
      <c r="G390" s="1080" t="s">
        <v>7416</v>
      </c>
      <c r="H390" s="785">
        <v>45748</v>
      </c>
      <c r="I390" s="784">
        <v>0</v>
      </c>
      <c r="J390" s="784">
        <v>15</v>
      </c>
      <c r="K390" s="830"/>
      <c r="L390" s="896" t="s">
        <v>392</v>
      </c>
      <c r="M390" s="829"/>
      <c r="N390" s="287" t="s">
        <v>7417</v>
      </c>
      <c r="O390" s="829"/>
      <c r="P390" s="829" t="s">
        <v>7418</v>
      </c>
      <c r="Q390" s="607"/>
      <c r="R390" s="96"/>
      <c r="S390" s="84"/>
    </row>
    <row r="391" spans="1:22" x14ac:dyDescent="0.35">
      <c r="B391" s="851">
        <v>45996</v>
      </c>
      <c r="C391" s="96" t="s">
        <v>7412</v>
      </c>
      <c r="D391" s="96"/>
      <c r="E391" s="96" t="s">
        <v>5593</v>
      </c>
      <c r="F391" s="96" t="s">
        <v>126</v>
      </c>
      <c r="G391" s="1080" t="s">
        <v>7419</v>
      </c>
      <c r="H391" s="785">
        <v>45748</v>
      </c>
      <c r="I391" s="784">
        <v>0</v>
      </c>
      <c r="J391" s="784">
        <v>15</v>
      </c>
      <c r="K391" s="830"/>
      <c r="L391" s="896" t="s">
        <v>388</v>
      </c>
      <c r="M391" s="829"/>
      <c r="N391" s="287" t="s">
        <v>7420</v>
      </c>
      <c r="O391" s="829"/>
      <c r="P391" s="829" t="s">
        <v>7421</v>
      </c>
      <c r="Q391" s="607"/>
      <c r="R391" s="96"/>
      <c r="S391" s="84"/>
    </row>
    <row r="392" spans="1:22" x14ac:dyDescent="0.35">
      <c r="B392" s="851">
        <v>45996</v>
      </c>
      <c r="C392" s="96" t="s">
        <v>7412</v>
      </c>
      <c r="D392" s="96"/>
      <c r="E392" s="96" t="s">
        <v>5593</v>
      </c>
      <c r="F392" s="96" t="s">
        <v>126</v>
      </c>
      <c r="G392" s="1080" t="s">
        <v>7422</v>
      </c>
      <c r="H392" s="785">
        <v>45748</v>
      </c>
      <c r="I392" s="784">
        <v>0</v>
      </c>
      <c r="J392" s="784">
        <v>15</v>
      </c>
      <c r="K392" s="830"/>
      <c r="L392" s="896" t="s">
        <v>394</v>
      </c>
      <c r="M392" s="829"/>
      <c r="N392" s="291" t="s">
        <v>7423</v>
      </c>
      <c r="O392" s="829"/>
      <c r="P392" s="829"/>
      <c r="Q392" s="607"/>
      <c r="R392" s="96"/>
      <c r="S392" s="84"/>
    </row>
    <row r="393" spans="1:22" x14ac:dyDescent="0.35">
      <c r="B393" s="1153">
        <v>45996</v>
      </c>
      <c r="C393" s="1154" t="s">
        <v>7412</v>
      </c>
      <c r="D393" s="1154"/>
      <c r="E393" s="1154" t="s">
        <v>5593</v>
      </c>
      <c r="F393" s="1154" t="s">
        <v>126</v>
      </c>
      <c r="G393" s="1155" t="s">
        <v>7424</v>
      </c>
      <c r="H393" s="1156">
        <v>45754</v>
      </c>
      <c r="I393" s="784">
        <v>0</v>
      </c>
      <c r="J393" s="784">
        <v>15</v>
      </c>
      <c r="K393" s="830"/>
      <c r="L393" s="896" t="s">
        <v>386</v>
      </c>
      <c r="M393" s="829"/>
      <c r="N393" s="287" t="s">
        <v>7004</v>
      </c>
      <c r="O393" s="829"/>
      <c r="P393" s="829" t="s">
        <v>7005</v>
      </c>
      <c r="Q393" s="287" t="s">
        <v>7006</v>
      </c>
      <c r="R393" s="96"/>
      <c r="S393" s="84"/>
    </row>
    <row r="394" spans="1:22" x14ac:dyDescent="0.35">
      <c r="A394" s="607" t="s">
        <v>7425</v>
      </c>
      <c r="B394" s="1188">
        <v>45996</v>
      </c>
      <c r="C394" s="1189" t="s">
        <v>7412</v>
      </c>
      <c r="D394" s="1189"/>
      <c r="E394" s="1189" t="s">
        <v>5593</v>
      </c>
      <c r="F394" s="1189" t="s">
        <v>126</v>
      </c>
      <c r="G394" s="1190" t="s">
        <v>7426</v>
      </c>
      <c r="H394" s="1191">
        <v>45754</v>
      </c>
      <c r="I394" s="609">
        <v>0</v>
      </c>
      <c r="J394" s="607">
        <v>15</v>
      </c>
      <c r="K394" s="607"/>
      <c r="L394" s="1162" t="s">
        <v>391</v>
      </c>
      <c r="M394" s="829"/>
      <c r="N394" s="287" t="s">
        <v>7427</v>
      </c>
      <c r="O394" s="829"/>
      <c r="P394" s="829"/>
      <c r="Q394" s="96"/>
      <c r="R394" s="96"/>
      <c r="S394" s="84"/>
    </row>
    <row r="395" spans="1:22" x14ac:dyDescent="0.35">
      <c r="B395" s="1153">
        <v>45996</v>
      </c>
      <c r="C395" s="1154" t="s">
        <v>7412</v>
      </c>
      <c r="D395" s="1154"/>
      <c r="E395" s="1154" t="s">
        <v>5593</v>
      </c>
      <c r="F395" s="1154" t="s">
        <v>126</v>
      </c>
      <c r="G395" s="1157" t="s">
        <v>7428</v>
      </c>
      <c r="H395" s="1156"/>
      <c r="I395" s="784">
        <v>0</v>
      </c>
      <c r="J395" s="784">
        <v>15</v>
      </c>
      <c r="K395" s="830"/>
      <c r="L395" s="896" t="s">
        <v>387</v>
      </c>
      <c r="M395" s="829"/>
      <c r="N395" s="287" t="s">
        <v>7376</v>
      </c>
      <c r="O395" s="829"/>
      <c r="P395" s="829"/>
      <c r="Q395" s="96"/>
      <c r="R395" s="96"/>
      <c r="S395" s="84"/>
    </row>
    <row r="396" spans="1:22" x14ac:dyDescent="0.35">
      <c r="B396" s="1153">
        <v>45996</v>
      </c>
      <c r="C396" s="1154" t="s">
        <v>7412</v>
      </c>
      <c r="D396" s="1154"/>
      <c r="E396" s="1154" t="s">
        <v>5593</v>
      </c>
      <c r="F396" s="1154" t="s">
        <v>126</v>
      </c>
      <c r="G396" s="1157" t="s">
        <v>7429</v>
      </c>
      <c r="H396" s="1156">
        <v>45755</v>
      </c>
      <c r="I396" s="784">
        <v>0</v>
      </c>
      <c r="J396" s="784">
        <v>15</v>
      </c>
      <c r="K396" s="830"/>
      <c r="L396" s="896" t="s">
        <v>390</v>
      </c>
      <c r="M396" s="829"/>
      <c r="N396" s="287" t="s">
        <v>6664</v>
      </c>
      <c r="O396" s="829"/>
      <c r="P396" s="829" t="s">
        <v>6665</v>
      </c>
      <c r="Q396" s="96"/>
      <c r="R396" s="96"/>
      <c r="S396" s="84"/>
    </row>
    <row r="397" spans="1:22" x14ac:dyDescent="0.35">
      <c r="B397" s="1153">
        <v>45996</v>
      </c>
      <c r="C397" s="1154" t="s">
        <v>7412</v>
      </c>
      <c r="D397" s="1154"/>
      <c r="E397" s="1154" t="s">
        <v>5593</v>
      </c>
      <c r="F397" s="1154" t="s">
        <v>126</v>
      </c>
      <c r="G397" s="1157" t="s">
        <v>7430</v>
      </c>
      <c r="H397" s="1156">
        <v>45755</v>
      </c>
      <c r="I397" s="784">
        <v>0</v>
      </c>
      <c r="J397" s="784">
        <v>15</v>
      </c>
      <c r="K397" s="830"/>
      <c r="L397" s="896" t="s">
        <v>389</v>
      </c>
      <c r="M397" s="829"/>
      <c r="N397" s="287" t="s">
        <v>7431</v>
      </c>
      <c r="O397" s="829"/>
      <c r="P397" s="829"/>
      <c r="Q397" s="96"/>
      <c r="R397" s="96"/>
      <c r="S397" s="84"/>
    </row>
    <row r="398" spans="1:22" x14ac:dyDescent="0.35">
      <c r="P398" s="829"/>
      <c r="Q398" s="96"/>
      <c r="R398" s="96"/>
      <c r="S398" s="84"/>
    </row>
    <row r="399" spans="1:22" x14ac:dyDescent="0.35">
      <c r="B399" s="1153">
        <v>0</v>
      </c>
      <c r="C399" s="1154" t="s">
        <v>7412</v>
      </c>
      <c r="D399" s="1154"/>
      <c r="E399" s="1154" t="s">
        <v>5593</v>
      </c>
      <c r="F399" s="1154" t="s">
        <v>126</v>
      </c>
      <c r="G399" s="1080" t="s">
        <v>7432</v>
      </c>
      <c r="H399" s="785">
        <v>45785</v>
      </c>
      <c r="I399" s="784">
        <v>0</v>
      </c>
      <c r="J399" s="784">
        <v>15</v>
      </c>
      <c r="K399" s="830"/>
      <c r="L399" s="896" t="s">
        <v>395</v>
      </c>
      <c r="M399" s="829"/>
      <c r="N399" s="287" t="s">
        <v>7433</v>
      </c>
      <c r="O399" s="829"/>
      <c r="P399" s="829"/>
      <c r="Q399" s="96"/>
      <c r="R399" s="96"/>
      <c r="S399" s="84"/>
    </row>
    <row r="400" spans="1:22" x14ac:dyDescent="0.35">
      <c r="B400" s="1193"/>
      <c r="C400" s="1194"/>
      <c r="D400" s="1194"/>
      <c r="E400" s="1194"/>
      <c r="F400" s="1194"/>
      <c r="G400" s="1195"/>
      <c r="H400" s="1196"/>
      <c r="I400" s="1197"/>
      <c r="J400" s="1197"/>
      <c r="K400" s="1198"/>
      <c r="L400" s="1199"/>
      <c r="M400" s="1200"/>
      <c r="N400" s="1201"/>
      <c r="O400" s="1200"/>
      <c r="P400" s="1200"/>
      <c r="Q400" s="1197"/>
      <c r="R400" s="1197"/>
      <c r="S400" s="148"/>
      <c r="T400" s="1194"/>
      <c r="U400" s="1194"/>
      <c r="V400" s="1194"/>
    </row>
    <row r="401" spans="2:22" x14ac:dyDescent="0.35">
      <c r="B401" s="1193"/>
      <c r="C401" s="1194"/>
      <c r="D401" s="1194"/>
      <c r="E401" s="1194"/>
      <c r="F401" s="1194"/>
      <c r="G401" s="1195"/>
      <c r="H401" s="1196"/>
      <c r="I401" s="1197"/>
      <c r="J401" s="1197"/>
      <c r="K401" s="1198"/>
      <c r="L401" s="1199"/>
      <c r="M401" s="1200"/>
      <c r="N401" s="1201"/>
      <c r="O401" s="1200"/>
      <c r="P401" s="1200"/>
      <c r="Q401" s="1197"/>
      <c r="R401" s="1197"/>
      <c r="S401" s="148"/>
      <c r="T401" s="1194"/>
      <c r="U401" s="1194"/>
      <c r="V401" s="1194"/>
    </row>
    <row r="402" spans="2:22" x14ac:dyDescent="0.35">
      <c r="B402" s="851"/>
      <c r="G402" s="1080"/>
      <c r="H402" s="785"/>
      <c r="I402" s="784"/>
      <c r="J402" s="784"/>
      <c r="K402" s="830"/>
      <c r="L402" s="896"/>
      <c r="M402" s="829"/>
      <c r="N402" s="287"/>
      <c r="O402" s="829"/>
      <c r="P402" s="829"/>
      <c r="Q402" s="96"/>
      <c r="R402" s="96"/>
      <c r="S402" s="84"/>
    </row>
    <row r="403" spans="2:22" x14ac:dyDescent="0.35">
      <c r="B403" s="851">
        <v>45999</v>
      </c>
      <c r="C403" s="783" t="s">
        <v>324</v>
      </c>
      <c r="D403" s="84" t="s">
        <v>7434</v>
      </c>
      <c r="E403" s="783" t="s">
        <v>5593</v>
      </c>
      <c r="F403" s="784" t="s">
        <v>126</v>
      </c>
      <c r="G403" s="87" t="s">
        <v>7435</v>
      </c>
      <c r="H403" s="785">
        <v>45754</v>
      </c>
      <c r="I403" s="507">
        <v>0</v>
      </c>
      <c r="J403" s="484">
        <v>15</v>
      </c>
      <c r="K403" s="84"/>
      <c r="L403" s="127" t="s">
        <v>393</v>
      </c>
      <c r="M403" s="146"/>
      <c r="N403" s="287" t="s">
        <v>7414</v>
      </c>
      <c r="O403" s="146"/>
      <c r="P403" s="146" t="s">
        <v>7415</v>
      </c>
      <c r="Q403" s="96"/>
      <c r="R403" s="96"/>
      <c r="S403" s="84"/>
    </row>
    <row r="404" spans="2:22" x14ac:dyDescent="0.35">
      <c r="B404" s="879">
        <v>45999</v>
      </c>
      <c r="C404" s="607" t="s">
        <v>362</v>
      </c>
      <c r="D404" s="607" t="s">
        <v>7434</v>
      </c>
      <c r="E404" s="878" t="s">
        <v>5593</v>
      </c>
      <c r="F404" s="1164" t="s">
        <v>126</v>
      </c>
      <c r="G404" s="1184" t="s">
        <v>7436</v>
      </c>
      <c r="H404" s="785">
        <v>45762</v>
      </c>
      <c r="I404" s="784">
        <v>0</v>
      </c>
      <c r="J404" s="784">
        <v>15</v>
      </c>
      <c r="K404" s="830"/>
      <c r="L404" s="896" t="s">
        <v>396</v>
      </c>
      <c r="M404" s="829"/>
      <c r="N404" s="287" t="s">
        <v>7437</v>
      </c>
      <c r="O404" s="829"/>
      <c r="P404" s="829" t="s">
        <v>7438</v>
      </c>
      <c r="Q404" s="96"/>
      <c r="R404" s="96"/>
      <c r="S404" s="84"/>
    </row>
    <row r="405" spans="2:22" x14ac:dyDescent="0.35">
      <c r="B405" s="851"/>
      <c r="G405" s="1080"/>
      <c r="H405" s="785"/>
      <c r="I405" s="784"/>
      <c r="J405" s="784"/>
      <c r="K405" s="830"/>
      <c r="L405" s="896"/>
      <c r="M405" s="829"/>
      <c r="N405" s="287"/>
      <c r="O405" s="829"/>
      <c r="P405" s="829"/>
      <c r="Q405" s="96"/>
      <c r="R405" s="96"/>
      <c r="S405" s="84"/>
    </row>
    <row r="406" spans="2:22" x14ac:dyDescent="0.35">
      <c r="B406" s="851">
        <v>46024</v>
      </c>
      <c r="C406" s="84" t="s">
        <v>7412</v>
      </c>
      <c r="D406" s="84"/>
      <c r="E406" s="84" t="s">
        <v>5593</v>
      </c>
      <c r="F406" s="84" t="s">
        <v>126</v>
      </c>
      <c r="G406" s="505" t="s">
        <v>7439</v>
      </c>
      <c r="H406" s="785">
        <v>45755</v>
      </c>
      <c r="I406" s="507">
        <v>0</v>
      </c>
      <c r="J406" s="484">
        <v>15</v>
      </c>
      <c r="L406" s="516" t="s">
        <v>361</v>
      </c>
      <c r="N406" s="287" t="s">
        <v>7440</v>
      </c>
      <c r="P406" s="146"/>
      <c r="Q406" s="287"/>
    </row>
    <row r="407" spans="2:22" x14ac:dyDescent="0.35">
      <c r="B407" s="851">
        <v>46024</v>
      </c>
      <c r="C407" s="84" t="s">
        <v>7412</v>
      </c>
      <c r="D407" s="84"/>
      <c r="E407" s="84" t="s">
        <v>5593</v>
      </c>
      <c r="F407" s="84" t="s">
        <v>126</v>
      </c>
      <c r="G407" s="505" t="s">
        <v>7441</v>
      </c>
      <c r="H407" s="785">
        <v>45755</v>
      </c>
      <c r="I407" s="507">
        <v>0</v>
      </c>
      <c r="J407" s="484">
        <v>15</v>
      </c>
      <c r="L407" s="516" t="s">
        <v>363</v>
      </c>
      <c r="N407" s="287" t="s">
        <v>7442</v>
      </c>
    </row>
    <row r="408" spans="2:22" x14ac:dyDescent="0.35">
      <c r="B408" s="851">
        <v>46024</v>
      </c>
      <c r="C408" s="84" t="s">
        <v>7412</v>
      </c>
      <c r="D408" s="84"/>
      <c r="E408" s="84" t="s">
        <v>5593</v>
      </c>
      <c r="F408" s="84" t="s">
        <v>175</v>
      </c>
      <c r="G408" s="87" t="s">
        <v>7443</v>
      </c>
      <c r="H408" s="785">
        <v>45896</v>
      </c>
      <c r="I408" s="507">
        <v>15</v>
      </c>
      <c r="J408" s="484">
        <v>0</v>
      </c>
      <c r="K408" s="96" t="s">
        <v>4664</v>
      </c>
      <c r="L408" s="830" t="s">
        <v>4410</v>
      </c>
      <c r="M408" s="830" t="s">
        <v>4411</v>
      </c>
      <c r="N408" s="287" t="s">
        <v>7444</v>
      </c>
      <c r="O408" s="829" t="s">
        <v>4889</v>
      </c>
      <c r="P408" s="829" t="s">
        <v>6491</v>
      </c>
      <c r="Q408" s="96" t="s">
        <v>6492</v>
      </c>
      <c r="R408" s="96" t="s">
        <v>6493</v>
      </c>
      <c r="S408" s="96" t="s">
        <v>4370</v>
      </c>
    </row>
    <row r="409" spans="2:22" x14ac:dyDescent="0.35">
      <c r="B409" s="1153">
        <v>46024</v>
      </c>
      <c r="C409" s="1154" t="s">
        <v>7412</v>
      </c>
      <c r="D409" s="1154"/>
      <c r="E409" s="1154" t="s">
        <v>5593</v>
      </c>
      <c r="F409" s="1154" t="s">
        <v>126</v>
      </c>
      <c r="G409" s="1155" t="s">
        <v>7445</v>
      </c>
      <c r="H409" s="1156">
        <v>45755</v>
      </c>
      <c r="I409" s="784">
        <v>0</v>
      </c>
      <c r="J409" s="784">
        <v>15</v>
      </c>
      <c r="K409" s="830"/>
      <c r="L409" s="896" t="s">
        <v>364</v>
      </c>
      <c r="M409" s="829"/>
      <c r="N409" s="287" t="s">
        <v>7446</v>
      </c>
      <c r="O409" s="829"/>
    </row>
    <row r="410" spans="2:22" x14ac:dyDescent="0.35">
      <c r="B410" s="1153"/>
      <c r="C410" s="1154"/>
      <c r="D410" s="1154"/>
      <c r="E410" s="1154"/>
      <c r="F410" s="1154"/>
      <c r="G410" s="1155"/>
      <c r="H410" s="1156"/>
      <c r="I410" s="784"/>
      <c r="J410" s="784"/>
      <c r="K410" s="830"/>
      <c r="L410" s="896"/>
      <c r="M410" s="829"/>
      <c r="N410" s="287"/>
      <c r="O410" s="829"/>
    </row>
    <row r="411" spans="2:22" x14ac:dyDescent="0.35">
      <c r="B411" s="1153"/>
      <c r="C411" s="1154"/>
      <c r="D411" s="1154"/>
      <c r="E411" s="1154"/>
      <c r="F411" s="1154"/>
      <c r="G411" s="1155"/>
      <c r="H411" s="1156"/>
      <c r="I411" s="784"/>
      <c r="J411" s="784"/>
      <c r="K411" s="830"/>
      <c r="L411" s="896"/>
      <c r="M411" s="829"/>
      <c r="N411" s="287"/>
      <c r="O411" s="829"/>
    </row>
    <row r="412" spans="2:22" x14ac:dyDescent="0.35">
      <c r="B412" s="851">
        <v>46033</v>
      </c>
      <c r="C412" s="84" t="s">
        <v>7447</v>
      </c>
      <c r="D412" s="84"/>
      <c r="E412" s="84"/>
      <c r="F412" s="783" t="s">
        <v>174</v>
      </c>
      <c r="G412" s="784" t="s">
        <v>7448</v>
      </c>
      <c r="H412" s="785">
        <v>45237</v>
      </c>
      <c r="I412" s="786">
        <v>125</v>
      </c>
      <c r="J412" s="784">
        <v>0</v>
      </c>
      <c r="K412" s="1039" t="s">
        <v>5756</v>
      </c>
      <c r="L412" s="1040" t="s">
        <v>7449</v>
      </c>
      <c r="M412" s="1040" t="s">
        <v>7450</v>
      </c>
      <c r="N412" s="549" t="s">
        <v>7451</v>
      </c>
      <c r="O412" s="829" t="s">
        <v>4755</v>
      </c>
      <c r="P412" s="829" t="s">
        <v>7452</v>
      </c>
      <c r="Q412" s="96" t="s">
        <v>7453</v>
      </c>
      <c r="R412" s="96" t="s">
        <v>7454</v>
      </c>
      <c r="S412" s="96" t="s">
        <v>4407</v>
      </c>
    </row>
    <row r="413" spans="2:22" x14ac:dyDescent="0.35">
      <c r="B413" s="851">
        <v>46033</v>
      </c>
      <c r="C413" s="84" t="s">
        <v>7447</v>
      </c>
      <c r="D413" s="84"/>
      <c r="E413" s="84"/>
      <c r="F413" s="84" t="s">
        <v>126</v>
      </c>
      <c r="G413" s="505" t="s">
        <v>7455</v>
      </c>
      <c r="H413" s="785">
        <v>45881</v>
      </c>
      <c r="J413" s="484">
        <v>125</v>
      </c>
      <c r="L413" s="516" t="s">
        <v>350</v>
      </c>
      <c r="N413" s="1167" t="s">
        <v>7456</v>
      </c>
      <c r="P413" s="146" t="s">
        <v>6969</v>
      </c>
    </row>
    <row r="414" spans="2:22" x14ac:dyDescent="0.35">
      <c r="B414" s="851">
        <v>46033</v>
      </c>
      <c r="C414" s="84" t="s">
        <v>7447</v>
      </c>
      <c r="D414" s="84"/>
      <c r="E414" s="84"/>
      <c r="F414" s="783" t="s">
        <v>174</v>
      </c>
      <c r="G414" s="87" t="s">
        <v>7457</v>
      </c>
      <c r="H414" s="785">
        <v>45983</v>
      </c>
      <c r="I414" s="507">
        <v>125</v>
      </c>
      <c r="L414" s="127" t="s">
        <v>7458</v>
      </c>
      <c r="N414" s="1167" t="s">
        <v>7459</v>
      </c>
      <c r="O414" s="146" t="s">
        <v>4966</v>
      </c>
      <c r="P414" s="146" t="s">
        <v>7460</v>
      </c>
      <c r="S414" s="484" t="s">
        <v>6133</v>
      </c>
    </row>
    <row r="415" spans="2:22" x14ac:dyDescent="0.35">
      <c r="B415" s="851"/>
      <c r="D415" s="84"/>
      <c r="E415" s="84"/>
      <c r="F415" s="84"/>
      <c r="H415" s="785"/>
      <c r="N415" s="1167"/>
    </row>
    <row r="416" spans="2:22" x14ac:dyDescent="0.35">
      <c r="B416" s="851">
        <v>46055</v>
      </c>
      <c r="C416" s="484" t="s">
        <v>362</v>
      </c>
      <c r="D416" s="84" t="s">
        <v>7434</v>
      </c>
      <c r="E416" s="84" t="s">
        <v>5593</v>
      </c>
      <c r="F416" s="84" t="s">
        <v>126</v>
      </c>
      <c r="G416" s="505" t="s">
        <v>7461</v>
      </c>
      <c r="H416" s="785"/>
      <c r="I416" s="507">
        <v>0</v>
      </c>
      <c r="J416" s="484">
        <v>15</v>
      </c>
      <c r="L416" s="516" t="s">
        <v>323</v>
      </c>
      <c r="N416" s="287" t="s">
        <v>7462</v>
      </c>
      <c r="P416" s="146" t="s">
        <v>7463</v>
      </c>
    </row>
    <row r="417" spans="2:19" x14ac:dyDescent="0.35">
      <c r="B417" s="851">
        <v>46055</v>
      </c>
      <c r="C417" s="484" t="s">
        <v>362</v>
      </c>
      <c r="D417" s="84" t="s">
        <v>7434</v>
      </c>
      <c r="E417" s="84" t="s">
        <v>5593</v>
      </c>
      <c r="F417" s="84" t="s">
        <v>126</v>
      </c>
      <c r="G417" s="505" t="s">
        <v>7464</v>
      </c>
      <c r="H417" s="785">
        <v>45755</v>
      </c>
      <c r="I417" s="507">
        <v>0</v>
      </c>
      <c r="J417" s="484">
        <v>15</v>
      </c>
      <c r="L417" s="516" t="s">
        <v>326</v>
      </c>
      <c r="N417" s="287" t="s">
        <v>7465</v>
      </c>
    </row>
    <row r="418" spans="2:19" x14ac:dyDescent="0.35">
      <c r="B418" s="851">
        <v>46055</v>
      </c>
      <c r="C418" s="484" t="s">
        <v>362</v>
      </c>
      <c r="D418" s="84" t="s">
        <v>7434</v>
      </c>
      <c r="E418" s="84" t="s">
        <v>5593</v>
      </c>
      <c r="F418" s="84" t="s">
        <v>174</v>
      </c>
      <c r="G418" s="87" t="s">
        <v>7466</v>
      </c>
      <c r="H418" s="785">
        <v>46022</v>
      </c>
      <c r="I418" s="507">
        <v>15</v>
      </c>
      <c r="J418" s="484">
        <v>0</v>
      </c>
      <c r="L418" s="516" t="s">
        <v>570</v>
      </c>
      <c r="N418" s="287" t="s">
        <v>7467</v>
      </c>
      <c r="O418" s="146" t="s">
        <v>5709</v>
      </c>
      <c r="P418" s="146" t="s">
        <v>7468</v>
      </c>
    </row>
    <row r="419" spans="2:19" x14ac:dyDescent="0.35">
      <c r="B419" s="851">
        <v>46055</v>
      </c>
      <c r="C419" s="484" t="s">
        <v>362</v>
      </c>
      <c r="D419" s="84" t="s">
        <v>7434</v>
      </c>
      <c r="E419" s="84" t="s">
        <v>5593</v>
      </c>
      <c r="F419" s="84" t="s">
        <v>174</v>
      </c>
      <c r="G419" s="87" t="s">
        <v>7469</v>
      </c>
      <c r="H419" s="785">
        <v>46033</v>
      </c>
      <c r="I419" s="507">
        <v>15</v>
      </c>
      <c r="L419" s="516" t="s">
        <v>406</v>
      </c>
      <c r="N419" s="287" t="s">
        <v>7470</v>
      </c>
      <c r="O419" s="146" t="s">
        <v>5014</v>
      </c>
      <c r="P419" s="146" t="s">
        <v>7471</v>
      </c>
    </row>
    <row r="420" spans="2:19" x14ac:dyDescent="0.35">
      <c r="B420" s="851"/>
      <c r="D420" s="84"/>
      <c r="E420" s="84"/>
      <c r="F420" s="84"/>
      <c r="H420" s="785"/>
      <c r="N420" s="287"/>
    </row>
    <row r="422" spans="2:19" x14ac:dyDescent="0.35">
      <c r="B422" s="851"/>
      <c r="C422" s="84"/>
      <c r="D422" s="84"/>
      <c r="E422" s="84"/>
      <c r="F422" s="84"/>
      <c r="G422" s="87"/>
      <c r="H422" s="785"/>
      <c r="K422" s="84"/>
      <c r="L422" s="127"/>
      <c r="M422" s="127"/>
      <c r="N422" s="287"/>
      <c r="O422" s="146"/>
      <c r="P422" s="146"/>
      <c r="S422" s="84"/>
    </row>
    <row r="423" spans="2:19" x14ac:dyDescent="0.35">
      <c r="B423" s="851">
        <v>46088</v>
      </c>
      <c r="C423" s="84" t="s">
        <v>224</v>
      </c>
      <c r="D423" s="84"/>
      <c r="E423" s="84" t="s">
        <v>5375</v>
      </c>
      <c r="F423" s="84" t="s">
        <v>174</v>
      </c>
      <c r="G423" s="87" t="s">
        <v>7472</v>
      </c>
      <c r="H423" s="785">
        <v>46045</v>
      </c>
      <c r="I423" s="507">
        <v>125</v>
      </c>
      <c r="J423" s="484">
        <v>0</v>
      </c>
      <c r="K423" s="84"/>
      <c r="L423" s="127" t="s">
        <v>7473</v>
      </c>
      <c r="M423" s="127" t="s">
        <v>7474</v>
      </c>
      <c r="N423" s="287" t="s">
        <v>7475</v>
      </c>
      <c r="O423" s="146" t="s">
        <v>4808</v>
      </c>
      <c r="P423" s="146" t="s">
        <v>7476</v>
      </c>
      <c r="S423" s="84"/>
    </row>
    <row r="424" spans="2:19" x14ac:dyDescent="0.35">
      <c r="B424" s="851">
        <v>46088</v>
      </c>
      <c r="C424" s="84" t="s">
        <v>224</v>
      </c>
      <c r="D424" s="84"/>
      <c r="E424" s="84" t="s">
        <v>5375</v>
      </c>
      <c r="F424" s="84" t="s">
        <v>175</v>
      </c>
      <c r="G424" s="87" t="s">
        <v>7477</v>
      </c>
      <c r="H424" s="785">
        <v>46071</v>
      </c>
      <c r="I424" s="507">
        <v>125</v>
      </c>
      <c r="K424" s="84"/>
      <c r="L424" s="127" t="s">
        <v>4188</v>
      </c>
      <c r="M424" s="127" t="s">
        <v>6183</v>
      </c>
      <c r="N424" s="287" t="s">
        <v>7144</v>
      </c>
      <c r="O424" s="146" t="s">
        <v>4879</v>
      </c>
      <c r="P424" s="146" t="s">
        <v>7145</v>
      </c>
      <c r="S424" s="84"/>
    </row>
    <row r="425" spans="2:19" x14ac:dyDescent="0.35">
      <c r="B425" s="851"/>
      <c r="C425" s="84"/>
      <c r="D425" s="84"/>
      <c r="E425" s="84"/>
      <c r="F425" s="84"/>
      <c r="G425" s="87"/>
      <c r="H425" s="785"/>
      <c r="K425" s="84"/>
      <c r="L425" s="127"/>
      <c r="M425" s="127"/>
      <c r="N425" s="287"/>
      <c r="O425" s="146"/>
      <c r="P425" s="146"/>
      <c r="S425" s="84"/>
    </row>
    <row r="426" spans="2:19" x14ac:dyDescent="0.35">
      <c r="B426" s="851">
        <v>46112</v>
      </c>
      <c r="C426" s="84" t="s">
        <v>783</v>
      </c>
      <c r="D426" s="783" t="s">
        <v>316</v>
      </c>
      <c r="E426" s="783" t="s">
        <v>5374</v>
      </c>
      <c r="F426" s="84" t="s">
        <v>174</v>
      </c>
      <c r="G426" s="87" t="s">
        <v>7478</v>
      </c>
      <c r="H426" s="785">
        <v>45897</v>
      </c>
      <c r="I426" s="507">
        <v>50</v>
      </c>
      <c r="J426" s="484">
        <v>0</v>
      </c>
      <c r="K426" s="84" t="s">
        <v>4664</v>
      </c>
      <c r="L426" s="127" t="s">
        <v>4474</v>
      </c>
      <c r="M426" s="127" t="s">
        <v>5603</v>
      </c>
      <c r="N426" s="287" t="s">
        <v>7479</v>
      </c>
      <c r="O426" s="146" t="s">
        <v>4755</v>
      </c>
      <c r="P426" s="146"/>
      <c r="S426" s="84" t="s">
        <v>5728</v>
      </c>
    </row>
    <row r="427" spans="2:19" x14ac:dyDescent="0.35">
      <c r="B427" s="851">
        <v>46112</v>
      </c>
      <c r="C427" s="84" t="s">
        <v>783</v>
      </c>
      <c r="D427" s="783" t="s">
        <v>316</v>
      </c>
      <c r="E427" s="783" t="s">
        <v>5374</v>
      </c>
      <c r="F427" s="84" t="s">
        <v>111</v>
      </c>
      <c r="G427" s="1045" t="s">
        <v>7480</v>
      </c>
      <c r="H427" s="785">
        <v>46028</v>
      </c>
      <c r="I427" s="507">
        <v>40</v>
      </c>
      <c r="J427" s="484">
        <v>0</v>
      </c>
      <c r="K427" s="84"/>
      <c r="L427" s="127" t="s">
        <v>6186</v>
      </c>
      <c r="M427" s="127" t="s">
        <v>5786</v>
      </c>
      <c r="N427" s="287" t="s">
        <v>6810</v>
      </c>
      <c r="O427" s="146"/>
      <c r="P427" s="146" t="s">
        <v>6811</v>
      </c>
      <c r="S427" s="84"/>
    </row>
    <row r="428" spans="2:19" x14ac:dyDescent="0.35">
      <c r="B428" s="851">
        <v>46112</v>
      </c>
      <c r="C428" s="84" t="s">
        <v>783</v>
      </c>
      <c r="D428" s="783" t="s">
        <v>316</v>
      </c>
      <c r="E428" s="783" t="s">
        <v>5374</v>
      </c>
      <c r="F428" s="84" t="s">
        <v>111</v>
      </c>
      <c r="G428" s="1045" t="s">
        <v>7481</v>
      </c>
      <c r="H428" s="785">
        <v>46030</v>
      </c>
      <c r="I428" s="507">
        <v>40</v>
      </c>
      <c r="J428" s="484">
        <v>0</v>
      </c>
      <c r="K428" s="84"/>
      <c r="L428" s="127" t="s">
        <v>7482</v>
      </c>
      <c r="M428" s="127" t="s">
        <v>7483</v>
      </c>
      <c r="N428" s="287" t="s">
        <v>7484</v>
      </c>
      <c r="O428" s="146"/>
      <c r="P428" s="146" t="s">
        <v>7485</v>
      </c>
      <c r="S428" s="84"/>
    </row>
    <row r="429" spans="2:19" x14ac:dyDescent="0.35">
      <c r="B429" s="851"/>
      <c r="C429" s="84"/>
      <c r="D429" s="783"/>
      <c r="E429" s="783"/>
      <c r="F429" s="84"/>
      <c r="G429" s="1045"/>
      <c r="H429" s="785"/>
      <c r="K429" s="84"/>
      <c r="L429" s="127"/>
      <c r="M429" s="127"/>
      <c r="N429" s="287"/>
      <c r="O429" s="146"/>
      <c r="P429" s="146"/>
      <c r="S429" s="84"/>
    </row>
    <row r="430" spans="2:19" x14ac:dyDescent="0.35">
      <c r="B430" s="851">
        <v>46122</v>
      </c>
      <c r="C430" s="84" t="s">
        <v>357</v>
      </c>
      <c r="D430" s="783"/>
      <c r="E430" s="783" t="s">
        <v>528</v>
      </c>
      <c r="F430" s="84" t="s">
        <v>174</v>
      </c>
      <c r="G430" s="1045" t="s">
        <v>7486</v>
      </c>
      <c r="H430" s="785">
        <v>46049</v>
      </c>
      <c r="I430" s="507">
        <v>825</v>
      </c>
      <c r="J430" s="484">
        <v>0</v>
      </c>
      <c r="K430" s="84"/>
      <c r="L430" s="127" t="s">
        <v>4145</v>
      </c>
      <c r="M430" s="127" t="s">
        <v>7487</v>
      </c>
      <c r="N430" s="287" t="s">
        <v>7488</v>
      </c>
      <c r="O430" s="146" t="s">
        <v>6530</v>
      </c>
      <c r="P430" s="146" t="s">
        <v>7489</v>
      </c>
      <c r="S430" s="84"/>
    </row>
    <row r="431" spans="2:19" x14ac:dyDescent="0.35">
      <c r="B431" s="851">
        <v>46122</v>
      </c>
      <c r="C431" s="84" t="s">
        <v>357</v>
      </c>
      <c r="D431" s="783"/>
      <c r="E431" s="783" t="s">
        <v>528</v>
      </c>
      <c r="F431" s="84" t="s">
        <v>178</v>
      </c>
      <c r="G431" s="1045" t="s">
        <v>7490</v>
      </c>
      <c r="H431" s="785">
        <v>46068</v>
      </c>
      <c r="I431" s="507">
        <v>825</v>
      </c>
      <c r="J431" s="484">
        <v>0</v>
      </c>
      <c r="K431" s="84"/>
      <c r="L431" s="127" t="s">
        <v>7491</v>
      </c>
      <c r="M431" s="127" t="s">
        <v>7492</v>
      </c>
      <c r="N431" s="287" t="s">
        <v>7493</v>
      </c>
      <c r="O431" s="146" t="s">
        <v>5415</v>
      </c>
      <c r="P431" s="146"/>
      <c r="S431" s="84" t="s">
        <v>7494</v>
      </c>
    </row>
    <row r="432" spans="2:19" x14ac:dyDescent="0.35">
      <c r="B432" s="851"/>
      <c r="C432" s="84"/>
      <c r="D432" s="783"/>
      <c r="E432" s="783"/>
      <c r="F432" s="84"/>
      <c r="G432" s="1045"/>
      <c r="H432" s="785"/>
      <c r="K432" s="84"/>
      <c r="L432" s="127"/>
      <c r="M432" s="127"/>
      <c r="N432" s="287"/>
      <c r="O432" s="146"/>
      <c r="P432" s="146"/>
      <c r="S432" s="84"/>
    </row>
    <row r="433" spans="1:19" x14ac:dyDescent="0.35">
      <c r="R433" s="96"/>
      <c r="S433" s="84" t="s">
        <v>7224</v>
      </c>
    </row>
    <row r="434" spans="1:19" x14ac:dyDescent="0.35">
      <c r="B434" s="851">
        <v>46130</v>
      </c>
      <c r="C434" s="851" t="s">
        <v>1426</v>
      </c>
      <c r="D434" s="783" t="s">
        <v>6470</v>
      </c>
      <c r="E434" s="783" t="s">
        <v>6471</v>
      </c>
      <c r="F434" s="784" t="s">
        <v>174</v>
      </c>
      <c r="G434" s="87" t="s">
        <v>7495</v>
      </c>
      <c r="H434" s="785">
        <v>45996</v>
      </c>
      <c r="I434" s="507">
        <v>125</v>
      </c>
      <c r="J434" s="484">
        <v>0</v>
      </c>
      <c r="K434" s="84" t="s">
        <v>4664</v>
      </c>
      <c r="L434" s="127" t="s">
        <v>4152</v>
      </c>
      <c r="M434" s="127" t="s">
        <v>7496</v>
      </c>
      <c r="N434" s="287" t="s">
        <v>7497</v>
      </c>
      <c r="O434" s="146" t="s">
        <v>4705</v>
      </c>
      <c r="P434" s="146" t="s">
        <v>7498</v>
      </c>
      <c r="Q434" s="96"/>
      <c r="R434" s="96"/>
      <c r="S434" s="84"/>
    </row>
    <row r="435" spans="1:19" x14ac:dyDescent="0.35">
      <c r="B435" s="851">
        <v>46130</v>
      </c>
      <c r="C435" s="851" t="s">
        <v>1426</v>
      </c>
      <c r="D435" s="783" t="s">
        <v>6470</v>
      </c>
      <c r="E435" s="783" t="s">
        <v>6471</v>
      </c>
      <c r="F435" s="784" t="s">
        <v>174</v>
      </c>
      <c r="G435" s="785" t="s">
        <v>7499</v>
      </c>
      <c r="H435" s="785">
        <v>46000</v>
      </c>
      <c r="I435" s="784">
        <v>125</v>
      </c>
      <c r="J435" s="784">
        <v>0</v>
      </c>
      <c r="K435" s="830" t="s">
        <v>4664</v>
      </c>
      <c r="L435" s="896" t="s">
        <v>7500</v>
      </c>
      <c r="M435" s="829" t="s">
        <v>7501</v>
      </c>
      <c r="N435" s="287" t="s">
        <v>7502</v>
      </c>
      <c r="O435" s="829" t="s">
        <v>4804</v>
      </c>
      <c r="P435" s="829" t="s">
        <v>7503</v>
      </c>
      <c r="Q435" s="96"/>
      <c r="R435" s="96"/>
      <c r="S435" s="84"/>
    </row>
    <row r="436" spans="1:19" x14ac:dyDescent="0.35">
      <c r="B436" s="851"/>
      <c r="C436" s="851"/>
      <c r="D436" s="783"/>
      <c r="E436" s="783"/>
      <c r="F436" s="784"/>
      <c r="G436" s="785"/>
      <c r="H436" s="785"/>
      <c r="I436" s="784"/>
      <c r="J436" s="784"/>
      <c r="K436" s="830"/>
      <c r="L436" s="896"/>
      <c r="M436" s="829"/>
      <c r="N436" s="287"/>
      <c r="O436" s="829"/>
      <c r="P436" s="829"/>
      <c r="Q436" s="96"/>
      <c r="R436" s="96"/>
      <c r="S436" s="84"/>
    </row>
    <row r="438" spans="1:19" x14ac:dyDescent="0.35">
      <c r="B438" s="607"/>
      <c r="C438" s="607"/>
      <c r="R438" s="96"/>
      <c r="S438" s="84"/>
    </row>
    <row r="439" spans="1:19" x14ac:dyDescent="0.35">
      <c r="A439" s="84" t="s">
        <v>7504</v>
      </c>
      <c r="B439" s="879">
        <v>46135</v>
      </c>
      <c r="C439" s="878" t="s">
        <v>6672</v>
      </c>
      <c r="D439" s="783" t="s">
        <v>6749</v>
      </c>
      <c r="E439" s="607"/>
      <c r="F439" s="607" t="s">
        <v>175</v>
      </c>
      <c r="G439" s="608" t="s">
        <v>7505</v>
      </c>
      <c r="H439" s="899">
        <v>46106</v>
      </c>
      <c r="I439" s="609">
        <v>99</v>
      </c>
      <c r="J439" s="607"/>
      <c r="K439" s="607"/>
      <c r="L439" s="1162" t="s">
        <v>1019</v>
      </c>
      <c r="N439" s="287" t="s">
        <v>4532</v>
      </c>
      <c r="O439" s="146" t="s">
        <v>6530</v>
      </c>
      <c r="P439" s="146" t="s">
        <v>4535</v>
      </c>
      <c r="Q439" s="96"/>
      <c r="R439" s="96"/>
      <c r="S439" s="84"/>
    </row>
    <row r="440" spans="1:19" x14ac:dyDescent="0.35">
      <c r="B440" s="851"/>
      <c r="C440" s="783"/>
      <c r="D440" s="783"/>
      <c r="E440" s="783"/>
      <c r="F440" s="784"/>
      <c r="G440" s="785"/>
      <c r="H440" s="785"/>
      <c r="I440" s="784"/>
      <c r="J440" s="784"/>
      <c r="K440" s="830"/>
      <c r="L440" s="896"/>
      <c r="M440" s="829"/>
      <c r="N440" s="287"/>
      <c r="O440" s="829"/>
      <c r="P440" s="829"/>
      <c r="Q440" s="96"/>
      <c r="R440" s="96"/>
      <c r="S440" s="84"/>
    </row>
    <row r="441" spans="1:19" x14ac:dyDescent="0.35">
      <c r="B441" s="851">
        <v>46137</v>
      </c>
      <c r="C441" s="783" t="s">
        <v>6672</v>
      </c>
      <c r="D441" s="783" t="s">
        <v>6470</v>
      </c>
      <c r="E441" s="783"/>
      <c r="F441" s="784" t="s">
        <v>174</v>
      </c>
      <c r="G441" s="785" t="s">
        <v>7506</v>
      </c>
      <c r="H441" s="785">
        <v>46119</v>
      </c>
      <c r="I441" s="784">
        <v>150</v>
      </c>
      <c r="J441" s="784">
        <v>0</v>
      </c>
      <c r="K441" s="830"/>
      <c r="L441" s="896" t="s">
        <v>277</v>
      </c>
      <c r="M441" s="829"/>
      <c r="N441" s="287" t="s">
        <v>7507</v>
      </c>
      <c r="O441" s="829" t="s">
        <v>4683</v>
      </c>
      <c r="P441" s="829" t="s">
        <v>7508</v>
      </c>
      <c r="Q441" s="96"/>
      <c r="R441" s="96"/>
      <c r="S441" s="84"/>
    </row>
    <row r="442" spans="1:19" x14ac:dyDescent="0.35">
      <c r="B442" s="851">
        <v>46137</v>
      </c>
      <c r="C442" s="783" t="s">
        <v>6672</v>
      </c>
      <c r="D442" s="783" t="s">
        <v>6692</v>
      </c>
      <c r="E442" s="783"/>
      <c r="F442" s="784" t="s">
        <v>174</v>
      </c>
      <c r="G442" s="785" t="s">
        <v>7509</v>
      </c>
      <c r="H442" s="785">
        <v>46136</v>
      </c>
      <c r="I442" s="784">
        <v>99</v>
      </c>
      <c r="J442" s="784"/>
      <c r="K442" s="830"/>
      <c r="L442" s="896" t="s">
        <v>7510</v>
      </c>
      <c r="M442" s="829"/>
      <c r="N442" s="287" t="s">
        <v>7511</v>
      </c>
      <c r="O442" s="829" t="s">
        <v>4755</v>
      </c>
      <c r="P442" s="829" t="s">
        <v>7512</v>
      </c>
      <c r="Q442" s="96"/>
      <c r="R442" s="96"/>
      <c r="S442" s="84"/>
    </row>
    <row r="443" spans="1:19" x14ac:dyDescent="0.35">
      <c r="B443" s="851">
        <v>46137</v>
      </c>
      <c r="C443" s="783" t="s">
        <v>6672</v>
      </c>
      <c r="D443" s="783" t="s">
        <v>6692</v>
      </c>
      <c r="E443" s="783"/>
      <c r="F443" s="784" t="s">
        <v>174</v>
      </c>
      <c r="G443" s="785" t="s">
        <v>7513</v>
      </c>
      <c r="H443" s="785">
        <v>46120</v>
      </c>
      <c r="I443" s="784">
        <v>99</v>
      </c>
      <c r="J443" s="784">
        <v>0</v>
      </c>
      <c r="K443" s="830"/>
      <c r="L443" s="896" t="s">
        <v>276</v>
      </c>
      <c r="M443" s="829"/>
      <c r="N443" s="287" t="s">
        <v>5830</v>
      </c>
      <c r="O443" s="829"/>
      <c r="P443" s="829" t="s">
        <v>5832</v>
      </c>
      <c r="Q443" s="96"/>
      <c r="R443" s="96"/>
      <c r="S443" s="84"/>
    </row>
    <row r="444" spans="1:19" x14ac:dyDescent="0.35">
      <c r="B444" s="851">
        <v>46137</v>
      </c>
      <c r="C444" s="783" t="s">
        <v>6672</v>
      </c>
      <c r="D444" s="783" t="s">
        <v>6692</v>
      </c>
      <c r="E444" s="783"/>
      <c r="F444" s="784" t="s">
        <v>174</v>
      </c>
      <c r="G444" s="785" t="s">
        <v>7514</v>
      </c>
      <c r="H444" s="785">
        <v>46129</v>
      </c>
      <c r="I444" s="784">
        <v>99</v>
      </c>
      <c r="J444" s="784"/>
      <c r="K444" s="830"/>
      <c r="L444" s="896" t="s">
        <v>207</v>
      </c>
      <c r="M444" s="829" t="s">
        <v>4471</v>
      </c>
      <c r="N444" s="287" t="s">
        <v>7515</v>
      </c>
      <c r="O444" s="829" t="s">
        <v>5454</v>
      </c>
      <c r="P444" s="829" t="s">
        <v>7516</v>
      </c>
      <c r="Q444" s="96"/>
      <c r="R444" s="96"/>
      <c r="S444" s="84"/>
    </row>
    <row r="445" spans="1:19" x14ac:dyDescent="0.35">
      <c r="B445" s="851">
        <v>46137</v>
      </c>
      <c r="C445" s="783" t="s">
        <v>6672</v>
      </c>
      <c r="D445" s="783" t="s">
        <v>6692</v>
      </c>
      <c r="E445" s="783"/>
      <c r="F445" s="784" t="s">
        <v>126</v>
      </c>
      <c r="G445" s="785" t="s">
        <v>7517</v>
      </c>
      <c r="H445" s="785">
        <v>46129</v>
      </c>
      <c r="I445" s="784">
        <v>99</v>
      </c>
      <c r="J445" s="784">
        <v>0</v>
      </c>
      <c r="K445" s="830"/>
      <c r="L445" s="896" t="s">
        <v>7518</v>
      </c>
      <c r="M445" s="829"/>
      <c r="N445" s="287" t="s">
        <v>7519</v>
      </c>
      <c r="O445" s="829"/>
      <c r="P445" s="829" t="s">
        <v>7520</v>
      </c>
      <c r="Q445" s="96"/>
      <c r="R445" s="96"/>
      <c r="S445" s="84"/>
    </row>
    <row r="446" spans="1:19" x14ac:dyDescent="0.35">
      <c r="B446" s="851">
        <v>46137</v>
      </c>
      <c r="C446" s="783" t="s">
        <v>6672</v>
      </c>
      <c r="D446" s="783" t="s">
        <v>6749</v>
      </c>
      <c r="E446" s="783"/>
      <c r="F446" s="784" t="s">
        <v>175</v>
      </c>
      <c r="G446" s="785" t="s">
        <v>7521</v>
      </c>
      <c r="H446" s="785">
        <v>46106</v>
      </c>
      <c r="I446" s="784">
        <v>99</v>
      </c>
      <c r="J446" s="784">
        <v>0</v>
      </c>
      <c r="K446" s="830"/>
      <c r="L446" s="896" t="s">
        <v>310</v>
      </c>
      <c r="M446" s="829"/>
      <c r="N446" s="287" t="s">
        <v>7522</v>
      </c>
      <c r="O446" s="829" t="s">
        <v>5604</v>
      </c>
      <c r="P446" s="829" t="s">
        <v>7523</v>
      </c>
      <c r="Q446" s="96"/>
      <c r="R446" s="96"/>
      <c r="S446" s="84"/>
    </row>
    <row r="447" spans="1:19" x14ac:dyDescent="0.35">
      <c r="B447" s="851">
        <v>46137</v>
      </c>
      <c r="C447" s="783" t="s">
        <v>6672</v>
      </c>
      <c r="D447" s="783" t="s">
        <v>6749</v>
      </c>
      <c r="E447" s="783"/>
      <c r="F447" s="784" t="s">
        <v>174</v>
      </c>
      <c r="G447" s="785" t="s">
        <v>7524</v>
      </c>
      <c r="H447" s="785">
        <v>46051</v>
      </c>
      <c r="I447" s="784">
        <f>198/2</f>
        <v>99</v>
      </c>
      <c r="J447" s="784">
        <v>0</v>
      </c>
      <c r="K447" s="830"/>
      <c r="L447" s="896" t="s">
        <v>7525</v>
      </c>
      <c r="M447" s="829" t="s">
        <v>7526</v>
      </c>
      <c r="N447" s="287" t="s">
        <v>7527</v>
      </c>
      <c r="O447" s="829" t="s">
        <v>4808</v>
      </c>
      <c r="P447" s="829" t="s">
        <v>7528</v>
      </c>
      <c r="Q447" s="96"/>
      <c r="R447" s="96"/>
      <c r="S447" s="84"/>
    </row>
    <row r="448" spans="1:19" x14ac:dyDescent="0.35">
      <c r="B448" s="851">
        <v>46137</v>
      </c>
      <c r="C448" s="783" t="s">
        <v>6672</v>
      </c>
      <c r="D448" s="783" t="s">
        <v>6749</v>
      </c>
      <c r="E448" s="783"/>
      <c r="F448" s="784" t="s">
        <v>174</v>
      </c>
      <c r="G448" s="785" t="s">
        <v>7524</v>
      </c>
      <c r="H448" s="785">
        <v>46051</v>
      </c>
      <c r="I448" s="784">
        <f>198/2</f>
        <v>99</v>
      </c>
      <c r="J448" s="784">
        <v>0</v>
      </c>
      <c r="K448" s="830"/>
      <c r="L448" s="896" t="s">
        <v>7525</v>
      </c>
      <c r="M448" s="829" t="s">
        <v>7526</v>
      </c>
      <c r="N448" s="287" t="s">
        <v>7527</v>
      </c>
      <c r="O448" s="829" t="s">
        <v>4808</v>
      </c>
      <c r="P448" s="829" t="s">
        <v>7528</v>
      </c>
      <c r="Q448" s="96"/>
      <c r="R448" s="96"/>
      <c r="S448" s="84"/>
    </row>
    <row r="449" spans="1:19" x14ac:dyDescent="0.35">
      <c r="B449" s="851"/>
      <c r="C449" s="783"/>
      <c r="D449" s="783"/>
      <c r="E449" s="783"/>
      <c r="F449" s="784"/>
      <c r="G449" s="785"/>
      <c r="H449" s="785"/>
      <c r="I449" s="784"/>
      <c r="J449" s="784"/>
      <c r="K449" s="830"/>
      <c r="L449" s="896"/>
      <c r="M449" s="829"/>
      <c r="N449" s="287"/>
      <c r="O449" s="829"/>
      <c r="P449" s="829"/>
      <c r="Q449" s="96"/>
      <c r="R449" s="96"/>
      <c r="S449" s="84"/>
    </row>
    <row r="450" spans="1:19" x14ac:dyDescent="0.35">
      <c r="B450" s="851"/>
      <c r="C450" s="783"/>
      <c r="D450" s="783"/>
      <c r="E450" s="783"/>
      <c r="F450" s="784"/>
      <c r="G450" s="785"/>
      <c r="H450" s="785"/>
      <c r="I450" s="784"/>
      <c r="J450" s="784"/>
      <c r="K450" s="830"/>
      <c r="L450" s="896"/>
      <c r="M450" s="829"/>
      <c r="N450" s="287"/>
      <c r="O450" s="829"/>
      <c r="P450" s="829"/>
      <c r="Q450" s="96"/>
      <c r="R450" s="96"/>
      <c r="S450" s="84"/>
    </row>
    <row r="451" spans="1:19" x14ac:dyDescent="0.35">
      <c r="B451" s="851"/>
      <c r="C451" s="783"/>
      <c r="D451" s="783"/>
      <c r="E451" s="783"/>
      <c r="F451" s="784"/>
      <c r="G451" s="785"/>
      <c r="H451" s="785"/>
      <c r="I451" s="784"/>
      <c r="J451" s="784"/>
      <c r="K451" s="830"/>
      <c r="L451" s="896"/>
      <c r="M451" s="829"/>
      <c r="N451" s="287"/>
      <c r="O451" s="829"/>
      <c r="P451" s="829"/>
      <c r="Q451" s="96"/>
      <c r="R451" s="96"/>
      <c r="S451" s="84"/>
    </row>
    <row r="452" spans="1:19" x14ac:dyDescent="0.35">
      <c r="A452" s="84" t="s">
        <v>7529</v>
      </c>
      <c r="B452" s="851">
        <v>46138</v>
      </c>
      <c r="C452" s="783" t="s">
        <v>6672</v>
      </c>
      <c r="D452" s="783" t="s">
        <v>6470</v>
      </c>
      <c r="E452" s="898" t="s">
        <v>5509</v>
      </c>
      <c r="F452" s="84" t="s">
        <v>126</v>
      </c>
      <c r="G452" s="505" t="s">
        <v>7530</v>
      </c>
      <c r="H452" s="785">
        <v>45886</v>
      </c>
      <c r="J452" s="484">
        <v>150</v>
      </c>
      <c r="L452" s="127" t="s">
        <v>1304</v>
      </c>
      <c r="M452" s="127" t="s">
        <v>4245</v>
      </c>
      <c r="N452" s="287" t="s">
        <v>7531</v>
      </c>
      <c r="P452" s="146" t="s">
        <v>7532</v>
      </c>
    </row>
    <row r="453" spans="1:19" x14ac:dyDescent="0.35">
      <c r="B453" s="851">
        <v>46138</v>
      </c>
      <c r="C453" s="783" t="s">
        <v>6672</v>
      </c>
      <c r="D453" s="783" t="s">
        <v>6692</v>
      </c>
      <c r="E453" s="898"/>
      <c r="F453" s="84" t="s">
        <v>126</v>
      </c>
      <c r="G453" s="505" t="s">
        <v>7533</v>
      </c>
      <c r="H453" s="785">
        <v>46125</v>
      </c>
      <c r="J453" s="484">
        <v>99</v>
      </c>
      <c r="L453" s="127" t="s">
        <v>7534</v>
      </c>
      <c r="M453" s="127"/>
      <c r="N453" s="287" t="s">
        <v>7535</v>
      </c>
      <c r="P453" s="146" t="s">
        <v>7536</v>
      </c>
    </row>
    <row r="454" spans="1:19" x14ac:dyDescent="0.35">
      <c r="B454" s="851">
        <v>46138</v>
      </c>
      <c r="C454" s="783" t="s">
        <v>6672</v>
      </c>
      <c r="D454" s="783" t="s">
        <v>6692</v>
      </c>
      <c r="E454" s="783"/>
      <c r="F454" s="784" t="s">
        <v>6352</v>
      </c>
      <c r="G454" s="785" t="s">
        <v>7537</v>
      </c>
      <c r="H454" s="785">
        <v>46015</v>
      </c>
      <c r="I454" s="784">
        <v>99</v>
      </c>
      <c r="J454" s="784">
        <v>0</v>
      </c>
      <c r="K454" s="830" t="s">
        <v>5045</v>
      </c>
      <c r="L454" s="896" t="s">
        <v>7538</v>
      </c>
      <c r="M454" s="829" t="s">
        <v>7539</v>
      </c>
      <c r="N454" s="287" t="s">
        <v>7540</v>
      </c>
      <c r="O454" s="829" t="s">
        <v>4683</v>
      </c>
      <c r="P454" s="829" t="s">
        <v>7541</v>
      </c>
      <c r="Q454" s="96"/>
      <c r="R454" s="96"/>
      <c r="S454" s="84"/>
    </row>
    <row r="455" spans="1:19" x14ac:dyDescent="0.35">
      <c r="B455" s="851"/>
      <c r="C455" s="783"/>
      <c r="D455" s="783"/>
      <c r="E455" s="898"/>
      <c r="F455" s="84"/>
      <c r="H455" s="785"/>
      <c r="L455" s="127"/>
      <c r="M455" s="127"/>
      <c r="N455" s="287"/>
      <c r="P455" s="146"/>
    </row>
    <row r="456" spans="1:19" x14ac:dyDescent="0.35">
      <c r="B456" s="851"/>
      <c r="C456" s="783"/>
      <c r="D456" s="783"/>
      <c r="E456" s="898"/>
      <c r="F456" s="84"/>
      <c r="H456" s="785"/>
      <c r="L456" s="127"/>
      <c r="M456" s="127"/>
      <c r="N456" s="287"/>
      <c r="P456" s="146"/>
    </row>
    <row r="457" spans="1:19" x14ac:dyDescent="0.35">
      <c r="B457" s="851">
        <v>46140</v>
      </c>
      <c r="C457" s="783" t="s">
        <v>6672</v>
      </c>
      <c r="D457" s="783" t="s">
        <v>6692</v>
      </c>
      <c r="E457" s="84"/>
      <c r="F457" s="84" t="s">
        <v>7542</v>
      </c>
      <c r="G457" s="87" t="s">
        <v>7543</v>
      </c>
      <c r="H457" s="785">
        <v>46052</v>
      </c>
      <c r="I457" s="784">
        <v>99</v>
      </c>
      <c r="K457" s="84" t="s">
        <v>5045</v>
      </c>
      <c r="L457" s="127" t="s">
        <v>263</v>
      </c>
      <c r="M457" s="127" t="s">
        <v>4271</v>
      </c>
      <c r="N457" s="287" t="s">
        <v>6842</v>
      </c>
      <c r="O457" s="146" t="s">
        <v>5750</v>
      </c>
      <c r="P457" s="146" t="s">
        <v>7544</v>
      </c>
    </row>
    <row r="458" spans="1:19" x14ac:dyDescent="0.35">
      <c r="B458" s="851">
        <v>46140</v>
      </c>
      <c r="C458" s="783" t="s">
        <v>6672</v>
      </c>
      <c r="D458" s="783" t="s">
        <v>6692</v>
      </c>
      <c r="E458" s="783"/>
      <c r="F458" s="784" t="s">
        <v>6352</v>
      </c>
      <c r="G458" s="785" t="s">
        <v>7545</v>
      </c>
      <c r="H458" s="785">
        <v>46096</v>
      </c>
      <c r="I458" s="784">
        <v>99</v>
      </c>
      <c r="J458" s="784"/>
      <c r="K458" s="830"/>
      <c r="L458" s="896" t="s">
        <v>321</v>
      </c>
      <c r="M458" s="829"/>
      <c r="N458" s="287" t="s">
        <v>7546</v>
      </c>
      <c r="O458" s="829" t="s">
        <v>4804</v>
      </c>
      <c r="P458" s="829" t="s">
        <v>7547</v>
      </c>
    </row>
    <row r="459" spans="1:19" x14ac:dyDescent="0.35">
      <c r="B459" s="851">
        <v>46140</v>
      </c>
      <c r="C459" s="783" t="s">
        <v>6672</v>
      </c>
      <c r="D459" s="783" t="s">
        <v>6692</v>
      </c>
      <c r="E459" s="783"/>
      <c r="F459" s="84" t="s">
        <v>7542</v>
      </c>
      <c r="G459" s="785" t="s">
        <v>7548</v>
      </c>
      <c r="H459" s="785">
        <v>46106</v>
      </c>
      <c r="I459" s="784">
        <v>99</v>
      </c>
      <c r="J459" s="784">
        <v>0</v>
      </c>
      <c r="K459" s="830"/>
      <c r="L459" s="896" t="s">
        <v>309</v>
      </c>
      <c r="M459" s="829"/>
      <c r="N459" s="287" t="s">
        <v>7549</v>
      </c>
      <c r="O459" s="829" t="s">
        <v>5874</v>
      </c>
      <c r="P459" s="829" t="s">
        <v>4541</v>
      </c>
    </row>
    <row r="460" spans="1:19" x14ac:dyDescent="0.35">
      <c r="B460" s="851"/>
      <c r="C460" s="783"/>
      <c r="D460" s="783"/>
      <c r="E460" s="783"/>
      <c r="F460" s="84"/>
      <c r="G460" s="785"/>
      <c r="H460" s="785"/>
      <c r="I460" s="784"/>
      <c r="J460" s="784"/>
      <c r="K460" s="830"/>
      <c r="L460" s="896"/>
      <c r="M460" s="829"/>
      <c r="N460" s="287"/>
      <c r="O460" s="829"/>
      <c r="P460" s="829"/>
    </row>
    <row r="461" spans="1:19" x14ac:dyDescent="0.35">
      <c r="B461" s="851"/>
      <c r="C461" s="783"/>
      <c r="D461" s="783"/>
      <c r="E461" s="783"/>
      <c r="F461" s="84"/>
      <c r="G461" s="785"/>
      <c r="H461" s="785"/>
      <c r="I461" s="784"/>
      <c r="J461" s="784"/>
      <c r="K461" s="830"/>
      <c r="L461" s="896"/>
      <c r="M461" s="829"/>
      <c r="N461" s="287"/>
      <c r="O461" s="829"/>
      <c r="P461" s="829"/>
    </row>
    <row r="462" spans="1:19" x14ac:dyDescent="0.35">
      <c r="B462" s="851"/>
      <c r="C462" s="783"/>
      <c r="D462" s="783"/>
      <c r="E462" s="84"/>
      <c r="F462" s="84"/>
      <c r="G462" s="87"/>
      <c r="H462" s="785"/>
      <c r="K462" s="84"/>
      <c r="L462" s="127"/>
      <c r="M462" s="127"/>
      <c r="N462" s="287"/>
      <c r="O462" s="146"/>
      <c r="P462" s="146"/>
    </row>
    <row r="463" spans="1:19" x14ac:dyDescent="0.35">
      <c r="B463" s="851">
        <v>46142</v>
      </c>
      <c r="C463" s="783" t="s">
        <v>6672</v>
      </c>
      <c r="D463" s="783" t="s">
        <v>6470</v>
      </c>
      <c r="E463" s="783"/>
      <c r="F463" s="784" t="s">
        <v>6352</v>
      </c>
      <c r="G463" s="785" t="s">
        <v>7550</v>
      </c>
      <c r="H463" s="785">
        <v>46094</v>
      </c>
      <c r="I463" s="784">
        <v>150</v>
      </c>
      <c r="J463" s="784">
        <v>0</v>
      </c>
      <c r="K463" s="830"/>
      <c r="L463" s="896" t="s">
        <v>322</v>
      </c>
      <c r="M463" s="829"/>
      <c r="N463" s="287" t="s">
        <v>7551</v>
      </c>
      <c r="O463" s="829" t="s">
        <v>5008</v>
      </c>
      <c r="P463" s="829" t="s">
        <v>6079</v>
      </c>
      <c r="Q463" s="96"/>
    </row>
    <row r="464" spans="1:19" x14ac:dyDescent="0.35">
      <c r="B464" s="851">
        <v>46142</v>
      </c>
      <c r="C464" s="783" t="s">
        <v>6672</v>
      </c>
      <c r="D464" s="783" t="s">
        <v>6749</v>
      </c>
      <c r="E464" s="84"/>
      <c r="F464" s="84" t="s">
        <v>126</v>
      </c>
      <c r="G464" s="87" t="s">
        <v>7552</v>
      </c>
      <c r="H464" s="785"/>
      <c r="J464" s="484">
        <v>99</v>
      </c>
      <c r="K464" s="84"/>
      <c r="L464" s="127" t="s">
        <v>7553</v>
      </c>
      <c r="N464" s="1167" t="s">
        <v>7554</v>
      </c>
      <c r="O464" s="146"/>
      <c r="P464" s="146" t="s">
        <v>7555</v>
      </c>
    </row>
    <row r="465" spans="1:19" x14ac:dyDescent="0.35">
      <c r="B465" s="851">
        <v>46142</v>
      </c>
      <c r="C465" s="783" t="s">
        <v>6672</v>
      </c>
      <c r="D465" s="783" t="s">
        <v>6749</v>
      </c>
      <c r="E465" s="84"/>
      <c r="F465" s="784" t="s">
        <v>6352</v>
      </c>
      <c r="G465" s="87" t="s">
        <v>7556</v>
      </c>
      <c r="H465" s="785">
        <v>46126</v>
      </c>
      <c r="I465" s="507">
        <v>99</v>
      </c>
      <c r="K465" s="84"/>
      <c r="L465" s="127" t="s">
        <v>7557</v>
      </c>
      <c r="M465" s="127"/>
      <c r="N465" s="287" t="s">
        <v>7558</v>
      </c>
      <c r="O465" s="146" t="s">
        <v>7559</v>
      </c>
      <c r="P465" s="146" t="s">
        <v>7560</v>
      </c>
    </row>
    <row r="466" spans="1:19" x14ac:dyDescent="0.35">
      <c r="B466" s="851">
        <v>46142</v>
      </c>
      <c r="C466" s="783" t="s">
        <v>6672</v>
      </c>
      <c r="D466" s="783" t="s">
        <v>6749</v>
      </c>
      <c r="E466" s="84"/>
      <c r="F466" s="784" t="s">
        <v>6352</v>
      </c>
      <c r="G466" s="87" t="s">
        <v>7561</v>
      </c>
      <c r="H466" s="785">
        <v>46135</v>
      </c>
      <c r="I466" s="507">
        <v>99</v>
      </c>
      <c r="J466" s="484">
        <v>0</v>
      </c>
      <c r="K466" s="84"/>
      <c r="L466" s="127" t="s">
        <v>7562</v>
      </c>
      <c r="M466" s="127"/>
      <c r="N466" s="287" t="s">
        <v>7563</v>
      </c>
      <c r="O466" s="146" t="s">
        <v>4879</v>
      </c>
      <c r="P466" s="146" t="s">
        <v>7564</v>
      </c>
    </row>
    <row r="467" spans="1:19" x14ac:dyDescent="0.35">
      <c r="B467" s="851">
        <v>46142</v>
      </c>
      <c r="C467" s="783" t="s">
        <v>6672</v>
      </c>
      <c r="D467" s="783" t="s">
        <v>6749</v>
      </c>
      <c r="E467" s="84"/>
      <c r="F467" s="784" t="s">
        <v>175</v>
      </c>
      <c r="G467" s="1045" t="s">
        <v>7565</v>
      </c>
      <c r="H467" s="785">
        <v>46138</v>
      </c>
      <c r="I467" s="507">
        <v>99</v>
      </c>
      <c r="J467" s="484">
        <v>0</v>
      </c>
      <c r="K467" s="84"/>
      <c r="L467" s="127" t="s">
        <v>229</v>
      </c>
      <c r="M467" s="127"/>
      <c r="N467" s="287" t="s">
        <v>7566</v>
      </c>
      <c r="O467" s="146" t="s">
        <v>5741</v>
      </c>
      <c r="P467" s="146" t="s">
        <v>7567</v>
      </c>
    </row>
    <row r="468" spans="1:19" x14ac:dyDescent="0.35">
      <c r="B468" s="851"/>
      <c r="C468" s="783"/>
      <c r="D468" s="783"/>
      <c r="E468" s="84"/>
      <c r="F468" s="84"/>
      <c r="G468" s="87"/>
      <c r="H468" s="785"/>
      <c r="K468" s="84"/>
      <c r="L468" s="127"/>
      <c r="M468" s="127"/>
      <c r="N468" s="287"/>
      <c r="O468" s="146"/>
      <c r="P468" s="146"/>
    </row>
    <row r="469" spans="1:19" x14ac:dyDescent="0.35">
      <c r="A469" s="607"/>
    </row>
    <row r="470" spans="1:19" x14ac:dyDescent="0.35">
      <c r="A470" s="607"/>
    </row>
    <row r="471" spans="1:19" x14ac:dyDescent="0.35">
      <c r="B471" s="851"/>
      <c r="D471" s="84"/>
      <c r="E471" s="84"/>
      <c r="F471" s="84"/>
      <c r="H471" s="785"/>
      <c r="L471" s="127"/>
      <c r="M471" s="127"/>
      <c r="N471" s="287"/>
      <c r="P471" s="146"/>
    </row>
    <row r="472" spans="1:19" x14ac:dyDescent="0.35">
      <c r="B472" s="851">
        <v>46148</v>
      </c>
      <c r="C472" s="84" t="s">
        <v>783</v>
      </c>
      <c r="D472" s="783" t="s">
        <v>316</v>
      </c>
      <c r="E472" s="783" t="s">
        <v>5374</v>
      </c>
      <c r="F472" s="84" t="s">
        <v>174</v>
      </c>
      <c r="G472" s="87" t="s">
        <v>7568</v>
      </c>
      <c r="H472" s="785">
        <v>46013</v>
      </c>
      <c r="I472" s="507">
        <v>50</v>
      </c>
      <c r="J472" s="484">
        <v>0</v>
      </c>
      <c r="L472" s="127" t="s">
        <v>6232</v>
      </c>
      <c r="M472" s="127" t="s">
        <v>7569</v>
      </c>
      <c r="N472" s="287" t="s">
        <v>7570</v>
      </c>
      <c r="O472" s="146" t="s">
        <v>6530</v>
      </c>
      <c r="P472" s="146" t="s">
        <v>7571</v>
      </c>
    </row>
    <row r="473" spans="1:19" x14ac:dyDescent="0.35">
      <c r="B473" s="851">
        <v>46148</v>
      </c>
      <c r="C473" s="84" t="s">
        <v>783</v>
      </c>
      <c r="D473" s="783" t="s">
        <v>316</v>
      </c>
      <c r="E473" s="783" t="s">
        <v>5374</v>
      </c>
      <c r="F473" s="84" t="s">
        <v>175</v>
      </c>
      <c r="G473" s="87" t="s">
        <v>7572</v>
      </c>
      <c r="H473" s="785">
        <v>46104</v>
      </c>
      <c r="I473" s="507">
        <v>50</v>
      </c>
      <c r="J473" s="484">
        <v>0</v>
      </c>
      <c r="L473" s="127" t="s">
        <v>4103</v>
      </c>
      <c r="M473" s="127" t="s">
        <v>7573</v>
      </c>
      <c r="N473" s="287" t="s">
        <v>7574</v>
      </c>
      <c r="O473" s="146" t="s">
        <v>7133</v>
      </c>
      <c r="P473" s="146" t="s">
        <v>7575</v>
      </c>
    </row>
    <row r="474" spans="1:19" x14ac:dyDescent="0.35">
      <c r="B474" s="851">
        <v>46148</v>
      </c>
      <c r="C474" s="84" t="s">
        <v>783</v>
      </c>
      <c r="D474" s="783" t="s">
        <v>316</v>
      </c>
      <c r="E474" s="783" t="s">
        <v>5374</v>
      </c>
      <c r="F474" s="84" t="s">
        <v>175</v>
      </c>
      <c r="G474" s="1045" t="s">
        <v>7576</v>
      </c>
      <c r="H474" s="785">
        <v>46060</v>
      </c>
      <c r="I474" s="507">
        <v>50</v>
      </c>
      <c r="J474" s="484">
        <v>0</v>
      </c>
      <c r="K474" s="84"/>
      <c r="L474" s="127" t="s">
        <v>4379</v>
      </c>
      <c r="M474" s="127" t="s">
        <v>7577</v>
      </c>
      <c r="N474" s="287" t="s">
        <v>7578</v>
      </c>
      <c r="O474" s="146" t="s">
        <v>4722</v>
      </c>
      <c r="P474" s="146" t="s">
        <v>7579</v>
      </c>
      <c r="S474" s="84"/>
    </row>
    <row r="475" spans="1:19" x14ac:dyDescent="0.35">
      <c r="B475" s="851"/>
      <c r="C475" s="84"/>
      <c r="D475" s="783"/>
      <c r="E475" s="783"/>
      <c r="F475" s="84"/>
      <c r="G475" s="87"/>
      <c r="H475" s="785"/>
      <c r="L475" s="127"/>
      <c r="M475" s="127"/>
      <c r="N475" s="287"/>
      <c r="O475" s="146"/>
      <c r="P475" s="146"/>
    </row>
    <row r="476" spans="1:19" x14ac:dyDescent="0.35">
      <c r="B476" s="851"/>
      <c r="D476" s="84"/>
      <c r="E476" s="84"/>
      <c r="F476" s="84"/>
      <c r="H476" s="785"/>
      <c r="L476" s="127"/>
      <c r="M476" s="127"/>
      <c r="N476" s="287"/>
      <c r="P476" s="146"/>
    </row>
    <row r="477" spans="1:19" x14ac:dyDescent="0.35">
      <c r="B477" s="851">
        <v>46150</v>
      </c>
      <c r="C477" s="484" t="s">
        <v>7580</v>
      </c>
      <c r="D477" s="84"/>
      <c r="E477" s="84" t="s">
        <v>7581</v>
      </c>
      <c r="F477" s="84" t="s">
        <v>175</v>
      </c>
      <c r="G477" s="87" t="s">
        <v>7582</v>
      </c>
      <c r="H477" s="785">
        <v>45963</v>
      </c>
      <c r="I477" s="507">
        <v>150</v>
      </c>
      <c r="J477" s="484">
        <v>0</v>
      </c>
      <c r="K477" s="84" t="s">
        <v>4664</v>
      </c>
      <c r="L477" s="127" t="s">
        <v>694</v>
      </c>
      <c r="M477" s="127"/>
      <c r="N477" s="287" t="s">
        <v>7583</v>
      </c>
      <c r="O477" s="146" t="s">
        <v>4749</v>
      </c>
      <c r="P477" s="146" t="s">
        <v>7584</v>
      </c>
    </row>
    <row r="478" spans="1:19" x14ac:dyDescent="0.35">
      <c r="B478" s="851">
        <v>46150</v>
      </c>
      <c r="C478" s="484" t="s">
        <v>7580</v>
      </c>
      <c r="D478" s="84"/>
      <c r="E478" s="84" t="s">
        <v>7581</v>
      </c>
      <c r="F478" s="84" t="s">
        <v>7542</v>
      </c>
      <c r="G478" s="87" t="s">
        <v>7543</v>
      </c>
      <c r="H478" s="785">
        <v>46052</v>
      </c>
      <c r="I478" s="507">
        <v>100</v>
      </c>
      <c r="K478" s="84" t="s">
        <v>5045</v>
      </c>
      <c r="L478" s="127" t="s">
        <v>7585</v>
      </c>
      <c r="M478" s="127" t="s">
        <v>4271</v>
      </c>
      <c r="N478" s="287" t="s">
        <v>6842</v>
      </c>
      <c r="O478" s="146" t="s">
        <v>5750</v>
      </c>
      <c r="P478" s="146" t="s">
        <v>7544</v>
      </c>
    </row>
    <row r="479" spans="1:19" x14ac:dyDescent="0.35">
      <c r="B479" s="851">
        <v>46150</v>
      </c>
      <c r="C479" s="484" t="s">
        <v>7580</v>
      </c>
      <c r="D479" s="84"/>
      <c r="E479" s="84" t="s">
        <v>7581</v>
      </c>
      <c r="F479" s="84" t="s">
        <v>175</v>
      </c>
      <c r="G479" s="87" t="s">
        <v>7586</v>
      </c>
      <c r="H479" s="785">
        <v>45963</v>
      </c>
      <c r="I479" s="507">
        <v>150</v>
      </c>
      <c r="J479" s="484">
        <v>0</v>
      </c>
      <c r="K479" s="84"/>
      <c r="L479" s="127" t="s">
        <v>7587</v>
      </c>
      <c r="M479" s="127" t="s">
        <v>7588</v>
      </c>
      <c r="N479" s="287" t="s">
        <v>7589</v>
      </c>
      <c r="O479" s="146"/>
      <c r="P479" s="146"/>
    </row>
    <row r="480" spans="1:19" x14ac:dyDescent="0.35">
      <c r="B480" s="851">
        <v>46150</v>
      </c>
      <c r="C480" s="484" t="s">
        <v>7580</v>
      </c>
      <c r="D480" s="84"/>
      <c r="E480" s="84" t="s">
        <v>7581</v>
      </c>
      <c r="F480" s="84" t="s">
        <v>175</v>
      </c>
      <c r="G480" s="87" t="s">
        <v>7586</v>
      </c>
      <c r="H480" s="785">
        <v>45963</v>
      </c>
      <c r="I480" s="507">
        <v>150</v>
      </c>
      <c r="J480" s="484">
        <v>0</v>
      </c>
      <c r="K480" s="84"/>
      <c r="L480" s="127" t="s">
        <v>7590</v>
      </c>
      <c r="M480" s="127" t="s">
        <v>7588</v>
      </c>
      <c r="N480" s="287"/>
      <c r="O480" s="146"/>
      <c r="P480" s="146"/>
    </row>
    <row r="481" spans="2:18" x14ac:dyDescent="0.35">
      <c r="B481" s="851"/>
      <c r="D481" s="84"/>
      <c r="E481" s="84"/>
      <c r="F481" s="84"/>
      <c r="G481" s="87"/>
      <c r="H481" s="785"/>
      <c r="K481" s="84"/>
      <c r="L481" s="127"/>
      <c r="M481" s="127"/>
      <c r="N481" s="287"/>
      <c r="O481" s="146"/>
      <c r="P481" s="146"/>
    </row>
    <row r="482" spans="2:18" x14ac:dyDescent="0.35">
      <c r="B482" s="851"/>
      <c r="D482" s="84"/>
      <c r="E482" s="84"/>
      <c r="F482" s="84"/>
      <c r="G482" s="87"/>
      <c r="H482" s="785"/>
      <c r="K482" s="84"/>
      <c r="L482" s="127"/>
      <c r="M482" s="127"/>
      <c r="N482" s="287"/>
      <c r="O482" s="146"/>
      <c r="P482" s="146"/>
    </row>
    <row r="483" spans="2:18" x14ac:dyDescent="0.35">
      <c r="B483" s="851">
        <v>46150</v>
      </c>
      <c r="C483" s="84" t="s">
        <v>467</v>
      </c>
      <c r="D483" s="84" t="s">
        <v>7591</v>
      </c>
      <c r="E483" s="84" t="s">
        <v>528</v>
      </c>
      <c r="F483" s="84" t="s">
        <v>174</v>
      </c>
      <c r="G483" s="87" t="s">
        <v>7592</v>
      </c>
      <c r="H483" s="785">
        <v>46057</v>
      </c>
      <c r="I483" s="507">
        <f>1590/2</f>
        <v>795</v>
      </c>
      <c r="J483" s="484">
        <v>0</v>
      </c>
      <c r="L483" s="127" t="s">
        <v>7587</v>
      </c>
      <c r="M483" s="127" t="s">
        <v>7588</v>
      </c>
      <c r="N483" s="287" t="s">
        <v>7589</v>
      </c>
      <c r="P483" s="146"/>
    </row>
    <row r="484" spans="2:18" x14ac:dyDescent="0.35">
      <c r="B484" s="851">
        <v>46150</v>
      </c>
      <c r="C484" s="84" t="s">
        <v>467</v>
      </c>
      <c r="D484" s="84"/>
      <c r="E484" s="84" t="s">
        <v>528</v>
      </c>
      <c r="F484" s="84" t="s">
        <v>174</v>
      </c>
      <c r="G484" s="87" t="s">
        <v>7592</v>
      </c>
      <c r="H484" s="785">
        <v>46057</v>
      </c>
      <c r="I484" s="507">
        <f>1590/2</f>
        <v>795</v>
      </c>
      <c r="J484" s="484">
        <v>0</v>
      </c>
      <c r="L484" s="127" t="s">
        <v>7590</v>
      </c>
      <c r="M484" s="127" t="s">
        <v>7588</v>
      </c>
      <c r="N484" s="287"/>
      <c r="P484" s="146"/>
    </row>
    <row r="485" spans="2:18" x14ac:dyDescent="0.35">
      <c r="B485" s="851">
        <v>46150</v>
      </c>
      <c r="C485" s="84" t="s">
        <v>467</v>
      </c>
      <c r="D485" s="84"/>
      <c r="E485" s="84" t="s">
        <v>528</v>
      </c>
      <c r="F485" s="84" t="s">
        <v>174</v>
      </c>
      <c r="G485" s="87" t="s">
        <v>7543</v>
      </c>
      <c r="H485" s="785"/>
      <c r="I485" s="507">
        <v>700</v>
      </c>
      <c r="K485" s="84" t="s">
        <v>5045</v>
      </c>
      <c r="L485" s="127" t="s">
        <v>7585</v>
      </c>
      <c r="M485" s="127" t="s">
        <v>4271</v>
      </c>
      <c r="N485" s="287" t="s">
        <v>6842</v>
      </c>
      <c r="O485" s="146" t="s">
        <v>5750</v>
      </c>
      <c r="P485" s="146" t="s">
        <v>7544</v>
      </c>
    </row>
    <row r="486" spans="2:18" x14ac:dyDescent="0.35">
      <c r="B486" s="851"/>
      <c r="C486" s="84"/>
      <c r="D486" s="84"/>
      <c r="E486" s="84"/>
      <c r="F486" s="84"/>
      <c r="G486" s="87"/>
      <c r="H486" s="785"/>
      <c r="K486" s="84"/>
      <c r="L486" s="127"/>
      <c r="M486" s="127"/>
      <c r="N486" s="287"/>
      <c r="O486" s="146"/>
      <c r="P486" s="146"/>
    </row>
    <row r="487" spans="2:18" x14ac:dyDescent="0.35">
      <c r="B487" s="851"/>
      <c r="D487" s="84"/>
      <c r="E487" s="84"/>
      <c r="F487" s="84"/>
      <c r="H487" s="785"/>
      <c r="L487" s="127"/>
      <c r="M487" s="127"/>
      <c r="N487" s="287"/>
      <c r="P487" s="146"/>
    </row>
    <row r="488" spans="2:18" x14ac:dyDescent="0.35">
      <c r="B488" s="851">
        <v>46158</v>
      </c>
      <c r="C488" s="484" t="s">
        <v>613</v>
      </c>
      <c r="D488" s="84"/>
      <c r="E488" s="84" t="s">
        <v>3955</v>
      </c>
      <c r="F488" s="84" t="s">
        <v>126</v>
      </c>
      <c r="G488" s="505" t="s">
        <v>7593</v>
      </c>
      <c r="H488" s="785">
        <v>45920</v>
      </c>
      <c r="J488" s="484">
        <v>150</v>
      </c>
      <c r="L488" s="127" t="s">
        <v>4152</v>
      </c>
      <c r="M488" s="127" t="s">
        <v>7594</v>
      </c>
      <c r="N488" s="287" t="s">
        <v>6875</v>
      </c>
    </row>
    <row r="489" spans="2:18" x14ac:dyDescent="0.35">
      <c r="B489" s="851">
        <v>46158</v>
      </c>
      <c r="C489" s="484" t="s">
        <v>613</v>
      </c>
      <c r="D489" s="84"/>
      <c r="E489" s="84" t="s">
        <v>3955</v>
      </c>
      <c r="F489" s="84" t="s">
        <v>111</v>
      </c>
      <c r="G489" s="1045" t="s">
        <v>7595</v>
      </c>
      <c r="H489" s="785">
        <v>46005</v>
      </c>
      <c r="I489" s="507">
        <v>120</v>
      </c>
      <c r="L489" s="127" t="s">
        <v>5352</v>
      </c>
      <c r="M489" s="127" t="s">
        <v>7596</v>
      </c>
      <c r="N489" s="287" t="s">
        <v>7597</v>
      </c>
      <c r="P489" s="146" t="s">
        <v>7598</v>
      </c>
    </row>
    <row r="490" spans="2:18" x14ac:dyDescent="0.35">
      <c r="B490" s="851">
        <v>46158</v>
      </c>
      <c r="C490" s="84" t="s">
        <v>7599</v>
      </c>
      <c r="D490" s="84"/>
      <c r="E490" s="84" t="s">
        <v>3955</v>
      </c>
      <c r="F490" s="84" t="s">
        <v>111</v>
      </c>
      <c r="G490" s="1045" t="s">
        <v>7595</v>
      </c>
      <c r="H490" s="785">
        <v>46005</v>
      </c>
      <c r="I490" s="507">
        <v>120</v>
      </c>
      <c r="L490" s="127" t="s">
        <v>5352</v>
      </c>
      <c r="M490" s="127" t="s">
        <v>7596</v>
      </c>
      <c r="N490" s="287" t="s">
        <v>7597</v>
      </c>
      <c r="P490" s="146" t="s">
        <v>7598</v>
      </c>
    </row>
    <row r="491" spans="2:18" x14ac:dyDescent="0.35">
      <c r="B491" s="851">
        <v>46158</v>
      </c>
      <c r="C491" s="484" t="s">
        <v>613</v>
      </c>
      <c r="D491" s="84"/>
      <c r="E491" s="84" t="s">
        <v>3955</v>
      </c>
      <c r="F491" s="84" t="s">
        <v>174</v>
      </c>
      <c r="G491" s="1045" t="s">
        <v>7600</v>
      </c>
      <c r="H491" s="785">
        <v>46003</v>
      </c>
      <c r="I491" s="507">
        <v>150</v>
      </c>
      <c r="L491" s="127" t="s">
        <v>7601</v>
      </c>
      <c r="M491" s="127" t="s">
        <v>7602</v>
      </c>
      <c r="N491" s="287" t="s">
        <v>7603</v>
      </c>
      <c r="O491" s="146" t="s">
        <v>4866</v>
      </c>
      <c r="P491" s="146" t="s">
        <v>7604</v>
      </c>
    </row>
    <row r="492" spans="2:18" x14ac:dyDescent="0.35">
      <c r="B492" s="851">
        <v>46158</v>
      </c>
      <c r="C492" s="84" t="s">
        <v>7599</v>
      </c>
      <c r="D492" s="84"/>
      <c r="E492" s="84" t="s">
        <v>3955</v>
      </c>
      <c r="F492" s="84" t="s">
        <v>111</v>
      </c>
      <c r="G492" s="1045" t="s">
        <v>566</v>
      </c>
      <c r="H492" s="785">
        <v>46024</v>
      </c>
      <c r="I492" s="507">
        <v>120</v>
      </c>
      <c r="J492" s="484">
        <v>0</v>
      </c>
      <c r="L492" s="127" t="s">
        <v>7605</v>
      </c>
      <c r="M492" s="127" t="s">
        <v>6897</v>
      </c>
      <c r="N492" s="287" t="s">
        <v>7606</v>
      </c>
      <c r="O492" s="146"/>
      <c r="P492" s="146" t="s">
        <v>7607</v>
      </c>
    </row>
    <row r="493" spans="2:18" x14ac:dyDescent="0.35">
      <c r="B493" s="851">
        <v>46158</v>
      </c>
      <c r="C493" s="484" t="s">
        <v>613</v>
      </c>
      <c r="D493" s="84"/>
      <c r="E493" s="84" t="s">
        <v>3955</v>
      </c>
      <c r="F493" s="84" t="s">
        <v>111</v>
      </c>
      <c r="G493" s="1045" t="s">
        <v>7608</v>
      </c>
      <c r="H493" s="785">
        <v>46036</v>
      </c>
      <c r="I493" s="507">
        <v>120</v>
      </c>
      <c r="J493" s="484">
        <v>0</v>
      </c>
      <c r="L493" s="127" t="s">
        <v>4039</v>
      </c>
      <c r="M493" s="127" t="s">
        <v>5587</v>
      </c>
      <c r="N493" s="287" t="s">
        <v>7609</v>
      </c>
      <c r="O493" s="146"/>
      <c r="P493" s="146" t="s">
        <v>7610</v>
      </c>
    </row>
    <row r="494" spans="2:18" x14ac:dyDescent="0.35">
      <c r="B494" s="851">
        <v>46158</v>
      </c>
      <c r="C494" s="484" t="s">
        <v>613</v>
      </c>
      <c r="D494" s="84"/>
      <c r="E494" s="84" t="s">
        <v>3955</v>
      </c>
      <c r="F494" s="84" t="s">
        <v>111</v>
      </c>
      <c r="G494" s="1045" t="s">
        <v>7611</v>
      </c>
      <c r="H494" s="785">
        <v>46118</v>
      </c>
      <c r="I494" s="507">
        <v>120</v>
      </c>
      <c r="J494" s="484">
        <v>0</v>
      </c>
      <c r="L494" s="127" t="s">
        <v>7612</v>
      </c>
      <c r="M494" s="127" t="s">
        <v>7613</v>
      </c>
      <c r="N494" s="287" t="s">
        <v>7614</v>
      </c>
      <c r="O494" s="146"/>
      <c r="P494" s="146" t="s">
        <v>7615</v>
      </c>
    </row>
    <row r="495" spans="2:18" x14ac:dyDescent="0.35">
      <c r="B495" s="851">
        <v>46158</v>
      </c>
      <c r="C495" s="484" t="s">
        <v>613</v>
      </c>
      <c r="D495" s="84"/>
      <c r="E495" s="84" t="s">
        <v>3955</v>
      </c>
      <c r="F495" s="84" t="s">
        <v>111</v>
      </c>
      <c r="G495" s="1045" t="s">
        <v>7616</v>
      </c>
      <c r="H495" s="785">
        <v>46118</v>
      </c>
      <c r="I495" s="507">
        <v>120</v>
      </c>
      <c r="J495" s="484">
        <v>0</v>
      </c>
      <c r="L495" s="127" t="s">
        <v>4533</v>
      </c>
      <c r="M495" s="127" t="s">
        <v>7617</v>
      </c>
      <c r="N495" s="287" t="s">
        <v>7618</v>
      </c>
      <c r="O495" s="146"/>
      <c r="P495" s="146" t="s">
        <v>7619</v>
      </c>
    </row>
    <row r="496" spans="2:18" x14ac:dyDescent="0.35">
      <c r="B496" s="879">
        <v>45963</v>
      </c>
      <c r="C496" s="783" t="s">
        <v>7620</v>
      </c>
      <c r="D496" s="783" t="s">
        <v>7621</v>
      </c>
      <c r="E496" s="84" t="s">
        <v>3955</v>
      </c>
      <c r="F496" s="784" t="s">
        <v>126</v>
      </c>
      <c r="G496" s="785" t="s">
        <v>7622</v>
      </c>
      <c r="H496" s="785">
        <v>45884</v>
      </c>
      <c r="I496" s="784">
        <v>0</v>
      </c>
      <c r="J496" s="784">
        <v>150</v>
      </c>
      <c r="K496" s="830"/>
      <c r="L496" s="896" t="s">
        <v>619</v>
      </c>
      <c r="N496" s="1176" t="s">
        <v>7623</v>
      </c>
      <c r="O496" s="829"/>
      <c r="P496" s="829" t="s">
        <v>7624</v>
      </c>
      <c r="Q496" s="287" t="s">
        <v>7625</v>
      </c>
      <c r="R496" s="96"/>
    </row>
    <row r="497" spans="1:18" x14ac:dyDescent="0.35">
      <c r="B497" s="879"/>
      <c r="C497" s="783"/>
      <c r="D497" s="783"/>
      <c r="E497" s="783"/>
      <c r="F497" s="784"/>
      <c r="G497" s="785"/>
      <c r="H497" s="785"/>
      <c r="I497" s="784"/>
      <c r="J497" s="784"/>
      <c r="K497" s="830"/>
      <c r="L497" s="896"/>
      <c r="N497" s="1176"/>
      <c r="O497" s="829"/>
      <c r="P497" s="829"/>
      <c r="Q497" s="287"/>
      <c r="R497" s="96"/>
    </row>
    <row r="498" spans="1:18" x14ac:dyDescent="0.35">
      <c r="B498" s="879"/>
      <c r="C498" s="783"/>
      <c r="D498" s="783"/>
      <c r="E498" s="783"/>
      <c r="F498" s="784"/>
      <c r="G498" s="785"/>
      <c r="H498" s="785"/>
      <c r="I498" s="784"/>
      <c r="J498" s="784"/>
      <c r="K498" s="830"/>
      <c r="L498" s="896"/>
      <c r="N498" s="1176"/>
      <c r="O498" s="829"/>
      <c r="P498" s="829"/>
      <c r="Q498" s="287"/>
      <c r="R498" s="96"/>
    </row>
    <row r="499" spans="1:18" x14ac:dyDescent="0.35">
      <c r="B499" s="879">
        <v>46159</v>
      </c>
      <c r="C499" s="607" t="s">
        <v>801</v>
      </c>
      <c r="D499" s="607"/>
      <c r="E499" s="84" t="s">
        <v>5593</v>
      </c>
      <c r="F499" s="84" t="s">
        <v>126</v>
      </c>
      <c r="G499" s="505" t="s">
        <v>7626</v>
      </c>
      <c r="H499" s="785">
        <v>45790</v>
      </c>
      <c r="I499" s="507">
        <v>0</v>
      </c>
      <c r="J499" s="484">
        <v>45</v>
      </c>
      <c r="L499" s="516" t="s">
        <v>7627</v>
      </c>
      <c r="N499" s="1167" t="s">
        <v>7628</v>
      </c>
    </row>
    <row r="501" spans="1:18" x14ac:dyDescent="0.35">
      <c r="B501" s="851"/>
      <c r="D501" s="84"/>
      <c r="E501" s="84"/>
      <c r="F501" s="84"/>
      <c r="G501" s="87"/>
      <c r="H501" s="785"/>
      <c r="L501" s="127"/>
      <c r="N501" s="1167"/>
    </row>
    <row r="502" spans="1:18" x14ac:dyDescent="0.35">
      <c r="B502" s="879">
        <v>46160</v>
      </c>
      <c r="C502" s="484" t="s">
        <v>379</v>
      </c>
      <c r="D502" s="84"/>
      <c r="E502" s="84" t="s">
        <v>5593</v>
      </c>
      <c r="F502" s="84" t="s">
        <v>175</v>
      </c>
      <c r="G502" s="87" t="s">
        <v>7543</v>
      </c>
      <c r="H502" s="785">
        <v>46052</v>
      </c>
      <c r="I502" s="507">
        <v>95</v>
      </c>
      <c r="K502" s="84" t="s">
        <v>5045</v>
      </c>
      <c r="L502" s="127" t="s">
        <v>7585</v>
      </c>
      <c r="M502" s="127" t="s">
        <v>4271</v>
      </c>
      <c r="N502" s="287" t="s">
        <v>6842</v>
      </c>
      <c r="O502" s="146" t="s">
        <v>5750</v>
      </c>
      <c r="P502" s="146" t="s">
        <v>7544</v>
      </c>
    </row>
    <row r="503" spans="1:18" x14ac:dyDescent="0.35">
      <c r="B503" s="851"/>
      <c r="D503" s="84"/>
      <c r="E503" s="84"/>
      <c r="F503" s="84"/>
      <c r="G503" s="87"/>
      <c r="H503" s="785"/>
      <c r="K503" s="84"/>
      <c r="L503" s="127"/>
      <c r="M503" s="127"/>
      <c r="N503" s="287"/>
      <c r="O503" s="146"/>
      <c r="P503" s="146"/>
    </row>
    <row r="506" spans="1:18" x14ac:dyDescent="0.35">
      <c r="A506" s="84" t="s">
        <v>7637</v>
      </c>
      <c r="B506" s="851">
        <v>46171</v>
      </c>
      <c r="C506" s="783" t="s">
        <v>7630</v>
      </c>
      <c r="D506" s="84" t="s">
        <v>7015</v>
      </c>
      <c r="E506" s="783" t="s">
        <v>5374</v>
      </c>
      <c r="F506" s="84" t="s">
        <v>175</v>
      </c>
      <c r="G506" s="87" t="s">
        <v>7638</v>
      </c>
      <c r="H506" s="785">
        <v>46040</v>
      </c>
      <c r="I506" s="507">
        <v>50</v>
      </c>
      <c r="J506" s="484">
        <v>0</v>
      </c>
      <c r="K506" s="84" t="s">
        <v>4664</v>
      </c>
      <c r="L506" s="127" t="s">
        <v>4039</v>
      </c>
      <c r="M506" s="127" t="s">
        <v>7639</v>
      </c>
      <c r="N506" s="287" t="s">
        <v>7640</v>
      </c>
      <c r="O506" s="146" t="s">
        <v>5104</v>
      </c>
      <c r="P506" s="146" t="s">
        <v>7641</v>
      </c>
    </row>
    <row r="507" spans="1:18" x14ac:dyDescent="0.35">
      <c r="A507" s="84"/>
      <c r="B507" s="851"/>
      <c r="C507" s="783"/>
      <c r="D507" s="84"/>
      <c r="E507" s="84"/>
      <c r="F507" s="84"/>
      <c r="G507" s="87"/>
      <c r="H507" s="785"/>
      <c r="K507" s="84"/>
      <c r="N507" s="287"/>
      <c r="O507" s="146"/>
      <c r="P507" s="146"/>
    </row>
    <row r="508" spans="1:18" x14ac:dyDescent="0.35">
      <c r="A508" s="84"/>
    </row>
    <row r="509" spans="1:18" x14ac:dyDescent="0.35">
      <c r="A509" s="84"/>
      <c r="B509" s="851"/>
      <c r="C509" s="783"/>
      <c r="D509" s="84"/>
      <c r="E509" s="84"/>
      <c r="F509" s="84"/>
      <c r="G509" s="87"/>
      <c r="H509" s="785"/>
      <c r="K509" s="84"/>
      <c r="N509" s="287"/>
      <c r="O509" s="146"/>
      <c r="P509" s="146"/>
    </row>
    <row r="510" spans="1:18" x14ac:dyDescent="0.35">
      <c r="A510" s="84"/>
      <c r="B510" s="851"/>
      <c r="C510" s="783"/>
      <c r="D510" s="84"/>
      <c r="E510" s="84"/>
      <c r="F510" s="84"/>
      <c r="G510" s="87"/>
      <c r="H510" s="785"/>
      <c r="K510" s="84"/>
      <c r="N510" s="287"/>
      <c r="O510" s="146"/>
      <c r="P510" s="146"/>
    </row>
    <row r="511" spans="1:18" x14ac:dyDescent="0.35">
      <c r="B511" s="851"/>
      <c r="D511" s="84"/>
      <c r="E511" s="84"/>
      <c r="F511" s="84"/>
      <c r="H511" s="785"/>
      <c r="N511" s="1167"/>
    </row>
    <row r="512" spans="1:18" x14ac:dyDescent="0.35">
      <c r="B512" s="851">
        <v>46207</v>
      </c>
      <c r="C512" s="484" t="s">
        <v>7642</v>
      </c>
      <c r="D512" s="84"/>
      <c r="E512" s="84" t="s">
        <v>7581</v>
      </c>
      <c r="F512" s="84" t="s">
        <v>177</v>
      </c>
      <c r="G512" s="87" t="s">
        <v>7643</v>
      </c>
      <c r="H512" s="785">
        <v>45941</v>
      </c>
      <c r="I512" s="507">
        <v>99</v>
      </c>
      <c r="J512" s="484">
        <v>51</v>
      </c>
      <c r="K512" s="84" t="s">
        <v>5756</v>
      </c>
      <c r="L512" s="127" t="s">
        <v>714</v>
      </c>
      <c r="M512" s="127"/>
      <c r="N512" s="287" t="s">
        <v>7644</v>
      </c>
      <c r="O512" s="146" t="s">
        <v>5431</v>
      </c>
      <c r="P512" s="146" t="s">
        <v>7645</v>
      </c>
    </row>
    <row r="513" spans="2:16" x14ac:dyDescent="0.35">
      <c r="B513" s="851">
        <v>46207</v>
      </c>
      <c r="C513" s="484" t="s">
        <v>7642</v>
      </c>
      <c r="D513" s="84"/>
      <c r="E513" s="84"/>
      <c r="F513" s="84" t="s">
        <v>7542</v>
      </c>
      <c r="G513" s="87" t="s">
        <v>7543</v>
      </c>
      <c r="H513" s="785">
        <v>46052</v>
      </c>
      <c r="I513" s="507">
        <v>150</v>
      </c>
      <c r="K513" s="84" t="s">
        <v>5045</v>
      </c>
      <c r="L513" s="127" t="s">
        <v>7585</v>
      </c>
      <c r="M513" s="127" t="s">
        <v>4271</v>
      </c>
      <c r="N513" s="287" t="s">
        <v>6842</v>
      </c>
      <c r="O513" s="146" t="s">
        <v>5750</v>
      </c>
      <c r="P513" s="146" t="s">
        <v>7544</v>
      </c>
    </row>
    <row r="514" spans="2:16" x14ac:dyDescent="0.35">
      <c r="B514" s="851"/>
      <c r="D514" s="84"/>
      <c r="E514" s="84"/>
      <c r="F514" s="84"/>
      <c r="G514" s="87"/>
      <c r="H514" s="785"/>
      <c r="K514" s="84"/>
      <c r="L514" s="127"/>
      <c r="M514" s="127"/>
      <c r="N514" s="287"/>
      <c r="O514" s="146"/>
      <c r="P514" s="146"/>
    </row>
    <row r="515" spans="2:16" x14ac:dyDescent="0.35">
      <c r="B515" s="851"/>
      <c r="D515" s="84"/>
      <c r="E515" s="84"/>
      <c r="F515" s="84"/>
      <c r="G515" s="87"/>
      <c r="H515" s="785"/>
      <c r="K515" s="84"/>
      <c r="L515" s="127"/>
      <c r="M515" s="127"/>
      <c r="N515" s="287"/>
      <c r="O515" s="146"/>
      <c r="P515" s="146"/>
    </row>
    <row r="516" spans="2:16" x14ac:dyDescent="0.35">
      <c r="B516" s="851">
        <v>46214</v>
      </c>
      <c r="C516" s="484" t="s">
        <v>7642</v>
      </c>
      <c r="D516" s="84"/>
      <c r="E516" s="84" t="s">
        <v>7581</v>
      </c>
      <c r="F516" s="84" t="s">
        <v>175</v>
      </c>
      <c r="G516" s="87" t="s">
        <v>7646</v>
      </c>
      <c r="H516" s="785">
        <v>45963</v>
      </c>
      <c r="I516" s="507">
        <v>150</v>
      </c>
      <c r="J516" s="484">
        <v>0</v>
      </c>
      <c r="K516" s="84" t="s">
        <v>4664</v>
      </c>
      <c r="L516" s="127" t="s">
        <v>694</v>
      </c>
      <c r="M516" s="127"/>
      <c r="N516" s="287" t="s">
        <v>7583</v>
      </c>
      <c r="O516" s="146" t="s">
        <v>4749</v>
      </c>
      <c r="P516" s="146" t="s">
        <v>7584</v>
      </c>
    </row>
    <row r="517" spans="2:16" x14ac:dyDescent="0.35">
      <c r="B517" s="851">
        <v>46214</v>
      </c>
      <c r="C517" s="484" t="s">
        <v>7642</v>
      </c>
      <c r="D517" s="84"/>
      <c r="E517" s="84" t="s">
        <v>7581</v>
      </c>
      <c r="F517" s="84" t="s">
        <v>175</v>
      </c>
      <c r="G517" s="87" t="s">
        <v>7647</v>
      </c>
      <c r="H517" s="785">
        <v>46118</v>
      </c>
      <c r="I517" s="507">
        <v>150</v>
      </c>
      <c r="K517" s="84" t="s">
        <v>4664</v>
      </c>
      <c r="L517" s="127" t="s">
        <v>278</v>
      </c>
      <c r="M517" s="127"/>
      <c r="N517" s="287" t="s">
        <v>6678</v>
      </c>
      <c r="O517" s="146" t="s">
        <v>6530</v>
      </c>
      <c r="P517" s="146" t="s">
        <v>6679</v>
      </c>
    </row>
    <row r="518" spans="2:16" x14ac:dyDescent="0.35">
      <c r="B518" s="851"/>
      <c r="D518" s="84"/>
      <c r="E518" s="84"/>
      <c r="F518" s="84"/>
      <c r="G518" s="87"/>
      <c r="H518" s="785"/>
      <c r="K518" s="84"/>
      <c r="L518" s="127"/>
      <c r="M518" s="127"/>
      <c r="N518" s="287"/>
      <c r="O518" s="146"/>
      <c r="P518" s="146"/>
    </row>
    <row r="519" spans="2:16" x14ac:dyDescent="0.35">
      <c r="B519" s="851">
        <v>46215</v>
      </c>
      <c r="C519" s="484" t="s">
        <v>801</v>
      </c>
      <c r="D519" s="84"/>
      <c r="E519" s="84" t="s">
        <v>5593</v>
      </c>
      <c r="F519" s="84" t="s">
        <v>175</v>
      </c>
      <c r="G519" s="87" t="s">
        <v>7647</v>
      </c>
      <c r="H519" s="785">
        <v>46118</v>
      </c>
      <c r="I519" s="507">
        <v>35</v>
      </c>
      <c r="K519" s="84" t="s">
        <v>4664</v>
      </c>
      <c r="L519" s="127" t="s">
        <v>278</v>
      </c>
      <c r="M519" s="127"/>
      <c r="N519" s="287" t="s">
        <v>6678</v>
      </c>
      <c r="O519" s="146" t="s">
        <v>6530</v>
      </c>
      <c r="P519" s="146" t="s">
        <v>6679</v>
      </c>
    </row>
    <row r="520" spans="2:16" x14ac:dyDescent="0.35">
      <c r="B520" s="851">
        <v>46215</v>
      </c>
      <c r="C520" s="484" t="s">
        <v>801</v>
      </c>
      <c r="D520" s="84"/>
      <c r="E520" s="84" t="s">
        <v>5593</v>
      </c>
      <c r="F520" s="84" t="s">
        <v>175</v>
      </c>
      <c r="G520" s="87" t="s">
        <v>7648</v>
      </c>
      <c r="H520" s="785">
        <v>46028</v>
      </c>
      <c r="I520" s="507">
        <v>35</v>
      </c>
      <c r="L520" s="127" t="s">
        <v>3979</v>
      </c>
      <c r="M520" s="516" t="s">
        <v>7317</v>
      </c>
      <c r="N520" s="1167" t="s">
        <v>7318</v>
      </c>
      <c r="P520" s="484" t="s">
        <v>7319</v>
      </c>
    </row>
    <row r="521" spans="2:16" x14ac:dyDescent="0.35">
      <c r="B521" s="851"/>
      <c r="D521" s="84"/>
      <c r="E521" s="84"/>
      <c r="F521" s="84"/>
      <c r="G521" s="87"/>
      <c r="H521" s="785"/>
      <c r="L521" s="127"/>
      <c r="N521" s="1167"/>
    </row>
    <row r="522" spans="2:16" x14ac:dyDescent="0.35">
      <c r="B522" s="851"/>
      <c r="D522" s="84"/>
      <c r="E522" s="84"/>
      <c r="F522" s="84"/>
      <c r="G522" s="87"/>
      <c r="H522" s="785"/>
      <c r="L522" s="127"/>
      <c r="N522" s="1167"/>
    </row>
    <row r="523" spans="2:16" x14ac:dyDescent="0.35">
      <c r="B523" s="851">
        <v>46221</v>
      </c>
      <c r="C523" s="84" t="s">
        <v>8521</v>
      </c>
      <c r="D523" s="84"/>
      <c r="E523" s="84" t="s">
        <v>4358</v>
      </c>
      <c r="F523" s="84" t="s">
        <v>175</v>
      </c>
      <c r="G523" s="87" t="s">
        <v>8522</v>
      </c>
      <c r="H523" s="785">
        <v>46174</v>
      </c>
      <c r="I523" s="507">
        <v>575</v>
      </c>
      <c r="K523" s="84" t="s">
        <v>4664</v>
      </c>
      <c r="L523" s="84" t="s">
        <v>771</v>
      </c>
      <c r="N523" s="1211" t="s">
        <v>7174</v>
      </c>
      <c r="O523" s="146" t="s">
        <v>5631</v>
      </c>
      <c r="P523" s="146" t="s">
        <v>7175</v>
      </c>
    </row>
    <row r="524" spans="2:16" x14ac:dyDescent="0.35">
      <c r="B524" s="851"/>
      <c r="D524" s="84"/>
      <c r="E524" s="84"/>
      <c r="F524" s="84"/>
      <c r="G524" s="87"/>
      <c r="H524" s="785"/>
      <c r="L524" s="127"/>
      <c r="N524" s="1167"/>
    </row>
    <row r="525" spans="2:16" x14ac:dyDescent="0.35">
      <c r="B525" s="851"/>
      <c r="D525" s="84"/>
      <c r="E525" s="84"/>
      <c r="F525" s="84"/>
      <c r="G525" s="87"/>
      <c r="H525" s="785"/>
      <c r="L525" s="127"/>
      <c r="N525" s="1167"/>
    </row>
    <row r="526" spans="2:16" x14ac:dyDescent="0.35">
      <c r="B526" s="851">
        <v>46235</v>
      </c>
      <c r="C526" s="96" t="s">
        <v>788</v>
      </c>
      <c r="D526" s="96"/>
      <c r="E526" s="84" t="s">
        <v>7581</v>
      </c>
      <c r="F526" s="84" t="s">
        <v>126</v>
      </c>
      <c r="G526" s="505" t="s">
        <v>7649</v>
      </c>
      <c r="H526" s="785"/>
      <c r="J526" s="484">
        <v>95</v>
      </c>
      <c r="L526" s="127" t="s">
        <v>6627</v>
      </c>
      <c r="M526" s="127" t="s">
        <v>7650</v>
      </c>
      <c r="N526" s="287" t="s">
        <v>7270</v>
      </c>
      <c r="P526" s="146" t="s">
        <v>7271</v>
      </c>
    </row>
    <row r="527" spans="2:16" x14ac:dyDescent="0.35">
      <c r="B527" s="851">
        <v>46235</v>
      </c>
      <c r="C527" s="96" t="s">
        <v>788</v>
      </c>
      <c r="D527" s="96"/>
      <c r="E527" s="84" t="s">
        <v>7581</v>
      </c>
      <c r="F527" s="84" t="s">
        <v>7542</v>
      </c>
      <c r="G527" s="87" t="s">
        <v>7543</v>
      </c>
      <c r="H527" s="785">
        <v>46052</v>
      </c>
      <c r="I527" s="507">
        <v>95</v>
      </c>
      <c r="K527" s="84" t="s">
        <v>5045</v>
      </c>
      <c r="L527" s="127" t="s">
        <v>7585</v>
      </c>
      <c r="M527" s="127" t="s">
        <v>4271</v>
      </c>
      <c r="N527" s="287" t="s">
        <v>6842</v>
      </c>
      <c r="O527" s="146" t="s">
        <v>5750</v>
      </c>
      <c r="P527" s="146" t="s">
        <v>7544</v>
      </c>
    </row>
    <row r="528" spans="2:16" x14ac:dyDescent="0.35">
      <c r="B528" s="851">
        <v>46235</v>
      </c>
      <c r="C528" s="96" t="s">
        <v>788</v>
      </c>
      <c r="D528" s="96"/>
      <c r="E528" s="84" t="s">
        <v>7581</v>
      </c>
      <c r="F528" s="84" t="s">
        <v>7542</v>
      </c>
      <c r="G528" s="87" t="s">
        <v>8517</v>
      </c>
      <c r="H528" s="785">
        <v>46180</v>
      </c>
      <c r="I528" s="507">
        <v>95</v>
      </c>
      <c r="J528" s="484">
        <v>0</v>
      </c>
      <c r="K528" s="84" t="s">
        <v>8518</v>
      </c>
      <c r="L528" s="127" t="s">
        <v>8516</v>
      </c>
      <c r="M528" s="127"/>
      <c r="N528" s="287" t="s">
        <v>8519</v>
      </c>
      <c r="O528" s="146" t="s">
        <v>4788</v>
      </c>
      <c r="P528" s="146" t="s">
        <v>8520</v>
      </c>
    </row>
    <row r="529" spans="2:19" x14ac:dyDescent="0.35">
      <c r="B529" s="851"/>
      <c r="C529" s="96"/>
      <c r="D529" s="96"/>
      <c r="E529" s="84"/>
      <c r="F529" s="84"/>
      <c r="G529" s="87"/>
      <c r="H529" s="785"/>
      <c r="K529" s="84"/>
      <c r="L529" s="127"/>
      <c r="M529" s="127"/>
      <c r="N529" s="287"/>
      <c r="O529" s="146"/>
      <c r="P529" s="146"/>
    </row>
    <row r="530" spans="2:19" x14ac:dyDescent="0.35">
      <c r="B530" s="851"/>
      <c r="D530" s="84"/>
      <c r="E530" s="84"/>
      <c r="F530" s="84"/>
      <c r="G530" s="87"/>
      <c r="H530" s="785"/>
      <c r="K530" s="84"/>
      <c r="L530" s="127"/>
      <c r="M530" s="127"/>
      <c r="N530" s="287"/>
      <c r="O530" s="146"/>
      <c r="P530" s="146"/>
    </row>
    <row r="531" spans="2:19" x14ac:dyDescent="0.35">
      <c r="B531" s="851">
        <v>46236</v>
      </c>
      <c r="C531" s="484" t="s">
        <v>7651</v>
      </c>
      <c r="D531" s="84"/>
      <c r="E531" s="84" t="s">
        <v>6457</v>
      </c>
      <c r="F531" s="84" t="s">
        <v>174</v>
      </c>
      <c r="G531" s="87" t="s">
        <v>7652</v>
      </c>
      <c r="H531" s="785">
        <v>46120</v>
      </c>
      <c r="I531" s="507">
        <v>125</v>
      </c>
      <c r="K531" s="84" t="s">
        <v>5045</v>
      </c>
      <c r="L531" s="127" t="s">
        <v>7653</v>
      </c>
      <c r="M531" s="127" t="s">
        <v>7654</v>
      </c>
      <c r="N531" s="287" t="s">
        <v>7655</v>
      </c>
      <c r="O531" s="146" t="s">
        <v>4886</v>
      </c>
      <c r="P531" s="146" t="s">
        <v>7656</v>
      </c>
    </row>
    <row r="532" spans="2:19" x14ac:dyDescent="0.35">
      <c r="B532" s="851">
        <v>46236</v>
      </c>
      <c r="C532" s="484" t="s">
        <v>7651</v>
      </c>
      <c r="D532" s="84"/>
      <c r="E532" s="84" t="s">
        <v>6457</v>
      </c>
      <c r="F532" s="84" t="s">
        <v>126</v>
      </c>
      <c r="G532" s="87" t="s">
        <v>8536</v>
      </c>
      <c r="H532" s="785">
        <v>46190</v>
      </c>
      <c r="J532" s="484">
        <v>125</v>
      </c>
      <c r="K532" s="84"/>
      <c r="L532" s="127" t="s">
        <v>8537</v>
      </c>
      <c r="M532" s="127"/>
      <c r="N532" s="287" t="s">
        <v>8538</v>
      </c>
      <c r="O532" s="146"/>
      <c r="P532" s="146"/>
    </row>
    <row r="533" spans="2:19" x14ac:dyDescent="0.35">
      <c r="B533" s="851">
        <v>46236</v>
      </c>
      <c r="C533" s="484" t="s">
        <v>7651</v>
      </c>
      <c r="D533" s="84"/>
      <c r="E533" s="84" t="s">
        <v>6457</v>
      </c>
      <c r="F533" s="84" t="s">
        <v>126</v>
      </c>
      <c r="G533" s="87" t="s">
        <v>8539</v>
      </c>
      <c r="H533" s="785">
        <v>46190</v>
      </c>
      <c r="J533" s="484">
        <v>125</v>
      </c>
      <c r="K533" s="84"/>
      <c r="L533" s="127" t="s">
        <v>8540</v>
      </c>
      <c r="M533" s="127"/>
      <c r="N533" s="287" t="s">
        <v>8541</v>
      </c>
      <c r="O533" s="146"/>
      <c r="P533" s="146"/>
    </row>
    <row r="534" spans="2:19" x14ac:dyDescent="0.35">
      <c r="B534" s="851"/>
      <c r="D534" s="84"/>
      <c r="E534" s="84"/>
      <c r="F534" s="84"/>
      <c r="G534" s="87"/>
      <c r="H534" s="785"/>
      <c r="K534" s="84"/>
      <c r="L534" s="127"/>
      <c r="M534" s="127"/>
      <c r="N534" s="287"/>
      <c r="O534" s="146"/>
      <c r="P534" s="146"/>
    </row>
    <row r="535" spans="2:19" x14ac:dyDescent="0.35">
      <c r="B535" s="851">
        <v>46269</v>
      </c>
      <c r="C535" s="84" t="s">
        <v>7657</v>
      </c>
      <c r="D535" s="84"/>
      <c r="E535" s="84" t="s">
        <v>4357</v>
      </c>
      <c r="F535" s="84" t="s">
        <v>176</v>
      </c>
      <c r="G535" s="87" t="s">
        <v>7658</v>
      </c>
      <c r="H535" s="785">
        <v>46029</v>
      </c>
      <c r="I535" s="507">
        <v>775</v>
      </c>
      <c r="J535" s="484">
        <v>0</v>
      </c>
      <c r="K535" s="84"/>
      <c r="L535" s="127" t="s">
        <v>410</v>
      </c>
      <c r="M535" s="127"/>
      <c r="N535" s="287" t="s">
        <v>7659</v>
      </c>
      <c r="O535" s="146" t="s">
        <v>5008</v>
      </c>
      <c r="P535" s="146" t="s">
        <v>7660</v>
      </c>
      <c r="Q535" s="84" t="s">
        <v>6079</v>
      </c>
    </row>
    <row r="536" spans="2:19" x14ac:dyDescent="0.35">
      <c r="B536" s="851">
        <v>46269</v>
      </c>
      <c r="C536" s="84" t="s">
        <v>7657</v>
      </c>
      <c r="D536" s="84" t="s">
        <v>7661</v>
      </c>
      <c r="E536" s="84" t="s">
        <v>4357</v>
      </c>
      <c r="F536" s="84" t="s">
        <v>175</v>
      </c>
      <c r="G536" s="87" t="s">
        <v>7662</v>
      </c>
      <c r="H536" s="785">
        <v>46124</v>
      </c>
      <c r="I536" s="507">
        <v>775</v>
      </c>
      <c r="K536" s="84" t="s">
        <v>4664</v>
      </c>
      <c r="L536" s="127" t="s">
        <v>270</v>
      </c>
      <c r="M536" s="127"/>
      <c r="N536" s="287" t="s">
        <v>7663</v>
      </c>
      <c r="O536" s="146"/>
      <c r="P536" s="146" t="s">
        <v>7664</v>
      </c>
      <c r="Q536" s="84"/>
    </row>
    <row r="537" spans="2:19" x14ac:dyDescent="0.35">
      <c r="B537" s="851">
        <v>46269</v>
      </c>
      <c r="C537" s="84" t="s">
        <v>7657</v>
      </c>
      <c r="D537" s="607"/>
      <c r="E537" s="607" t="s">
        <v>4360</v>
      </c>
      <c r="F537" s="607" t="s">
        <v>6352</v>
      </c>
      <c r="G537" s="608" t="s">
        <v>7665</v>
      </c>
      <c r="H537" s="899">
        <v>45858</v>
      </c>
      <c r="I537" s="609">
        <v>895</v>
      </c>
      <c r="J537" s="484">
        <v>0</v>
      </c>
      <c r="K537" s="84" t="s">
        <v>4664</v>
      </c>
      <c r="L537" s="127" t="s">
        <v>7666</v>
      </c>
      <c r="M537" s="127" t="s">
        <v>4045</v>
      </c>
      <c r="N537" s="287" t="s">
        <v>7667</v>
      </c>
      <c r="O537" s="146" t="s">
        <v>5874</v>
      </c>
      <c r="P537" s="146" t="s">
        <v>7668</v>
      </c>
      <c r="Q537" s="484" t="s">
        <v>7669</v>
      </c>
      <c r="R537" s="484" t="s">
        <v>7670</v>
      </c>
      <c r="S537" s="84" t="s">
        <v>7671</v>
      </c>
    </row>
    <row r="538" spans="2:19" x14ac:dyDescent="0.35">
      <c r="B538" s="851">
        <v>46269</v>
      </c>
      <c r="C538" s="84" t="s">
        <v>7657</v>
      </c>
      <c r="D538" s="84"/>
      <c r="E538" s="84" t="s">
        <v>4357</v>
      </c>
      <c r="F538" s="84" t="s">
        <v>6352</v>
      </c>
      <c r="G538" s="87" t="s">
        <v>5314</v>
      </c>
      <c r="H538" s="785">
        <v>46139</v>
      </c>
      <c r="I538" s="507">
        <v>775</v>
      </c>
      <c r="J538" s="484">
        <v>0</v>
      </c>
      <c r="K538" s="84" t="s">
        <v>5725</v>
      </c>
      <c r="L538" s="127" t="s">
        <v>7672</v>
      </c>
      <c r="M538" s="127"/>
      <c r="N538" s="287" t="s">
        <v>7673</v>
      </c>
      <c r="O538" s="146" t="s">
        <v>7674</v>
      </c>
      <c r="P538" s="146" t="s">
        <v>7675</v>
      </c>
      <c r="Q538" s="84" t="s">
        <v>7676</v>
      </c>
      <c r="R538" s="87"/>
      <c r="S538" s="84"/>
    </row>
    <row r="539" spans="2:19" x14ac:dyDescent="0.35">
      <c r="B539" s="851"/>
      <c r="C539" s="84"/>
      <c r="D539" s="84"/>
      <c r="E539" s="84"/>
      <c r="F539" s="84"/>
      <c r="G539" s="87"/>
      <c r="H539" s="785"/>
      <c r="K539" s="84"/>
      <c r="L539" s="127"/>
      <c r="M539" s="127"/>
      <c r="N539" s="287"/>
      <c r="O539" s="146"/>
      <c r="P539" s="146"/>
      <c r="Q539" s="84"/>
    </row>
    <row r="540" spans="2:19" x14ac:dyDescent="0.35">
      <c r="B540" s="851">
        <v>46274</v>
      </c>
      <c r="C540" s="84" t="s">
        <v>7677</v>
      </c>
      <c r="D540" s="84"/>
      <c r="E540" s="84" t="s">
        <v>5593</v>
      </c>
      <c r="F540" s="84" t="s">
        <v>176</v>
      </c>
      <c r="G540" s="87" t="s">
        <v>7678</v>
      </c>
      <c r="H540" s="785">
        <v>46135</v>
      </c>
      <c r="I540" s="507">
        <v>50</v>
      </c>
      <c r="J540" s="484">
        <v>0</v>
      </c>
      <c r="K540" s="84" t="s">
        <v>4664</v>
      </c>
      <c r="L540" s="127" t="s">
        <v>7679</v>
      </c>
      <c r="M540" s="127"/>
      <c r="N540" s="287" t="s">
        <v>7680</v>
      </c>
      <c r="O540" s="146" t="s">
        <v>4683</v>
      </c>
      <c r="P540" s="146" t="s">
        <v>7681</v>
      </c>
      <c r="Q540" s="84"/>
    </row>
    <row r="541" spans="2:19" x14ac:dyDescent="0.35">
      <c r="B541" s="851"/>
      <c r="C541" s="84"/>
      <c r="D541" s="84"/>
      <c r="E541" s="84"/>
      <c r="F541" s="84"/>
      <c r="G541" s="87"/>
      <c r="H541" s="785"/>
      <c r="K541" s="84"/>
      <c r="L541" s="127"/>
      <c r="M541" s="127"/>
      <c r="N541" s="287"/>
      <c r="O541" s="146"/>
      <c r="P541" s="146"/>
      <c r="Q541" s="84"/>
    </row>
    <row r="542" spans="2:19" x14ac:dyDescent="0.35">
      <c r="B542" s="851"/>
      <c r="C542" s="84"/>
      <c r="D542" s="84"/>
      <c r="E542" s="84"/>
      <c r="F542" s="84"/>
      <c r="G542" s="87"/>
      <c r="H542" s="785"/>
      <c r="K542" s="84"/>
      <c r="L542" s="127"/>
      <c r="M542" s="127"/>
      <c r="N542" s="287"/>
      <c r="O542" s="146"/>
      <c r="P542" s="146"/>
      <c r="Q542" s="84"/>
    </row>
    <row r="543" spans="2:19" x14ac:dyDescent="0.35">
      <c r="B543" s="851">
        <v>46291</v>
      </c>
      <c r="C543" s="84" t="s">
        <v>224</v>
      </c>
      <c r="D543" s="84"/>
      <c r="E543" s="84" t="s">
        <v>7682</v>
      </c>
      <c r="F543" s="84" t="s">
        <v>174</v>
      </c>
      <c r="G543" s="87" t="s">
        <v>5345</v>
      </c>
      <c r="H543" s="785">
        <v>46138</v>
      </c>
      <c r="I543" s="507">
        <v>125</v>
      </c>
      <c r="J543" s="484">
        <v>0</v>
      </c>
      <c r="K543" s="84"/>
      <c r="L543" s="127" t="s">
        <v>223</v>
      </c>
      <c r="M543" s="127"/>
      <c r="N543" s="287" t="s">
        <v>7683</v>
      </c>
      <c r="O543" s="146" t="s">
        <v>6530</v>
      </c>
      <c r="P543" s="146" t="s">
        <v>7684</v>
      </c>
      <c r="Q543" s="84"/>
    </row>
    <row r="544" spans="2:19" x14ac:dyDescent="0.35">
      <c r="B544" s="851">
        <v>46291</v>
      </c>
      <c r="C544" s="84" t="s">
        <v>224</v>
      </c>
      <c r="D544" s="84"/>
      <c r="E544" s="84" t="s">
        <v>7682</v>
      </c>
      <c r="F544" s="84" t="s">
        <v>126</v>
      </c>
      <c r="G544" s="87" t="s">
        <v>7685</v>
      </c>
      <c r="H544" s="785">
        <v>46144</v>
      </c>
      <c r="I544" s="507">
        <v>100</v>
      </c>
      <c r="K544" s="84"/>
      <c r="L544" s="127" t="s">
        <v>919</v>
      </c>
      <c r="M544" s="127"/>
      <c r="N544" s="287" t="s">
        <v>7686</v>
      </c>
      <c r="O544" s="146"/>
      <c r="P544" s="146" t="s">
        <v>7687</v>
      </c>
      <c r="Q544" s="287" t="s">
        <v>7688</v>
      </c>
    </row>
    <row r="545" spans="1:19" x14ac:dyDescent="0.35">
      <c r="B545" s="851">
        <v>46291</v>
      </c>
      <c r="C545" s="84" t="s">
        <v>224</v>
      </c>
      <c r="D545" s="84"/>
      <c r="E545" s="84" t="s">
        <v>7682</v>
      </c>
      <c r="F545" s="84" t="s">
        <v>126</v>
      </c>
      <c r="G545" s="87" t="s">
        <v>7689</v>
      </c>
      <c r="H545" s="785">
        <v>46161</v>
      </c>
      <c r="I545" s="507">
        <v>100</v>
      </c>
      <c r="K545" s="84"/>
      <c r="L545" s="127" t="s">
        <v>7690</v>
      </c>
      <c r="M545" s="127"/>
      <c r="N545" s="287" t="s">
        <v>7691</v>
      </c>
      <c r="O545" s="146"/>
      <c r="P545" s="146" t="s">
        <v>8499</v>
      </c>
    </row>
    <row r="546" spans="1:19" x14ac:dyDescent="0.35">
      <c r="B546" s="851">
        <v>46291</v>
      </c>
      <c r="C546" s="84" t="s">
        <v>224</v>
      </c>
      <c r="D546" s="84"/>
      <c r="E546" s="84" t="s">
        <v>7682</v>
      </c>
      <c r="F546" s="84" t="s">
        <v>126</v>
      </c>
      <c r="G546" s="87" t="s">
        <v>8533</v>
      </c>
      <c r="H546" s="785">
        <v>46190</v>
      </c>
      <c r="I546" s="507">
        <v>100</v>
      </c>
      <c r="K546" s="84"/>
      <c r="L546" s="127" t="s">
        <v>8534</v>
      </c>
      <c r="M546" s="127"/>
      <c r="N546" s="287" t="s">
        <v>8535</v>
      </c>
      <c r="O546" s="146"/>
      <c r="P546" s="146" t="s">
        <v>8542</v>
      </c>
      <c r="Q546" s="84"/>
    </row>
    <row r="547" spans="1:19" x14ac:dyDescent="0.35">
      <c r="B547" s="851"/>
      <c r="C547" s="84"/>
      <c r="D547" s="84"/>
      <c r="E547" s="84"/>
      <c r="F547" s="84"/>
      <c r="G547" s="87"/>
      <c r="H547" s="785"/>
      <c r="K547" s="84"/>
      <c r="L547" s="127"/>
      <c r="M547" s="127"/>
      <c r="N547" s="287"/>
      <c r="O547" s="146"/>
      <c r="P547" s="146"/>
      <c r="Q547" s="84"/>
    </row>
    <row r="548" spans="1:19" x14ac:dyDescent="0.35">
      <c r="B548" s="851">
        <v>46291</v>
      </c>
      <c r="C548" s="84" t="s">
        <v>288</v>
      </c>
      <c r="D548" s="84"/>
      <c r="E548" s="84" t="s">
        <v>4358</v>
      </c>
      <c r="F548" s="84" t="s">
        <v>174</v>
      </c>
      <c r="G548" s="87" t="s">
        <v>7692</v>
      </c>
      <c r="H548" s="785">
        <v>46116</v>
      </c>
      <c r="I548" s="507">
        <v>595</v>
      </c>
      <c r="J548" s="484">
        <v>0</v>
      </c>
      <c r="K548" s="84"/>
      <c r="L548" s="127" t="s">
        <v>287</v>
      </c>
      <c r="M548" s="127"/>
      <c r="N548" s="287" t="s">
        <v>7693</v>
      </c>
      <c r="O548" s="146" t="s">
        <v>4889</v>
      </c>
      <c r="P548" s="146" t="s">
        <v>7694</v>
      </c>
      <c r="Q548" s="84"/>
    </row>
    <row r="549" spans="1:19" x14ac:dyDescent="0.35">
      <c r="B549" s="851"/>
      <c r="C549" s="84"/>
      <c r="D549" s="84"/>
      <c r="E549" s="84"/>
      <c r="F549" s="84"/>
      <c r="G549" s="87"/>
      <c r="H549" s="785"/>
      <c r="K549" s="84"/>
      <c r="L549" s="127"/>
      <c r="M549" s="127"/>
      <c r="N549" s="287"/>
      <c r="O549" s="146"/>
      <c r="P549" s="146"/>
      <c r="Q549" s="84"/>
    </row>
    <row r="550" spans="1:19" x14ac:dyDescent="0.35">
      <c r="B550" s="851"/>
      <c r="C550" s="84"/>
      <c r="D550" s="84"/>
      <c r="E550" s="84"/>
      <c r="F550" s="84"/>
      <c r="G550" s="87"/>
      <c r="H550" s="785"/>
      <c r="K550" s="84"/>
      <c r="L550" s="127"/>
      <c r="M550" s="127"/>
      <c r="N550" s="287"/>
      <c r="O550" s="146"/>
      <c r="P550" s="146"/>
      <c r="Q550" s="84"/>
    </row>
    <row r="551" spans="1:19" x14ac:dyDescent="0.35">
      <c r="B551" s="851"/>
      <c r="D551" s="84"/>
      <c r="E551" s="84"/>
      <c r="F551" s="84"/>
      <c r="G551" s="87"/>
      <c r="H551" s="785"/>
      <c r="K551" s="84"/>
      <c r="L551" s="127"/>
      <c r="M551" s="127"/>
      <c r="N551" s="287"/>
      <c r="O551" s="146"/>
      <c r="P551" s="146"/>
    </row>
    <row r="552" spans="1:19" x14ac:dyDescent="0.35">
      <c r="B552" s="851">
        <v>46300</v>
      </c>
      <c r="C552" s="484" t="s">
        <v>379</v>
      </c>
      <c r="D552" s="84"/>
      <c r="E552" s="84" t="s">
        <v>5593</v>
      </c>
      <c r="F552" s="84" t="s">
        <v>175</v>
      </c>
      <c r="G552" s="87" t="s">
        <v>7646</v>
      </c>
      <c r="H552" s="785">
        <v>45963</v>
      </c>
      <c r="I552" s="507">
        <v>50</v>
      </c>
      <c r="J552" s="484">
        <v>0</v>
      </c>
      <c r="K552" s="84" t="s">
        <v>4664</v>
      </c>
      <c r="L552" s="127" t="s">
        <v>694</v>
      </c>
      <c r="M552" s="127"/>
      <c r="N552" s="287" t="s">
        <v>7583</v>
      </c>
      <c r="O552" s="146" t="s">
        <v>4749</v>
      </c>
      <c r="P552" s="146" t="s">
        <v>7584</v>
      </c>
    </row>
    <row r="553" spans="1:19" x14ac:dyDescent="0.35">
      <c r="B553" s="851"/>
      <c r="D553" s="84"/>
      <c r="E553" s="84"/>
      <c r="F553" s="84"/>
      <c r="G553" s="87"/>
      <c r="H553" s="785"/>
      <c r="K553" s="84"/>
      <c r="L553" s="127"/>
      <c r="M553" s="127"/>
      <c r="N553" s="287"/>
      <c r="O553" s="146"/>
      <c r="P553" s="146"/>
    </row>
    <row r="554" spans="1:19" x14ac:dyDescent="0.35">
      <c r="B554" s="851">
        <v>46305</v>
      </c>
      <c r="C554" s="783" t="s">
        <v>1614</v>
      </c>
      <c r="D554" s="84"/>
      <c r="E554" s="84" t="s">
        <v>4358</v>
      </c>
      <c r="F554" s="84" t="s">
        <v>174</v>
      </c>
      <c r="G554" s="87" t="s">
        <v>7695</v>
      </c>
      <c r="H554" s="785">
        <v>46131</v>
      </c>
      <c r="I554" s="507">
        <v>575</v>
      </c>
      <c r="J554" s="484">
        <v>0</v>
      </c>
      <c r="K554" s="84" t="s">
        <v>4664</v>
      </c>
      <c r="L554" s="516" t="s">
        <v>248</v>
      </c>
      <c r="N554" s="287" t="s">
        <v>7696</v>
      </c>
      <c r="O554" s="146" t="s">
        <v>4849</v>
      </c>
      <c r="P554" s="146" t="s">
        <v>7697</v>
      </c>
    </row>
    <row r="555" spans="1:19" x14ac:dyDescent="0.35">
      <c r="B555" s="851"/>
      <c r="D555" s="84"/>
      <c r="E555" s="84"/>
      <c r="F555" s="84"/>
      <c r="G555" s="87"/>
      <c r="H555" s="785"/>
      <c r="K555" s="84"/>
      <c r="L555" s="127"/>
      <c r="M555" s="127"/>
      <c r="N555" s="287"/>
      <c r="O555" s="146"/>
      <c r="P555" s="146"/>
    </row>
    <row r="556" spans="1:19" x14ac:dyDescent="0.35">
      <c r="B556" s="851">
        <v>46313</v>
      </c>
      <c r="C556" s="484" t="s">
        <v>7651</v>
      </c>
      <c r="D556" s="84"/>
      <c r="E556" s="84" t="s">
        <v>6457</v>
      </c>
      <c r="F556" s="84" t="s">
        <v>174</v>
      </c>
      <c r="G556" s="87" t="s">
        <v>7698</v>
      </c>
      <c r="H556" s="785">
        <v>46014</v>
      </c>
      <c r="I556" s="507">
        <v>125</v>
      </c>
      <c r="J556" s="484">
        <v>0</v>
      </c>
      <c r="K556" s="84"/>
      <c r="L556" s="127" t="s">
        <v>4152</v>
      </c>
      <c r="M556" s="127" t="s">
        <v>7699</v>
      </c>
      <c r="N556" s="287" t="s">
        <v>7700</v>
      </c>
      <c r="O556" s="146" t="s">
        <v>4900</v>
      </c>
      <c r="P556" s="146" t="s">
        <v>7701</v>
      </c>
    </row>
    <row r="557" spans="1:19" x14ac:dyDescent="0.35">
      <c r="B557" s="851">
        <v>46313</v>
      </c>
      <c r="C557" s="484" t="s">
        <v>7651</v>
      </c>
      <c r="D557" s="84"/>
      <c r="E557" s="84" t="s">
        <v>6457</v>
      </c>
      <c r="F557" s="84" t="s">
        <v>175</v>
      </c>
      <c r="G557" s="87" t="s">
        <v>7702</v>
      </c>
      <c r="H557" s="785">
        <v>46034</v>
      </c>
      <c r="I557" s="507">
        <v>125</v>
      </c>
      <c r="K557" s="84"/>
      <c r="L557" s="127" t="s">
        <v>405</v>
      </c>
      <c r="M557" s="127"/>
      <c r="N557" s="287" t="s">
        <v>7451</v>
      </c>
      <c r="O557" s="146" t="s">
        <v>5874</v>
      </c>
      <c r="P557" s="829" t="s">
        <v>7452</v>
      </c>
      <c r="Q557" s="96" t="s">
        <v>7453</v>
      </c>
      <c r="R557" s="96" t="s">
        <v>7454</v>
      </c>
      <c r="S557" s="96" t="s">
        <v>4407</v>
      </c>
    </row>
    <row r="558" spans="1:19" x14ac:dyDescent="0.35">
      <c r="B558" s="851">
        <v>46313</v>
      </c>
      <c r="C558" s="879" t="s">
        <v>1426</v>
      </c>
      <c r="D558" s="878" t="s">
        <v>6470</v>
      </c>
      <c r="E558" s="783" t="s">
        <v>6471</v>
      </c>
      <c r="F558" s="784" t="s">
        <v>174</v>
      </c>
      <c r="G558" s="785" t="s">
        <v>7218</v>
      </c>
      <c r="H558" s="785">
        <v>45849</v>
      </c>
      <c r="I558" s="784">
        <v>125</v>
      </c>
      <c r="J558" s="784">
        <v>0</v>
      </c>
      <c r="K558" s="830" t="s">
        <v>4955</v>
      </c>
      <c r="L558" s="896" t="s">
        <v>7219</v>
      </c>
      <c r="M558" s="829" t="s">
        <v>7220</v>
      </c>
      <c r="N558" s="287" t="s">
        <v>7221</v>
      </c>
      <c r="O558" s="829" t="s">
        <v>4689</v>
      </c>
      <c r="P558" s="829" t="s">
        <v>7222</v>
      </c>
      <c r="Q558" s="96" t="s">
        <v>7223</v>
      </c>
    </row>
    <row r="559" spans="1:19" x14ac:dyDescent="0.35">
      <c r="B559" s="851"/>
      <c r="C559" s="879"/>
      <c r="D559" s="878"/>
      <c r="E559" s="783"/>
      <c r="F559" s="784"/>
      <c r="G559" s="785"/>
      <c r="H559" s="785"/>
      <c r="I559" s="784"/>
      <c r="J559" s="784"/>
      <c r="K559" s="830"/>
      <c r="L559" s="896"/>
      <c r="M559" s="829"/>
      <c r="N559" s="287"/>
      <c r="O559" s="829"/>
      <c r="P559" s="829"/>
      <c r="Q559" s="96"/>
    </row>
    <row r="560" spans="1:19" x14ac:dyDescent="0.35">
      <c r="A560" s="84" t="s">
        <v>7629</v>
      </c>
      <c r="B560" s="851">
        <v>46318</v>
      </c>
      <c r="C560" s="851" t="s">
        <v>177</v>
      </c>
      <c r="D560" s="783" t="s">
        <v>7251</v>
      </c>
      <c r="E560" s="84" t="s">
        <v>5374</v>
      </c>
      <c r="F560" s="84" t="s">
        <v>177</v>
      </c>
      <c r="G560" s="87" t="s">
        <v>7631</v>
      </c>
      <c r="H560" s="785">
        <v>45943</v>
      </c>
      <c r="K560" s="84" t="s">
        <v>5045</v>
      </c>
      <c r="L560" s="516" t="s">
        <v>713</v>
      </c>
      <c r="N560" s="287" t="s">
        <v>7632</v>
      </c>
      <c r="O560" s="146" t="s">
        <v>4889</v>
      </c>
      <c r="P560" s="146" t="s">
        <v>7633</v>
      </c>
    </row>
    <row r="561" spans="1:17" x14ac:dyDescent="0.35">
      <c r="A561" s="84" t="s">
        <v>7629</v>
      </c>
      <c r="B561" s="851">
        <v>46318</v>
      </c>
      <c r="C561" s="851" t="s">
        <v>177</v>
      </c>
      <c r="D561" s="783" t="s">
        <v>7251</v>
      </c>
      <c r="E561" s="84" t="s">
        <v>5374</v>
      </c>
      <c r="F561" s="84" t="s">
        <v>177</v>
      </c>
      <c r="G561" s="87" t="s">
        <v>7634</v>
      </c>
      <c r="H561" s="785">
        <v>45943</v>
      </c>
      <c r="K561" s="84" t="s">
        <v>4955</v>
      </c>
      <c r="L561" s="516" t="s">
        <v>712</v>
      </c>
      <c r="N561" s="287" t="s">
        <v>7635</v>
      </c>
      <c r="O561" s="146" t="s">
        <v>4862</v>
      </c>
      <c r="P561" s="146" t="s">
        <v>7636</v>
      </c>
    </row>
    <row r="562" spans="1:17" x14ac:dyDescent="0.35">
      <c r="B562" s="851"/>
      <c r="C562" s="879"/>
      <c r="D562" s="878"/>
      <c r="E562" s="783"/>
      <c r="F562" s="784"/>
      <c r="G562" s="785"/>
      <c r="H562" s="785"/>
      <c r="I562" s="784"/>
      <c r="J562" s="784"/>
      <c r="K562" s="830"/>
      <c r="L562" s="896"/>
      <c r="M562" s="829"/>
      <c r="N562" s="287"/>
      <c r="O562" s="829"/>
      <c r="P562" s="829"/>
      <c r="Q562" s="96"/>
    </row>
    <row r="563" spans="1:17" x14ac:dyDescent="0.35">
      <c r="B563" s="851"/>
      <c r="C563" s="879"/>
      <c r="D563" s="878"/>
      <c r="E563" s="783"/>
      <c r="F563" s="784"/>
      <c r="G563" s="785"/>
      <c r="H563" s="785"/>
      <c r="I563" s="784"/>
      <c r="J563" s="784"/>
      <c r="K563" s="830"/>
      <c r="L563" s="896"/>
      <c r="M563" s="829"/>
      <c r="N563" s="287"/>
      <c r="O563" s="829"/>
      <c r="P563" s="829"/>
      <c r="Q563" s="96"/>
    </row>
    <row r="564" spans="1:17" x14ac:dyDescent="0.35">
      <c r="B564" s="851">
        <v>46319</v>
      </c>
      <c r="C564" s="851" t="s">
        <v>177</v>
      </c>
      <c r="D564" s="783" t="s">
        <v>7232</v>
      </c>
      <c r="E564" s="84" t="s">
        <v>7233</v>
      </c>
      <c r="F564" s="84" t="s">
        <v>126</v>
      </c>
      <c r="G564" s="1045" t="s">
        <v>7703</v>
      </c>
      <c r="H564" s="785">
        <v>46125</v>
      </c>
      <c r="J564" s="484">
        <v>99</v>
      </c>
      <c r="K564" s="84"/>
      <c r="L564" s="127" t="s">
        <v>7704</v>
      </c>
      <c r="M564" s="127"/>
      <c r="N564" s="287" t="s">
        <v>7705</v>
      </c>
      <c r="O564" s="146"/>
      <c r="P564" s="146"/>
    </row>
    <row r="565" spans="1:17" x14ac:dyDescent="0.35">
      <c r="B565" s="851">
        <v>46319</v>
      </c>
      <c r="C565" s="851" t="s">
        <v>177</v>
      </c>
      <c r="D565" s="783" t="s">
        <v>7251</v>
      </c>
      <c r="E565" s="84" t="s">
        <v>7233</v>
      </c>
      <c r="F565" s="84" t="s">
        <v>126</v>
      </c>
      <c r="G565" s="505" t="s">
        <v>7706</v>
      </c>
      <c r="H565" s="785">
        <v>46155</v>
      </c>
      <c r="J565" s="484">
        <v>99</v>
      </c>
      <c r="K565" s="84"/>
      <c r="L565" s="127" t="s">
        <v>897</v>
      </c>
      <c r="M565" s="127"/>
      <c r="N565" s="1104" t="s">
        <v>6555</v>
      </c>
      <c r="O565" s="146"/>
      <c r="P565" s="146" t="s">
        <v>6556</v>
      </c>
    </row>
    <row r="566" spans="1:17" x14ac:dyDescent="0.35">
      <c r="B566" s="851"/>
      <c r="D566" s="84"/>
      <c r="E566" s="84"/>
      <c r="F566" s="84"/>
      <c r="G566" s="87"/>
      <c r="H566" s="785"/>
      <c r="K566" s="84"/>
      <c r="L566" s="127"/>
      <c r="M566" s="127"/>
      <c r="N566" s="287"/>
      <c r="O566" s="146"/>
      <c r="P566" s="146"/>
    </row>
    <row r="567" spans="1:17" x14ac:dyDescent="0.35">
      <c r="B567" s="851">
        <v>46327</v>
      </c>
      <c r="C567" s="484" t="s">
        <v>613</v>
      </c>
      <c r="D567" s="84"/>
      <c r="E567" s="84" t="s">
        <v>3955</v>
      </c>
      <c r="F567" s="84" t="s">
        <v>111</v>
      </c>
      <c r="G567" s="1045" t="s">
        <v>7707</v>
      </c>
      <c r="H567" s="785">
        <v>46108</v>
      </c>
      <c r="I567" s="507">
        <v>120</v>
      </c>
      <c r="J567" s="484">
        <v>0</v>
      </c>
      <c r="K567" s="84"/>
      <c r="L567" s="127" t="s">
        <v>239</v>
      </c>
      <c r="M567" s="127"/>
      <c r="N567" s="287" t="s">
        <v>7708</v>
      </c>
      <c r="O567" s="146"/>
      <c r="P567" s="146" t="s">
        <v>7709</v>
      </c>
    </row>
    <row r="568" spans="1:17" x14ac:dyDescent="0.35">
      <c r="B568" s="851">
        <v>46327</v>
      </c>
      <c r="C568" s="484" t="s">
        <v>613</v>
      </c>
      <c r="D568" s="84"/>
      <c r="E568" s="84" t="s">
        <v>3955</v>
      </c>
      <c r="F568" s="84" t="s">
        <v>174</v>
      </c>
      <c r="G568" s="87" t="s">
        <v>7710</v>
      </c>
      <c r="H568" s="785">
        <v>46136</v>
      </c>
      <c r="I568" s="507">
        <v>150</v>
      </c>
      <c r="J568" s="484">
        <v>0</v>
      </c>
      <c r="L568" s="127" t="s">
        <v>7711</v>
      </c>
      <c r="N568" s="287" t="s">
        <v>7712</v>
      </c>
      <c r="O568" s="146" t="s">
        <v>6530</v>
      </c>
      <c r="P568" s="146" t="s">
        <v>7713</v>
      </c>
    </row>
    <row r="569" spans="1:17" x14ac:dyDescent="0.35">
      <c r="B569" s="851">
        <v>46327</v>
      </c>
      <c r="C569" s="484" t="s">
        <v>613</v>
      </c>
      <c r="D569" s="84"/>
      <c r="E569" s="84" t="s">
        <v>3955</v>
      </c>
      <c r="F569" s="84" t="s">
        <v>111</v>
      </c>
      <c r="G569" s="505" t="s">
        <v>114</v>
      </c>
      <c r="H569" s="785">
        <v>46164</v>
      </c>
      <c r="I569" s="507">
        <v>120</v>
      </c>
      <c r="L569" s="127" t="s">
        <v>112</v>
      </c>
      <c r="N569" s="287" t="s">
        <v>7714</v>
      </c>
      <c r="P569" s="146" t="s">
        <v>7715</v>
      </c>
    </row>
    <row r="570" spans="1:17" x14ac:dyDescent="0.35">
      <c r="B570" s="851"/>
      <c r="D570" s="84"/>
      <c r="E570" s="84"/>
      <c r="H570" s="785"/>
    </row>
    <row r="571" spans="1:17" x14ac:dyDescent="0.35">
      <c r="B571" s="851">
        <v>46468</v>
      </c>
      <c r="C571" s="84" t="s">
        <v>8525</v>
      </c>
      <c r="D571" s="84"/>
      <c r="E571" s="84" t="s">
        <v>5593</v>
      </c>
      <c r="F571" s="84" t="s">
        <v>180</v>
      </c>
      <c r="G571" s="1045" t="s">
        <v>8523</v>
      </c>
      <c r="H571" s="785">
        <v>46186</v>
      </c>
      <c r="I571" s="507">
        <v>40</v>
      </c>
      <c r="J571" s="484">
        <v>0</v>
      </c>
      <c r="L571" s="127" t="s">
        <v>8524</v>
      </c>
      <c r="N571" s="1212" t="s">
        <v>8526</v>
      </c>
      <c r="P571" s="146" t="s">
        <v>8527</v>
      </c>
    </row>
    <row r="572" spans="1:17" x14ac:dyDescent="0.35">
      <c r="B572" s="851"/>
      <c r="D572" s="84"/>
      <c r="E572" s="84"/>
      <c r="H572" s="785"/>
    </row>
    <row r="573" spans="1:17" x14ac:dyDescent="0.35">
      <c r="B573" s="851"/>
      <c r="D573" s="84"/>
      <c r="E573" s="84"/>
      <c r="H573" s="785"/>
    </row>
    <row r="574" spans="1:17" x14ac:dyDescent="0.35">
      <c r="B574" s="851"/>
      <c r="D574" s="84"/>
      <c r="E574" s="84"/>
      <c r="H574" s="785"/>
    </row>
    <row r="575" spans="1:17" x14ac:dyDescent="0.35">
      <c r="B575" s="851"/>
      <c r="D575" s="84"/>
      <c r="E575" s="84"/>
      <c r="H575" s="785"/>
    </row>
    <row r="576" spans="1:17" x14ac:dyDescent="0.35">
      <c r="B576" s="851"/>
      <c r="D576" s="84"/>
      <c r="E576" s="84"/>
      <c r="H576" s="785"/>
    </row>
    <row r="577" spans="2:14" x14ac:dyDescent="0.35">
      <c r="B577" s="851"/>
      <c r="D577" s="84"/>
      <c r="E577" s="84"/>
      <c r="H577" s="785"/>
    </row>
    <row r="578" spans="2:14" x14ac:dyDescent="0.35">
      <c r="B578" s="851"/>
      <c r="D578" s="84"/>
      <c r="E578" s="84"/>
      <c r="H578" s="785"/>
    </row>
    <row r="579" spans="2:14" x14ac:dyDescent="0.35">
      <c r="D579" s="543" t="s">
        <v>126</v>
      </c>
      <c r="F579" s="640">
        <f>COUNTIF(F3:F395,"JLR")</f>
        <v>173</v>
      </c>
      <c r="H579" s="785"/>
      <c r="I579" s="484">
        <f>SUMIF(F:F, "JLR",I:I)</f>
        <v>709</v>
      </c>
      <c r="J579" s="484">
        <f>SUMIF(F:F, "JLR",J:J)</f>
        <v>12864</v>
      </c>
      <c r="K579" s="545"/>
      <c r="N579" s="299">
        <f>SUM(I579+J579)</f>
        <v>13573</v>
      </c>
    </row>
    <row r="580" spans="2:14" x14ac:dyDescent="0.35">
      <c r="C580" s="543" t="s">
        <v>6455</v>
      </c>
      <c r="D580" s="543"/>
      <c r="H580" s="511"/>
      <c r="K580" s="84"/>
      <c r="N580" s="299"/>
    </row>
    <row r="581" spans="2:14" x14ac:dyDescent="0.35">
      <c r="C581" s="543"/>
      <c r="D581" s="543"/>
      <c r="E581" s="84"/>
      <c r="F581" s="84"/>
      <c r="G581" s="299"/>
      <c r="H581" s="511"/>
      <c r="K581" s="299"/>
      <c r="N581" s="545"/>
    </row>
    <row r="582" spans="2:14" x14ac:dyDescent="0.35">
      <c r="C582" s="543" t="s">
        <v>6456</v>
      </c>
      <c r="D582" s="543"/>
      <c r="E582" s="84"/>
      <c r="F582" s="84"/>
      <c r="G582" s="299"/>
      <c r="H582" s="511"/>
      <c r="K582" s="84"/>
      <c r="N582" s="545"/>
    </row>
    <row r="583" spans="2:14" x14ac:dyDescent="0.35">
      <c r="C583" s="543"/>
      <c r="D583" s="715"/>
      <c r="E583" s="84" t="s">
        <v>5374</v>
      </c>
      <c r="H583" s="511"/>
      <c r="K583" s="84" t="s">
        <v>7716</v>
      </c>
      <c r="N583" s="299"/>
    </row>
    <row r="584" spans="2:14" x14ac:dyDescent="0.35">
      <c r="C584" s="715" t="s">
        <v>6456</v>
      </c>
      <c r="D584" s="715"/>
      <c r="E584" s="84" t="s">
        <v>5375</v>
      </c>
      <c r="F584" s="84"/>
      <c r="G584" s="299"/>
      <c r="H584" s="511"/>
      <c r="K584" s="84" t="s">
        <v>7716</v>
      </c>
      <c r="N584" s="545"/>
    </row>
    <row r="585" spans="2:14" x14ac:dyDescent="0.35">
      <c r="C585" s="715" t="s">
        <v>6456</v>
      </c>
      <c r="D585" s="715"/>
      <c r="E585" s="84" t="s">
        <v>6457</v>
      </c>
      <c r="F585" s="84"/>
      <c r="G585" s="299"/>
      <c r="H585" s="511"/>
      <c r="K585" s="84" t="s">
        <v>7717</v>
      </c>
      <c r="N585" s="545"/>
    </row>
    <row r="586" spans="2:14" x14ac:dyDescent="0.35">
      <c r="C586" s="715" t="s">
        <v>6456</v>
      </c>
      <c r="D586" s="715"/>
      <c r="E586" s="84" t="s">
        <v>4358</v>
      </c>
      <c r="F586" s="84"/>
      <c r="G586" s="299"/>
      <c r="H586" s="511"/>
      <c r="K586" s="84" t="s">
        <v>7717</v>
      </c>
      <c r="N586" s="287"/>
    </row>
    <row r="587" spans="2:14" x14ac:dyDescent="0.35">
      <c r="C587" s="715" t="s">
        <v>6456</v>
      </c>
      <c r="D587" s="715"/>
      <c r="E587" s="84" t="s">
        <v>4357</v>
      </c>
      <c r="F587" s="84"/>
      <c r="G587" s="299"/>
      <c r="H587" s="511"/>
      <c r="K587" s="84" t="s">
        <v>7717</v>
      </c>
      <c r="N587" s="287"/>
    </row>
    <row r="588" spans="2:14" x14ac:dyDescent="0.35">
      <c r="C588" s="715" t="s">
        <v>6456</v>
      </c>
      <c r="D588" s="543"/>
      <c r="E588" s="84"/>
      <c r="F588" s="84"/>
      <c r="G588" s="299"/>
      <c r="H588" s="511"/>
      <c r="K588" s="84"/>
      <c r="N588" s="545"/>
    </row>
    <row r="589" spans="2:14" x14ac:dyDescent="0.35">
      <c r="C589" s="543"/>
      <c r="D589" s="518"/>
      <c r="H589" s="511"/>
      <c r="K589" s="84"/>
      <c r="N589" s="299"/>
    </row>
    <row r="590" spans="2:14" x14ac:dyDescent="0.35">
      <c r="C590" s="518"/>
      <c r="D590" s="519"/>
      <c r="E590" s="520"/>
      <c r="F590" s="714" t="e">
        <f>COUNTIF(#REF!,"")</f>
        <v>#REF!</v>
      </c>
      <c r="G590" s="521"/>
      <c r="H590" s="522">
        <f>SUM(I590+J590)/I592</f>
        <v>1.5418283333333334</v>
      </c>
      <c r="I590" s="523">
        <f>SUM(I7:I589)</f>
        <v>33011.85</v>
      </c>
      <c r="J590" s="523">
        <f>SUM(J7:J516)</f>
        <v>13243</v>
      </c>
      <c r="N590" s="516">
        <f>J590+I590</f>
        <v>46254.85</v>
      </c>
    </row>
    <row r="591" spans="2:14" x14ac:dyDescent="0.35">
      <c r="C591" s="519" t="s">
        <v>63</v>
      </c>
    </row>
    <row r="592" spans="2:14" x14ac:dyDescent="0.35">
      <c r="G592" s="505" t="s">
        <v>18</v>
      </c>
      <c r="H592" s="511" t="s">
        <v>6458</v>
      </c>
      <c r="I592" s="507">
        <v>30000</v>
      </c>
    </row>
    <row r="594" spans="7:9" x14ac:dyDescent="0.35">
      <c r="G594" s="505" t="s">
        <v>6459</v>
      </c>
      <c r="H594" s="484">
        <f>I594/12</f>
        <v>1354.5708333333332</v>
      </c>
      <c r="I594" s="507">
        <f>N590-I592</f>
        <v>16254.849999999999</v>
      </c>
    </row>
  </sheetData>
  <autoFilter ref="B2:S585" xr:uid="{00000000-0009-0000-0000-00001F000000}"/>
  <conditionalFormatting sqref="J2:M3">
    <cfRule type="cellIs" dxfId="4366" priority="287" operator="greaterThan">
      <formula>0</formula>
    </cfRule>
  </conditionalFormatting>
  <conditionalFormatting sqref="I594">
    <cfRule type="cellIs" dxfId="4365" priority="281" operator="lessThan">
      <formula>0</formula>
    </cfRule>
    <cfRule type="cellIs" dxfId="4364" priority="282" operator="greaterThan">
      <formula>0</formula>
    </cfRule>
    <cfRule type="cellIs" dxfId="4363" priority="283" operator="lessThan">
      <formula>28.7</formula>
    </cfRule>
  </conditionalFormatting>
  <conditionalFormatting sqref="H590">
    <cfRule type="cellIs" dxfId="4362" priority="278" operator="greaterThan">
      <formula>0.99</formula>
    </cfRule>
    <cfRule type="cellIs" dxfId="4361" priority="279" operator="lessThan">
      <formula>0.99</formula>
    </cfRule>
    <cfRule type="cellIs" dxfId="4360" priority="280" operator="lessThan">
      <formula>100</formula>
    </cfRule>
  </conditionalFormatting>
  <conditionalFormatting sqref="D82:D84 D94:D100 D109:D110 D117:D118 D125:D129 D131:D132 D155:D156 D224:D227 D336 D338:D339 D351 D440 D452:D463">
    <cfRule type="containsText" dxfId="4359" priority="214" operator="containsText" text="All Day">
      <formula>NOT(ISERROR(SEARCH("All Day",D82)))</formula>
    </cfRule>
    <cfRule type="containsText" dxfId="4358" priority="215" operator="containsText" text="AM">
      <formula>NOT(ISERROR(SEARCH("AM",D82)))</formula>
    </cfRule>
    <cfRule type="containsText" dxfId="4357" priority="216" operator="containsText" text="PM">
      <formula>NOT(ISERROR(SEARCH("PM",D82)))</formula>
    </cfRule>
  </conditionalFormatting>
  <conditionalFormatting sqref="D111:D112 D114:D115 D117:D124 D140 D150:D154">
    <cfRule type="containsText" dxfId="4356" priority="208" operator="containsText" text="All Day">
      <formula>NOT(ISERROR(SEARCH("All Day",D111)))</formula>
    </cfRule>
    <cfRule type="containsText" dxfId="4355" priority="209" operator="containsText" text="AM">
      <formula>NOT(ISERROR(SEARCH("AM",D111)))</formula>
    </cfRule>
    <cfRule type="containsText" dxfId="4354" priority="210" operator="containsText" text="PM">
      <formula>NOT(ISERROR(SEARCH("PM",D111)))</formula>
    </cfRule>
  </conditionalFormatting>
  <conditionalFormatting sqref="D119:D120">
    <cfRule type="containsText" dxfId="4353" priority="205" operator="containsText" text="All Day">
      <formula>NOT(ISERROR(SEARCH("All Day",D119)))</formula>
    </cfRule>
    <cfRule type="containsText" dxfId="4352" priority="206" operator="containsText" text="AM">
      <formula>NOT(ISERROR(SEARCH("AM",D119)))</formula>
    </cfRule>
    <cfRule type="containsText" dxfId="4351" priority="207" operator="containsText" text="PM">
      <formula>NOT(ISERROR(SEARCH("PM",D119)))</formula>
    </cfRule>
  </conditionalFormatting>
  <conditionalFormatting sqref="D105:D106">
    <cfRule type="containsText" dxfId="4350" priority="187" operator="containsText" text="All Day">
      <formula>NOT(ISERROR(SEARCH("All Day",D105)))</formula>
    </cfRule>
    <cfRule type="containsText" dxfId="4349" priority="188" operator="containsText" text="AM">
      <formula>NOT(ISERROR(SEARCH("AM",D105)))</formula>
    </cfRule>
    <cfRule type="containsText" dxfId="4348" priority="189" operator="containsText" text="PM">
      <formula>NOT(ISERROR(SEARCH("PM",D105)))</formula>
    </cfRule>
  </conditionalFormatting>
  <conditionalFormatting sqref="D87">
    <cfRule type="containsText" dxfId="4347" priority="184" operator="containsText" text="All Day">
      <formula>NOT(ISERROR(SEARCH("All Day",D87)))</formula>
    </cfRule>
    <cfRule type="containsText" dxfId="4346" priority="185" operator="containsText" text="AM">
      <formula>NOT(ISERROR(SEARCH("AM",D87)))</formula>
    </cfRule>
    <cfRule type="containsText" dxfId="4345" priority="186" operator="containsText" text="PM">
      <formula>NOT(ISERROR(SEARCH("PM",D87)))</formula>
    </cfRule>
  </conditionalFormatting>
  <conditionalFormatting sqref="D83">
    <cfRule type="containsText" dxfId="4344" priority="181" operator="containsText" text="All Day">
      <formula>NOT(ISERROR(SEARCH("All Day",D83)))</formula>
    </cfRule>
    <cfRule type="containsText" dxfId="4343" priority="182" operator="containsText" text="AM">
      <formula>NOT(ISERROR(SEARCH("AM",D83)))</formula>
    </cfRule>
    <cfRule type="containsText" dxfId="4342" priority="183" operator="containsText" text="PM">
      <formula>NOT(ISERROR(SEARCH("PM",D83)))</formula>
    </cfRule>
  </conditionalFormatting>
  <conditionalFormatting sqref="D102">
    <cfRule type="containsText" dxfId="4341" priority="172" operator="containsText" text="All Day">
      <formula>NOT(ISERROR(SEARCH("All Day",D102)))</formula>
    </cfRule>
    <cfRule type="containsText" dxfId="4340" priority="173" operator="containsText" text="AM">
      <formula>NOT(ISERROR(SEARCH("AM",D102)))</formula>
    </cfRule>
    <cfRule type="containsText" dxfId="4339" priority="174" operator="containsText" text="PM">
      <formula>NOT(ISERROR(SEARCH("PM",D102)))</formula>
    </cfRule>
  </conditionalFormatting>
  <conditionalFormatting sqref="D108">
    <cfRule type="containsText" dxfId="4338" priority="169" operator="containsText" text="All Day">
      <formula>NOT(ISERROR(SEARCH("All Day",D108)))</formula>
    </cfRule>
    <cfRule type="containsText" dxfId="4337" priority="170" operator="containsText" text="AM">
      <formula>NOT(ISERROR(SEARCH("AM",D108)))</formula>
    </cfRule>
    <cfRule type="containsText" dxfId="4336" priority="171" operator="containsText" text="PM">
      <formula>NOT(ISERROR(SEARCH("PM",D108)))</formula>
    </cfRule>
  </conditionalFormatting>
  <conditionalFormatting sqref="D346:D347">
    <cfRule type="containsText" dxfId="4335" priority="163" operator="containsText" text="All Day">
      <formula>NOT(ISERROR(SEARCH("All Day",D346)))</formula>
    </cfRule>
    <cfRule type="containsText" dxfId="4334" priority="164" operator="containsText" text="AM">
      <formula>NOT(ISERROR(SEARCH("AM",D346)))</formula>
    </cfRule>
    <cfRule type="containsText" dxfId="4333" priority="165" operator="containsText" text="PM">
      <formula>NOT(ISERROR(SEARCH("PM",D346)))</formula>
    </cfRule>
  </conditionalFormatting>
  <conditionalFormatting sqref="D306">
    <cfRule type="containsText" dxfId="4332" priority="154" operator="containsText" text="All Day">
      <formula>NOT(ISERROR(SEARCH("All Day",D306)))</formula>
    </cfRule>
    <cfRule type="containsText" dxfId="4331" priority="155" operator="containsText" text="AM">
      <formula>NOT(ISERROR(SEARCH("AM",D306)))</formula>
    </cfRule>
    <cfRule type="containsText" dxfId="4330" priority="156" operator="containsText" text="PM">
      <formula>NOT(ISERROR(SEARCH("PM",D306)))</formula>
    </cfRule>
  </conditionalFormatting>
  <conditionalFormatting sqref="D127">
    <cfRule type="containsText" dxfId="4329" priority="145" operator="containsText" text="All Day">
      <formula>NOT(ISERROR(SEARCH("All Day",D127)))</formula>
    </cfRule>
    <cfRule type="containsText" dxfId="4328" priority="146" operator="containsText" text="AM">
      <formula>NOT(ISERROR(SEARCH("AM",D127)))</formula>
    </cfRule>
    <cfRule type="containsText" dxfId="4327" priority="147" operator="containsText" text="PM">
      <formula>NOT(ISERROR(SEARCH("PM",D127)))</formula>
    </cfRule>
  </conditionalFormatting>
  <conditionalFormatting sqref="D88">
    <cfRule type="containsText" dxfId="4326" priority="142" operator="containsText" text="All Day">
      <formula>NOT(ISERROR(SEARCH("All Day",D88)))</formula>
    </cfRule>
    <cfRule type="containsText" dxfId="4325" priority="143" operator="containsText" text="AM">
      <formula>NOT(ISERROR(SEARCH("AM",D88)))</formula>
    </cfRule>
    <cfRule type="containsText" dxfId="4324" priority="144" operator="containsText" text="PM">
      <formula>NOT(ISERROR(SEARCH("PM",D88)))</formula>
    </cfRule>
  </conditionalFormatting>
  <conditionalFormatting sqref="D85:D86">
    <cfRule type="containsText" dxfId="4323" priority="139" operator="containsText" text="All Day">
      <formula>NOT(ISERROR(SEARCH("All Day",D85)))</formula>
    </cfRule>
    <cfRule type="containsText" dxfId="4322" priority="140" operator="containsText" text="AM">
      <formula>NOT(ISERROR(SEARCH("AM",D85)))</formula>
    </cfRule>
    <cfRule type="containsText" dxfId="4321" priority="141" operator="containsText" text="PM">
      <formula>NOT(ISERROR(SEARCH("PM",D85)))</formula>
    </cfRule>
  </conditionalFormatting>
  <conditionalFormatting sqref="D111:D112">
    <cfRule type="containsText" dxfId="4320" priority="136" operator="containsText" text="All Day">
      <formula>NOT(ISERROR(SEARCH("All Day",D111)))</formula>
    </cfRule>
    <cfRule type="containsText" dxfId="4319" priority="137" operator="containsText" text="AM">
      <formula>NOT(ISERROR(SEARCH("AM",D111)))</formula>
    </cfRule>
    <cfRule type="containsText" dxfId="4318" priority="138" operator="containsText" text="PM">
      <formula>NOT(ISERROR(SEARCH("PM",D111)))</formula>
    </cfRule>
  </conditionalFormatting>
  <conditionalFormatting sqref="D89">
    <cfRule type="containsText" dxfId="4317" priority="133" operator="containsText" text="All Day">
      <formula>NOT(ISERROR(SEARCH("All Day",D89)))</formula>
    </cfRule>
    <cfRule type="containsText" dxfId="4316" priority="134" operator="containsText" text="AM">
      <formula>NOT(ISERROR(SEARCH("AM",D89)))</formula>
    </cfRule>
    <cfRule type="containsText" dxfId="4315" priority="135" operator="containsText" text="PM">
      <formula>NOT(ISERROR(SEARCH("PM",D89)))</formula>
    </cfRule>
  </conditionalFormatting>
  <conditionalFormatting sqref="D90">
    <cfRule type="containsText" dxfId="4314" priority="130" operator="containsText" text="All Day">
      <formula>NOT(ISERROR(SEARCH("All Day",D90)))</formula>
    </cfRule>
    <cfRule type="containsText" dxfId="4313" priority="131" operator="containsText" text="AM">
      <formula>NOT(ISERROR(SEARCH("AM",D90)))</formula>
    </cfRule>
    <cfRule type="containsText" dxfId="4312" priority="132" operator="containsText" text="PM">
      <formula>NOT(ISERROR(SEARCH("PM",D90)))</formula>
    </cfRule>
  </conditionalFormatting>
  <conditionalFormatting sqref="D128">
    <cfRule type="containsText" dxfId="4311" priority="124" operator="containsText" text="All Day">
      <formula>NOT(ISERROR(SEARCH("All Day",D128)))</formula>
    </cfRule>
    <cfRule type="containsText" dxfId="4310" priority="125" operator="containsText" text="AM">
      <formula>NOT(ISERROR(SEARCH("AM",D128)))</formula>
    </cfRule>
    <cfRule type="containsText" dxfId="4309" priority="126" operator="containsText" text="PM">
      <formula>NOT(ISERROR(SEARCH("PM",D128)))</formula>
    </cfRule>
  </conditionalFormatting>
  <conditionalFormatting sqref="D103:D106">
    <cfRule type="containsText" dxfId="4308" priority="121" operator="containsText" text="All Day">
      <formula>NOT(ISERROR(SEARCH("All Day",D103)))</formula>
    </cfRule>
    <cfRule type="containsText" dxfId="4307" priority="122" operator="containsText" text="AM">
      <formula>NOT(ISERROR(SEARCH("AM",D103)))</formula>
    </cfRule>
    <cfRule type="containsText" dxfId="4306" priority="123" operator="containsText" text="PM">
      <formula>NOT(ISERROR(SEARCH("PM",D103)))</formula>
    </cfRule>
  </conditionalFormatting>
  <conditionalFormatting sqref="D307:D309">
    <cfRule type="containsText" dxfId="4305" priority="118" operator="containsText" text="All Day">
      <formula>NOT(ISERROR(SEARCH("All Day",D307)))</formula>
    </cfRule>
    <cfRule type="containsText" dxfId="4304" priority="119" operator="containsText" text="AM">
      <formula>NOT(ISERROR(SEARCH("AM",D307)))</formula>
    </cfRule>
    <cfRule type="containsText" dxfId="4303" priority="120" operator="containsText" text="PM">
      <formula>NOT(ISERROR(SEARCH("PM",D307)))</formula>
    </cfRule>
  </conditionalFormatting>
  <conditionalFormatting sqref="D305">
    <cfRule type="containsText" dxfId="4302" priority="112" operator="containsText" text="All Day">
      <formula>NOT(ISERROR(SEARCH("All Day",D305)))</formula>
    </cfRule>
    <cfRule type="containsText" dxfId="4301" priority="113" operator="containsText" text="AM">
      <formula>NOT(ISERROR(SEARCH("AM",D305)))</formula>
    </cfRule>
    <cfRule type="containsText" dxfId="4300" priority="114" operator="containsText" text="PM">
      <formula>NOT(ISERROR(SEARCH("PM",D305)))</formula>
    </cfRule>
  </conditionalFormatting>
  <conditionalFormatting sqref="D91">
    <cfRule type="containsText" dxfId="4299" priority="109" operator="containsText" text="All Day">
      <formula>NOT(ISERROR(SEARCH("All Day",D91)))</formula>
    </cfRule>
    <cfRule type="containsText" dxfId="4298" priority="110" operator="containsText" text="AM">
      <formula>NOT(ISERROR(SEARCH("AM",D91)))</formula>
    </cfRule>
    <cfRule type="containsText" dxfId="4297" priority="111" operator="containsText" text="PM">
      <formula>NOT(ISERROR(SEARCH("PM",D91)))</formula>
    </cfRule>
  </conditionalFormatting>
  <conditionalFormatting sqref="D324:D325">
    <cfRule type="containsText" dxfId="4296" priority="106" operator="containsText" text="All Day">
      <formula>NOT(ISERROR(SEARCH("All Day",D324)))</formula>
    </cfRule>
    <cfRule type="containsText" dxfId="4295" priority="107" operator="containsText" text="AM">
      <formula>NOT(ISERROR(SEARCH("AM",D324)))</formula>
    </cfRule>
    <cfRule type="containsText" dxfId="4294" priority="108" operator="containsText" text="PM">
      <formula>NOT(ISERROR(SEARCH("PM",D324)))</formula>
    </cfRule>
  </conditionalFormatting>
  <conditionalFormatting sqref="D113">
    <cfRule type="containsText" dxfId="4293" priority="103" operator="containsText" text="All Day">
      <formula>NOT(ISERROR(SEARCH("All Day",D113)))</formula>
    </cfRule>
    <cfRule type="containsText" dxfId="4292" priority="104" operator="containsText" text="AM">
      <formula>NOT(ISERROR(SEARCH("AM",D113)))</formula>
    </cfRule>
    <cfRule type="containsText" dxfId="4291" priority="105" operator="containsText" text="PM">
      <formula>NOT(ISERROR(SEARCH("PM",D113)))</formula>
    </cfRule>
  </conditionalFormatting>
  <conditionalFormatting sqref="D101">
    <cfRule type="containsText" dxfId="4290" priority="100" operator="containsText" text="All Day">
      <formula>NOT(ISERROR(SEARCH("All Day",D101)))</formula>
    </cfRule>
    <cfRule type="containsText" dxfId="4289" priority="101" operator="containsText" text="AM">
      <formula>NOT(ISERROR(SEARCH("AM",D101)))</formula>
    </cfRule>
    <cfRule type="containsText" dxfId="4288" priority="102" operator="containsText" text="PM">
      <formula>NOT(ISERROR(SEARCH("PM",D101)))</formula>
    </cfRule>
  </conditionalFormatting>
  <conditionalFormatting sqref="D116">
    <cfRule type="containsText" dxfId="4287" priority="94" operator="containsText" text="All Day">
      <formula>NOT(ISERROR(SEARCH("All Day",D116)))</formula>
    </cfRule>
    <cfRule type="containsText" dxfId="4286" priority="95" operator="containsText" text="AM">
      <formula>NOT(ISERROR(SEARCH("AM",D116)))</formula>
    </cfRule>
    <cfRule type="containsText" dxfId="4285" priority="96" operator="containsText" text="PM">
      <formula>NOT(ISERROR(SEARCH("PM",D116)))</formula>
    </cfRule>
  </conditionalFormatting>
  <conditionalFormatting sqref="D122:D124">
    <cfRule type="containsText" dxfId="4284" priority="91" operator="containsText" text="AM/PM">
      <formula>NOT(ISERROR(SEARCH("AM/PM",D122)))</formula>
    </cfRule>
    <cfRule type="containsText" dxfId="4283" priority="92" operator="containsText" text="AM">
      <formula>NOT(ISERROR(SEARCH("AM",D122)))</formula>
    </cfRule>
    <cfRule type="containsText" dxfId="4282" priority="93" operator="containsText" text="PM">
      <formula>NOT(ISERROR(SEARCH("PM",D122)))</formula>
    </cfRule>
  </conditionalFormatting>
  <conditionalFormatting sqref="D328:D329">
    <cfRule type="containsText" dxfId="4281" priority="88" operator="containsText" text="All Day">
      <formula>NOT(ISERROR(SEARCH("All Day",D328)))</formula>
    </cfRule>
    <cfRule type="containsText" dxfId="4280" priority="89" operator="containsText" text="AM">
      <formula>NOT(ISERROR(SEARCH("AM",D328)))</formula>
    </cfRule>
    <cfRule type="containsText" dxfId="4279" priority="90" operator="containsText" text="PM">
      <formula>NOT(ISERROR(SEARCH("PM",D328)))</formula>
    </cfRule>
  </conditionalFormatting>
  <conditionalFormatting sqref="D323">
    <cfRule type="containsText" dxfId="4278" priority="85" operator="containsText" text="All Day">
      <formula>NOT(ISERROR(SEARCH("All Day",D323)))</formula>
    </cfRule>
    <cfRule type="containsText" dxfId="4277" priority="86" operator="containsText" text="AM">
      <formula>NOT(ISERROR(SEARCH("AM",D323)))</formula>
    </cfRule>
    <cfRule type="containsText" dxfId="4276" priority="87" operator="containsText" text="PM">
      <formula>NOT(ISERROR(SEARCH("PM",D323)))</formula>
    </cfRule>
  </conditionalFormatting>
  <conditionalFormatting sqref="D310:D316">
    <cfRule type="containsText" dxfId="4275" priority="82" operator="containsText" text="All Day">
      <formula>NOT(ISERROR(SEARCH("All Day",D310)))</formula>
    </cfRule>
    <cfRule type="containsText" dxfId="4274" priority="83" operator="containsText" text="AM">
      <formula>NOT(ISERROR(SEARCH("AM",D310)))</formula>
    </cfRule>
    <cfRule type="containsText" dxfId="4273" priority="84" operator="containsText" text="PM">
      <formula>NOT(ISERROR(SEARCH("PM",D310)))</formula>
    </cfRule>
  </conditionalFormatting>
  <conditionalFormatting sqref="D340:D342">
    <cfRule type="containsText" dxfId="4272" priority="79" operator="containsText" text="All Day">
      <formula>NOT(ISERROR(SEARCH("All Day",D340)))</formula>
    </cfRule>
    <cfRule type="containsText" dxfId="4271" priority="80" operator="containsText" text="AM">
      <formula>NOT(ISERROR(SEARCH("AM",D340)))</formula>
    </cfRule>
    <cfRule type="containsText" dxfId="4270" priority="81" operator="containsText" text="PM">
      <formula>NOT(ISERROR(SEARCH("PM",D340)))</formula>
    </cfRule>
  </conditionalFormatting>
  <conditionalFormatting sqref="D468">
    <cfRule type="containsText" dxfId="4269" priority="76" operator="containsText" text="All Day">
      <formula>NOT(ISERROR(SEARCH("All Day",D468)))</formula>
    </cfRule>
    <cfRule type="containsText" dxfId="4268" priority="77" operator="containsText" text="AM">
      <formula>NOT(ISERROR(SEARCH("AM",D468)))</formula>
    </cfRule>
    <cfRule type="containsText" dxfId="4267" priority="78" operator="containsText" text="PM">
      <formula>NOT(ISERROR(SEARCH("PM",D468)))</formula>
    </cfRule>
  </conditionalFormatting>
  <conditionalFormatting sqref="D344">
    <cfRule type="containsText" dxfId="4266" priority="73" operator="containsText" text="All Day">
      <formula>NOT(ISERROR(SEARCH("All Day",D344)))</formula>
    </cfRule>
    <cfRule type="containsText" dxfId="4265" priority="74" operator="containsText" text="AM">
      <formula>NOT(ISERROR(SEARCH("AM",D344)))</formula>
    </cfRule>
    <cfRule type="containsText" dxfId="4264" priority="75" operator="containsText" text="PM">
      <formula>NOT(ISERROR(SEARCH("PM",D344)))</formula>
    </cfRule>
  </conditionalFormatting>
  <conditionalFormatting sqref="D454">
    <cfRule type="containsText" dxfId="4263" priority="67" operator="containsText" text="All Day">
      <formula>NOT(ISERROR(SEARCH("All Day",D454)))</formula>
    </cfRule>
    <cfRule type="containsText" dxfId="4262" priority="68" operator="containsText" text="AM">
      <formula>NOT(ISERROR(SEARCH("AM",D454)))</formula>
    </cfRule>
    <cfRule type="containsText" dxfId="4261" priority="69" operator="containsText" text="PM">
      <formula>NOT(ISERROR(SEARCH("PM",D454)))</formula>
    </cfRule>
  </conditionalFormatting>
  <conditionalFormatting sqref="D443:D444">
    <cfRule type="containsText" dxfId="4260" priority="64" operator="containsText" text="All Day">
      <formula>NOT(ISERROR(SEARCH("All Day",D443)))</formula>
    </cfRule>
    <cfRule type="containsText" dxfId="4259" priority="65" operator="containsText" text="AM">
      <formula>NOT(ISERROR(SEARCH("AM",D443)))</formula>
    </cfRule>
    <cfRule type="containsText" dxfId="4258" priority="66" operator="containsText" text="PM">
      <formula>NOT(ISERROR(SEARCH("PM",D443)))</formula>
    </cfRule>
  </conditionalFormatting>
  <conditionalFormatting sqref="D463">
    <cfRule type="containsText" dxfId="4257" priority="58" operator="containsText" text="All Day">
      <formula>NOT(ISERROR(SEARCH("All Day",D463)))</formula>
    </cfRule>
    <cfRule type="containsText" dxfId="4256" priority="59" operator="containsText" text="AM">
      <formula>NOT(ISERROR(SEARCH("AM",D463)))</formula>
    </cfRule>
    <cfRule type="containsText" dxfId="4255" priority="60" operator="containsText" text="PM">
      <formula>NOT(ISERROR(SEARCH("PM",D463)))</formula>
    </cfRule>
  </conditionalFormatting>
  <conditionalFormatting sqref="D445 D451">
    <cfRule type="containsText" dxfId="4254" priority="52" operator="containsText" text="All Day">
      <formula>NOT(ISERROR(SEARCH("All Day",D445)))</formula>
    </cfRule>
    <cfRule type="containsText" dxfId="4253" priority="53" operator="containsText" text="AM">
      <formula>NOT(ISERROR(SEARCH("AM",D445)))</formula>
    </cfRule>
    <cfRule type="containsText" dxfId="4252" priority="54" operator="containsText" text="PM">
      <formula>NOT(ISERROR(SEARCH("PM",D445)))</formula>
    </cfRule>
    <cfRule type="containsText" dxfId="4251" priority="55" operator="containsText" text="All Day">
      <formula>NOT(ISERROR(SEARCH("All Day",D445)))</formula>
    </cfRule>
    <cfRule type="containsText" dxfId="4250" priority="56" operator="containsText" text="AM">
      <formula>NOT(ISERROR(SEARCH("AM",D445)))</formula>
    </cfRule>
    <cfRule type="containsText" dxfId="4249" priority="57" operator="containsText" text="PM">
      <formula>NOT(ISERROR(SEARCH("PM",D445)))</formula>
    </cfRule>
  </conditionalFormatting>
  <conditionalFormatting sqref="D439">
    <cfRule type="containsText" dxfId="4248" priority="49" operator="containsText" text="All Day">
      <formula>NOT(ISERROR(SEARCH("All Day",D439)))</formula>
    </cfRule>
    <cfRule type="containsText" dxfId="4247" priority="50" operator="containsText" text="AM">
      <formula>NOT(ISERROR(SEARCH("AM",D439)))</formula>
    </cfRule>
    <cfRule type="containsText" dxfId="4246" priority="51" operator="containsText" text="PM">
      <formula>NOT(ISERROR(SEARCH("PM",D439)))</formula>
    </cfRule>
  </conditionalFormatting>
  <conditionalFormatting sqref="D464:D467">
    <cfRule type="containsText" dxfId="4245" priority="46" operator="containsText" text="All Day">
      <formula>NOT(ISERROR(SEARCH("All Day",D464)))</formula>
    </cfRule>
    <cfRule type="containsText" dxfId="4244" priority="47" operator="containsText" text="AM">
      <formula>NOT(ISERROR(SEARCH("AM",D464)))</formula>
    </cfRule>
    <cfRule type="containsText" dxfId="4243" priority="48" operator="containsText" text="PM">
      <formula>NOT(ISERROR(SEARCH("PM",D464)))</formula>
    </cfRule>
  </conditionalFormatting>
  <conditionalFormatting sqref="D446 D450">
    <cfRule type="containsText" dxfId="4242" priority="43" operator="containsText" text="All Day">
      <formula>NOT(ISERROR(SEARCH("All Day",D446)))</formula>
    </cfRule>
    <cfRule type="containsText" dxfId="4241" priority="44" operator="containsText" text="AM">
      <formula>NOT(ISERROR(SEARCH("AM",D446)))</formula>
    </cfRule>
    <cfRule type="containsText" dxfId="4240" priority="45" operator="containsText" text="PM">
      <formula>NOT(ISERROR(SEARCH("PM",D446)))</formula>
    </cfRule>
  </conditionalFormatting>
  <conditionalFormatting sqref="D452">
    <cfRule type="containsText" dxfId="4239" priority="37" operator="containsText" text="All Day">
      <formula>NOT(ISERROR(SEARCH("All Day",D452)))</formula>
    </cfRule>
    <cfRule type="containsText" dxfId="4238" priority="38" operator="containsText" text="AM">
      <formula>NOT(ISERROR(SEARCH("AM",D452)))</formula>
    </cfRule>
    <cfRule type="containsText" dxfId="4237" priority="39" operator="containsText" text="PM">
      <formula>NOT(ISERROR(SEARCH("PM",D452)))</formula>
    </cfRule>
  </conditionalFormatting>
  <conditionalFormatting sqref="D441:D442">
    <cfRule type="containsText" dxfId="4236" priority="31" operator="containsText" text="All Day">
      <formula>NOT(ISERROR(SEARCH("All Day",D441)))</formula>
    </cfRule>
    <cfRule type="containsText" dxfId="4235" priority="32" operator="containsText" text="AM">
      <formula>NOT(ISERROR(SEARCH("AM",D441)))</formula>
    </cfRule>
    <cfRule type="containsText" dxfId="4234" priority="33" operator="containsText" text="PM">
      <formula>NOT(ISERROR(SEARCH("PM",D441)))</formula>
    </cfRule>
    <cfRule type="containsText" dxfId="4233" priority="34" operator="containsText" text="All Day">
      <formula>NOT(ISERROR(SEARCH("All Day",D441)))</formula>
    </cfRule>
    <cfRule type="containsText" dxfId="4232" priority="35" operator="containsText" text="AM">
      <formula>NOT(ISERROR(SEARCH("AM",D441)))</formula>
    </cfRule>
    <cfRule type="containsText" dxfId="4231" priority="36" operator="containsText" text="PM">
      <formula>NOT(ISERROR(SEARCH("PM",D441)))</formula>
    </cfRule>
  </conditionalFormatting>
  <conditionalFormatting sqref="D564">
    <cfRule type="containsText" dxfId="4230" priority="28" operator="containsText" text="All Day">
      <formula>NOT(ISERROR(SEARCH("All Day",D564)))</formula>
    </cfRule>
    <cfRule type="containsText" dxfId="4229" priority="29" operator="containsText" text="AM">
      <formula>NOT(ISERROR(SEARCH("AM",D564)))</formula>
    </cfRule>
    <cfRule type="containsText" dxfId="4228" priority="30" operator="containsText" text="PM">
      <formula>NOT(ISERROR(SEARCH("PM",D564)))</formula>
    </cfRule>
  </conditionalFormatting>
  <conditionalFormatting sqref="D453">
    <cfRule type="containsText" dxfId="4227" priority="25" operator="containsText" text="All Day">
      <formula>NOT(ISERROR(SEARCH("All Day",D453)))</formula>
    </cfRule>
    <cfRule type="containsText" dxfId="4226" priority="26" operator="containsText" text="AM">
      <formula>NOT(ISERROR(SEARCH("AM",D453)))</formula>
    </cfRule>
    <cfRule type="containsText" dxfId="4225" priority="27" operator="containsText" text="PM">
      <formula>NOT(ISERROR(SEARCH("PM",D453)))</formula>
    </cfRule>
  </conditionalFormatting>
  <conditionalFormatting sqref="D447">
    <cfRule type="containsText" dxfId="4224" priority="19" operator="containsText" text="All Day">
      <formula>NOT(ISERROR(SEARCH("All Day",D447)))</formula>
    </cfRule>
    <cfRule type="containsText" dxfId="4223" priority="20" operator="containsText" text="AM">
      <formula>NOT(ISERROR(SEARCH("AM",D447)))</formula>
    </cfRule>
    <cfRule type="containsText" dxfId="4222" priority="21" operator="containsText" text="PM">
      <formula>NOT(ISERROR(SEARCH("PM",D447)))</formula>
    </cfRule>
    <cfRule type="containsText" dxfId="4221" priority="22" operator="containsText" text="All Day">
      <formula>NOT(ISERROR(SEARCH("All Day",D447)))</formula>
    </cfRule>
    <cfRule type="containsText" dxfId="4220" priority="23" operator="containsText" text="AM">
      <formula>NOT(ISERROR(SEARCH("AM",D447)))</formula>
    </cfRule>
    <cfRule type="containsText" dxfId="4219" priority="24" operator="containsText" text="PM">
      <formula>NOT(ISERROR(SEARCH("PM",D447)))</formula>
    </cfRule>
  </conditionalFormatting>
  <conditionalFormatting sqref="D449">
    <cfRule type="containsText" dxfId="4218" priority="13" operator="containsText" text="All Day">
      <formula>NOT(ISERROR(SEARCH("All Day",D449)))</formula>
    </cfRule>
    <cfRule type="containsText" dxfId="4217" priority="14" operator="containsText" text="AM">
      <formula>NOT(ISERROR(SEARCH("AM",D449)))</formula>
    </cfRule>
    <cfRule type="containsText" dxfId="4216" priority="15" operator="containsText" text="PM">
      <formula>NOT(ISERROR(SEARCH("PM",D449)))</formula>
    </cfRule>
    <cfRule type="containsText" dxfId="4215" priority="16" operator="containsText" text="All Day">
      <formula>NOT(ISERROR(SEARCH("All Day",D449)))</formula>
    </cfRule>
    <cfRule type="containsText" dxfId="4214" priority="17" operator="containsText" text="AM">
      <formula>NOT(ISERROR(SEARCH("AM",D449)))</formula>
    </cfRule>
    <cfRule type="containsText" dxfId="4213" priority="18" operator="containsText" text="PM">
      <formula>NOT(ISERROR(SEARCH("PM",D449)))</formula>
    </cfRule>
  </conditionalFormatting>
  <conditionalFormatting sqref="D448">
    <cfRule type="containsText" dxfId="4212" priority="7" operator="containsText" text="All Day">
      <formula>NOT(ISERROR(SEARCH("All Day",D448)))</formula>
    </cfRule>
    <cfRule type="containsText" dxfId="4211" priority="8" operator="containsText" text="AM">
      <formula>NOT(ISERROR(SEARCH("AM",D448)))</formula>
    </cfRule>
    <cfRule type="containsText" dxfId="4210" priority="9" operator="containsText" text="PM">
      <formula>NOT(ISERROR(SEARCH("PM",D448)))</formula>
    </cfRule>
    <cfRule type="containsText" dxfId="4209" priority="10" operator="containsText" text="All Day">
      <formula>NOT(ISERROR(SEARCH("All Day",D448)))</formula>
    </cfRule>
    <cfRule type="containsText" dxfId="4208" priority="11" operator="containsText" text="AM">
      <formula>NOT(ISERROR(SEARCH("AM",D448)))</formula>
    </cfRule>
    <cfRule type="containsText" dxfId="4207" priority="12" operator="containsText" text="PM">
      <formula>NOT(ISERROR(SEARCH("PM",D448)))</formula>
    </cfRule>
  </conditionalFormatting>
  <conditionalFormatting sqref="D565">
    <cfRule type="containsText" dxfId="4206" priority="4" operator="containsText" text="All Day">
      <formula>NOT(ISERROR(SEARCH("All Day",D565)))</formula>
    </cfRule>
    <cfRule type="containsText" dxfId="4205" priority="5" operator="containsText" text="AM">
      <formula>NOT(ISERROR(SEARCH("AM",D565)))</formula>
    </cfRule>
    <cfRule type="containsText" dxfId="4204" priority="6" operator="containsText" text="PM">
      <formula>NOT(ISERROR(SEARCH("PM",D565)))</formula>
    </cfRule>
  </conditionalFormatting>
  <conditionalFormatting sqref="D560:D561">
    <cfRule type="containsText" dxfId="4203" priority="1" operator="containsText" text="All Day">
      <formula>NOT(ISERROR(SEARCH("All Day",D560)))</formula>
    </cfRule>
    <cfRule type="containsText" dxfId="4202" priority="2" operator="containsText" text="AM">
      <formula>NOT(ISERROR(SEARCH("AM",D560)))</formula>
    </cfRule>
    <cfRule type="containsText" dxfId="4201" priority="3" operator="containsText" text="PM">
      <formula>NOT(ISERROR(SEARCH("PM",D560)))</formula>
    </cfRule>
  </conditionalFormatting>
  <hyperlinks>
    <hyperlink ref="N11" r:id="rId1" display="barford.neil@gmail.com" xr:uid="{00000000-0004-0000-1F00-000000000000}"/>
    <hyperlink ref="N21" r:id="rId2" xr:uid="{00000000-0004-0000-1F00-000001000000}"/>
    <hyperlink ref="P21" r:id="rId3" xr:uid="{00000000-0004-0000-1F00-000002000000}"/>
    <hyperlink ref="N36" r:id="rId4" xr:uid="{00000000-0004-0000-1F00-000003000000}"/>
    <hyperlink ref="N52" r:id="rId5" xr:uid="{00000000-0004-0000-1F00-000004000000}"/>
    <hyperlink ref="N66" r:id="rId6" xr:uid="{00000000-0004-0000-1F00-000005000000}"/>
    <hyperlink ref="N80" r:id="rId7" xr:uid="{00000000-0004-0000-1F00-000006000000}"/>
    <hyperlink ref="N85" r:id="rId8" xr:uid="{00000000-0004-0000-1F00-000007000000}"/>
    <hyperlink ref="N105" r:id="rId9" display="mailto:bradleyrj22@gmail.com" xr:uid="{00000000-0004-0000-1F00-000008000000}"/>
    <hyperlink ref="N109" r:id="rId10" xr:uid="{00000000-0004-0000-1F00-000009000000}"/>
    <hyperlink ref="N116" r:id="rId11" xr:uid="{00000000-0004-0000-1F00-00000A000000}"/>
    <hyperlink ref="R116" r:id="rId12" xr:uid="{00000000-0004-0000-1F00-00000B000000}"/>
    <hyperlink ref="N120" r:id="rId13" xr:uid="{00000000-0004-0000-1F00-00000C000000}"/>
    <hyperlink ref="N123" r:id="rId14" xr:uid="{00000000-0004-0000-1F00-00000D000000}"/>
    <hyperlink ref="N148" r:id="rId15" xr:uid="{00000000-0004-0000-1F00-00000E000000}"/>
    <hyperlink ref="N149" r:id="rId16" xr:uid="{00000000-0004-0000-1F00-00000F000000}"/>
    <hyperlink ref="N155" r:id="rId17" xr:uid="{00000000-0004-0000-1F00-000010000000}"/>
    <hyperlink ref="N186" r:id="rId18" xr:uid="{00000000-0004-0000-1F00-000011000000}"/>
    <hyperlink ref="N187" r:id="rId19" xr:uid="{00000000-0004-0000-1F00-000012000000}"/>
    <hyperlink ref="Q188" r:id="rId20" xr:uid="{00000000-0004-0000-1F00-000013000000}"/>
    <hyperlink ref="N215" r:id="rId21" xr:uid="{00000000-0004-0000-1F00-000014000000}"/>
    <hyperlink ref="N216" r:id="rId22" xr:uid="{00000000-0004-0000-1F00-000015000000}"/>
    <hyperlink ref="N224" r:id="rId23" xr:uid="{00000000-0004-0000-1F00-000016000000}"/>
    <hyperlink ref="N225" r:id="rId24" xr:uid="{00000000-0004-0000-1F00-000017000000}"/>
    <hyperlink ref="Q233" r:id="rId25" xr:uid="{00000000-0004-0000-1F00-000018000000}"/>
    <hyperlink ref="N251" r:id="rId26" xr:uid="{00000000-0004-0000-1F00-000019000000}"/>
    <hyperlink ref="N261" r:id="rId27" xr:uid="{00000000-0004-0000-1F00-00001A000000}"/>
    <hyperlink ref="N262" r:id="rId28" xr:uid="{00000000-0004-0000-1F00-00001B000000}"/>
    <hyperlink ref="N263" r:id="rId29" xr:uid="{00000000-0004-0000-1F00-00001C000000}"/>
    <hyperlink ref="N264" r:id="rId30" xr:uid="{00000000-0004-0000-1F00-00001D000000}"/>
    <hyperlink ref="N266" r:id="rId31" xr:uid="{00000000-0004-0000-1F00-00001E000000}"/>
    <hyperlink ref="N268" r:id="rId32" xr:uid="{00000000-0004-0000-1F00-00001F000000}"/>
    <hyperlink ref="N272" r:id="rId33" xr:uid="{00000000-0004-0000-1F00-000020000000}"/>
    <hyperlink ref="N283" r:id="rId34" xr:uid="{00000000-0004-0000-1F00-000021000000}"/>
    <hyperlink ref="N287" r:id="rId35" xr:uid="{00000000-0004-0000-1F00-000022000000}"/>
    <hyperlink ref="N296" r:id="rId36" xr:uid="{00000000-0004-0000-1F00-000023000000}"/>
    <hyperlink ref="N297" r:id="rId37" xr:uid="{00000000-0004-0000-1F00-000024000000}"/>
    <hyperlink ref="N298" r:id="rId38" xr:uid="{00000000-0004-0000-1F00-000025000000}"/>
    <hyperlink ref="N307" r:id="rId39" xr:uid="{00000000-0004-0000-1F00-000026000000}"/>
    <hyperlink ref="N311" r:id="rId40" xr:uid="{00000000-0004-0000-1F00-000027000000}"/>
    <hyperlink ref="N317" r:id="rId41" xr:uid="{00000000-0004-0000-1F00-000028000000}"/>
    <hyperlink ref="N331" r:id="rId42" xr:uid="{00000000-0004-0000-1F00-000029000000}"/>
    <hyperlink ref="N333" r:id="rId43" xr:uid="{00000000-0004-0000-1F00-00002A000000}"/>
    <hyperlink ref="R334" r:id="rId44" xr:uid="{00000000-0004-0000-1F00-00002B000000}"/>
    <hyperlink ref="N344" r:id="rId45" xr:uid="{00000000-0004-0000-1F00-00002C000000}"/>
    <hyperlink ref="N346" r:id="rId46" xr:uid="{00000000-0004-0000-1F00-00002D000000}"/>
    <hyperlink ref="N362" r:id="rId47" xr:uid="{00000000-0004-0000-1F00-00002E000000}"/>
    <hyperlink ref="Q362" r:id="rId48" xr:uid="{00000000-0004-0000-1F00-00002F000000}"/>
    <hyperlink ref="N389" r:id="rId49" xr:uid="{00000000-0004-0000-1F00-000030000000}"/>
    <hyperlink ref="N390" r:id="rId50" xr:uid="{00000000-0004-0000-1F00-000031000000}"/>
    <hyperlink ref="N391" r:id="rId51" xr:uid="{00000000-0004-0000-1F00-000032000000}"/>
    <hyperlink ref="N392" r:id="rId52" xr:uid="{00000000-0004-0000-1F00-000033000000}"/>
    <hyperlink ref="Q393" r:id="rId53" xr:uid="{00000000-0004-0000-1F00-000034000000}"/>
    <hyperlink ref="N406" r:id="rId54" xr:uid="{00000000-0004-0000-1F00-000035000000}"/>
    <hyperlink ref="N407" r:id="rId55" xr:uid="{00000000-0004-0000-1F00-000036000000}"/>
    <hyperlink ref="N408" r:id="rId56" xr:uid="{00000000-0004-0000-1F00-000037000000}"/>
    <hyperlink ref="N413" r:id="rId57" xr:uid="{00000000-0004-0000-1F00-000038000000}"/>
    <hyperlink ref="N435" r:id="rId58" xr:uid="{00000000-0004-0000-1F00-000039000000}"/>
    <hyperlink ref="N439" r:id="rId59" xr:uid="{00000000-0004-0000-1F00-00003A000000}"/>
    <hyperlink ref="N464" r:id="rId60" xr:uid="{00000000-0004-0000-1F00-00003B000000}"/>
    <hyperlink ref="N472" r:id="rId61" xr:uid="{00000000-0004-0000-1F00-00003C000000}"/>
    <hyperlink ref="N489" r:id="rId62" xr:uid="{00000000-0004-0000-1F00-00003D000000}"/>
    <hyperlink ref="N490" r:id="rId63" xr:uid="{00000000-0004-0000-1F00-00003E000000}"/>
    <hyperlink ref="N496" r:id="rId64" xr:uid="{00000000-0004-0000-1F00-00003F000000}"/>
    <hyperlink ref="Q496" r:id="rId65" xr:uid="{00000000-0004-0000-1F00-000040000000}"/>
    <hyperlink ref="N499" r:id="rId66" xr:uid="{00000000-0004-0000-1F00-000041000000}"/>
    <hyperlink ref="N560" r:id="rId67" xr:uid="{00000000-0004-0000-1F00-000042000000}"/>
    <hyperlink ref="N561" r:id="rId68" xr:uid="{00000000-0004-0000-1F00-000043000000}"/>
    <hyperlink ref="N512" r:id="rId69" xr:uid="{00000000-0004-0000-1F00-000044000000}"/>
    <hyperlink ref="Q544" r:id="rId70" xr:uid="{00000000-0004-0000-1F00-000045000000}"/>
    <hyperlink ref="N565" r:id="rId71" xr:uid="{00000000-0004-0000-1F00-000046000000}"/>
    <hyperlink ref="N568" r:id="rId72" xr:uid="{00000000-0004-0000-1F00-000047000000}"/>
    <hyperlink ref="N569" r:id="rId73" xr:uid="{00000000-0004-0000-1F00-000048000000}"/>
    <hyperlink ref="N523" r:id="rId74" display="mailto:pdbutt7@ntlworld.com" xr:uid="{36A64FF9-1338-4C22-B766-6B82FE384BFA}"/>
    <hyperlink ref="N571" r:id="rId75" xr:uid="{24B04FE2-EF10-4645-9AFF-4485221C8903}"/>
  </hyperlinks>
  <pageMargins left="0.25" right="0.25" top="0.75" bottom="0.75" header="0.3" footer="0.3"/>
  <pageSetup paperSize="9" scale="10" orientation="landscape"/>
  <legacyDrawing r:id="rId76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>
    <pageSetUpPr fitToPage="1"/>
  </sheetPr>
  <dimension ref="A1:Y297"/>
  <sheetViews>
    <sheetView workbookViewId="0">
      <pane ySplit="1" topLeftCell="A217" activePane="bottomLeft" state="frozen"/>
      <selection pane="bottomLeft" activeCell="N266" sqref="N266"/>
    </sheetView>
  </sheetViews>
  <sheetFormatPr defaultColWidth="9.1328125" defaultRowHeight="14.25" x14ac:dyDescent="0.45"/>
  <cols>
    <col min="1" max="1" width="7.19921875" style="1088" customWidth="1"/>
    <col min="2" max="2" width="10.6640625" style="1088" customWidth="1"/>
    <col min="3" max="3" width="13.33203125" style="1088" customWidth="1"/>
    <col min="4" max="4" width="17.19921875" style="1088" customWidth="1"/>
    <col min="5" max="5" width="27.1328125" style="1076" customWidth="1"/>
    <col min="6" max="6" width="19.796875" style="1076" hidden="1" customWidth="1"/>
    <col min="7" max="7" width="55.53125" style="1076" customWidth="1"/>
    <col min="8" max="9" width="15.86328125" style="1135" customWidth="1"/>
    <col min="10" max="10" width="8.86328125" style="1076" customWidth="1"/>
    <col min="11" max="11" width="8" style="1076" customWidth="1"/>
    <col min="12" max="12" width="12.19921875" style="1076" hidden="1" customWidth="1"/>
    <col min="13" max="13" width="23.33203125" style="1076" customWidth="1"/>
    <col min="14" max="14" width="26.46484375" style="1076" customWidth="1"/>
    <col min="15" max="16" width="7.6640625" style="1076" customWidth="1"/>
    <col min="17" max="17" width="11.33203125" style="1076" customWidth="1"/>
    <col min="18" max="18" width="8.53125" style="1076" customWidth="1"/>
    <col min="19" max="19" width="11.86328125" style="1076" customWidth="1"/>
    <col min="20" max="21" width="15.33203125" style="1076" customWidth="1"/>
    <col min="22" max="22" width="9.86328125" style="1076" bestFit="1" customWidth="1"/>
    <col min="23" max="23" width="11.796875" style="1076" customWidth="1"/>
    <col min="24" max="24" width="9.1328125" style="1076" customWidth="1"/>
    <col min="25" max="25" width="10.796875" style="1076" bestFit="1" customWidth="1"/>
    <col min="26" max="26" width="9.1328125" style="1076" customWidth="1"/>
    <col min="27" max="16384" width="9.1328125" style="1076"/>
  </cols>
  <sheetData>
    <row r="1" spans="1:25" s="1078" customFormat="1" x14ac:dyDescent="0.45">
      <c r="A1" s="1087"/>
      <c r="B1" s="1087" t="s">
        <v>139</v>
      </c>
      <c r="C1" s="1087" t="s">
        <v>7718</v>
      </c>
      <c r="D1" s="1087" t="s">
        <v>7719</v>
      </c>
      <c r="E1" s="1078" t="s">
        <v>7720</v>
      </c>
      <c r="F1" s="1078" t="s">
        <v>7721</v>
      </c>
      <c r="G1" s="1078" t="s">
        <v>7722</v>
      </c>
      <c r="H1" s="1130" t="s">
        <v>7723</v>
      </c>
      <c r="I1" s="1130" t="s">
        <v>7724</v>
      </c>
      <c r="J1" s="1078" t="s">
        <v>7725</v>
      </c>
      <c r="K1" s="1078" t="s">
        <v>7726</v>
      </c>
      <c r="L1" s="1078" t="s">
        <v>4344</v>
      </c>
      <c r="M1" s="1078" t="s">
        <v>7727</v>
      </c>
      <c r="N1" s="1078" t="s">
        <v>7728</v>
      </c>
      <c r="O1" s="1078" t="s">
        <v>7729</v>
      </c>
      <c r="P1" s="1078" t="s">
        <v>7730</v>
      </c>
      <c r="Q1" s="1078" t="s">
        <v>7731</v>
      </c>
      <c r="R1" s="1078" t="s">
        <v>7732</v>
      </c>
      <c r="S1" s="1078" t="s">
        <v>7733</v>
      </c>
      <c r="T1" s="1123" t="s">
        <v>125</v>
      </c>
      <c r="U1" s="1123" t="s">
        <v>7734</v>
      </c>
      <c r="V1" s="1078" t="s">
        <v>7735</v>
      </c>
      <c r="W1" s="1078" t="s">
        <v>129</v>
      </c>
      <c r="X1" s="1078" t="s">
        <v>187</v>
      </c>
      <c r="Y1" s="1078" t="s">
        <v>130</v>
      </c>
    </row>
    <row r="2" spans="1:25" x14ac:dyDescent="0.45">
      <c r="A2" s="1088">
        <v>1</v>
      </c>
      <c r="B2" s="1088" t="str">
        <f t="shared" ref="B2:B65" si="0">IF(COUNTIF(E$2:E$273, D2)=0, "Missing in D", "")</f>
        <v/>
      </c>
      <c r="C2" s="1088" t="str">
        <f t="shared" ref="C2:C33" si="1">IF(COUNTIF(D$2:D$273, E2)=0, "Missing in E", "")</f>
        <v>Missing in E</v>
      </c>
      <c r="D2" s="1088" t="s">
        <v>7461</v>
      </c>
      <c r="E2" s="1146" t="s">
        <v>6517</v>
      </c>
      <c r="F2" s="1146" t="s">
        <v>7736</v>
      </c>
      <c r="G2" s="1146" t="s">
        <v>604</v>
      </c>
      <c r="H2" s="1147">
        <v>45703</v>
      </c>
      <c r="I2" s="1147">
        <v>45703</v>
      </c>
      <c r="J2" s="1146" t="s">
        <v>7737</v>
      </c>
      <c r="K2" s="1146" t="s">
        <v>7738</v>
      </c>
      <c r="L2" s="1146"/>
      <c r="M2" s="1146" t="s">
        <v>930</v>
      </c>
      <c r="N2" s="1146" t="s">
        <v>6520</v>
      </c>
      <c r="O2" s="1146" t="s">
        <v>7739</v>
      </c>
      <c r="P2" s="1146"/>
      <c r="Q2" s="1083">
        <v>60</v>
      </c>
      <c r="R2" s="1076">
        <v>1</v>
      </c>
      <c r="S2" s="1112">
        <f t="shared" ref="S2:S65" si="2">H2-12</f>
        <v>45691</v>
      </c>
      <c r="T2" s="1112">
        <v>45703</v>
      </c>
      <c r="U2" s="1112"/>
      <c r="V2" s="1084">
        <f t="shared" ref="V2:V65" si="3">H2+45</f>
        <v>45748</v>
      </c>
      <c r="W2" s="1076">
        <v>60</v>
      </c>
      <c r="X2" s="1112">
        <v>45757</v>
      </c>
      <c r="Y2" s="1137">
        <f t="shared" ref="Y2:Y65" si="4">Q2-W2</f>
        <v>0</v>
      </c>
    </row>
    <row r="3" spans="1:25" x14ac:dyDescent="0.45">
      <c r="A3" s="1088">
        <v>2</v>
      </c>
      <c r="B3" s="1088" t="str">
        <f t="shared" si="0"/>
        <v/>
      </c>
      <c r="C3" s="1088" t="str">
        <f t="shared" si="1"/>
        <v>Missing in E</v>
      </c>
      <c r="D3" s="1088" t="s">
        <v>7419</v>
      </c>
      <c r="E3" s="1146" t="s">
        <v>7740</v>
      </c>
      <c r="F3" s="1146" t="s">
        <v>7736</v>
      </c>
      <c r="G3" s="1146" t="s">
        <v>7741</v>
      </c>
      <c r="H3" s="1147">
        <v>45707</v>
      </c>
      <c r="I3" s="1147">
        <v>45707</v>
      </c>
      <c r="J3" s="1148">
        <v>0.79166666666666663</v>
      </c>
      <c r="K3" s="1148">
        <v>0.83333333333333337</v>
      </c>
      <c r="L3" s="1146"/>
      <c r="M3" s="1146" t="s">
        <v>912</v>
      </c>
      <c r="N3" s="1146" t="s">
        <v>6798</v>
      </c>
      <c r="O3" s="1146" t="s">
        <v>7739</v>
      </c>
      <c r="P3" s="1146"/>
      <c r="Q3" s="1083">
        <v>50</v>
      </c>
      <c r="R3" s="1076">
        <v>1</v>
      </c>
      <c r="S3" s="1112">
        <f t="shared" si="2"/>
        <v>45695</v>
      </c>
      <c r="T3" s="1112">
        <v>45707</v>
      </c>
      <c r="U3" s="1112"/>
      <c r="V3" s="1084">
        <f t="shared" si="3"/>
        <v>45752</v>
      </c>
      <c r="W3" s="1076">
        <v>50</v>
      </c>
      <c r="X3" s="1112">
        <v>45757</v>
      </c>
      <c r="Y3" s="1137">
        <f t="shared" si="4"/>
        <v>0</v>
      </c>
    </row>
    <row r="4" spans="1:25" x14ac:dyDescent="0.45">
      <c r="A4" s="1088">
        <v>3</v>
      </c>
      <c r="B4" s="1088" t="str">
        <f t="shared" si="0"/>
        <v>Missing in D</v>
      </c>
      <c r="C4" s="1088" t="str">
        <f t="shared" si="1"/>
        <v>Missing in E</v>
      </c>
      <c r="E4" s="1146" t="s">
        <v>6234</v>
      </c>
      <c r="F4" s="1146" t="s">
        <v>7736</v>
      </c>
      <c r="G4" s="1146" t="s">
        <v>580</v>
      </c>
      <c r="H4" s="1147">
        <v>45712</v>
      </c>
      <c r="I4" s="1147">
        <v>45712</v>
      </c>
      <c r="J4" s="1148">
        <v>0.79166666666666663</v>
      </c>
      <c r="K4" s="1148">
        <v>0.875</v>
      </c>
      <c r="L4" s="1146"/>
      <c r="M4" s="1146" t="s">
        <v>973</v>
      </c>
      <c r="N4" s="1146" t="s">
        <v>6237</v>
      </c>
      <c r="O4" s="1146" t="s">
        <v>7739</v>
      </c>
      <c r="P4" s="1146"/>
      <c r="Q4" s="1083">
        <v>150</v>
      </c>
      <c r="R4" s="1076">
        <v>1</v>
      </c>
      <c r="S4" s="1112">
        <f t="shared" si="2"/>
        <v>45700</v>
      </c>
      <c r="T4" s="1112">
        <v>45712</v>
      </c>
      <c r="U4" s="1112"/>
      <c r="V4" s="1084">
        <f t="shared" si="3"/>
        <v>45757</v>
      </c>
      <c r="W4" s="1076">
        <v>150</v>
      </c>
      <c r="X4" s="1112">
        <v>45757</v>
      </c>
      <c r="Y4" s="1137">
        <f t="shared" si="4"/>
        <v>0</v>
      </c>
    </row>
    <row r="5" spans="1:25" x14ac:dyDescent="0.45">
      <c r="A5" s="1088">
        <v>4</v>
      </c>
      <c r="B5" s="1088" t="str">
        <f t="shared" si="0"/>
        <v>Missing in D</v>
      </c>
      <c r="C5" s="1088" t="str">
        <f t="shared" si="1"/>
        <v>Missing in E</v>
      </c>
      <c r="E5" s="1146" t="s">
        <v>6231</v>
      </c>
      <c r="F5" s="1146" t="s">
        <v>7736</v>
      </c>
      <c r="G5" s="1146" t="s">
        <v>580</v>
      </c>
      <c r="H5" s="1147">
        <v>45712</v>
      </c>
      <c r="I5" s="1147">
        <v>45712</v>
      </c>
      <c r="J5" s="1148">
        <v>0.79166666666666663</v>
      </c>
      <c r="K5" s="1148">
        <v>0.875</v>
      </c>
      <c r="L5" s="1146"/>
      <c r="M5" s="1146" t="s">
        <v>974</v>
      </c>
      <c r="N5" s="1146" t="s">
        <v>6233</v>
      </c>
      <c r="O5" s="1146" t="s">
        <v>7739</v>
      </c>
      <c r="P5" s="1146"/>
      <c r="Q5" s="1083">
        <v>150</v>
      </c>
      <c r="R5" s="1076">
        <v>1</v>
      </c>
      <c r="S5" s="1112">
        <f t="shared" si="2"/>
        <v>45700</v>
      </c>
      <c r="T5" s="1112">
        <v>45712</v>
      </c>
      <c r="U5" s="1112"/>
      <c r="V5" s="1084">
        <f t="shared" si="3"/>
        <v>45757</v>
      </c>
      <c r="W5" s="1076">
        <v>150</v>
      </c>
      <c r="X5" s="1112">
        <v>45757</v>
      </c>
      <c r="Y5" s="1137">
        <f t="shared" si="4"/>
        <v>0</v>
      </c>
    </row>
    <row r="6" spans="1:25" x14ac:dyDescent="0.45">
      <c r="A6" s="1088">
        <v>5</v>
      </c>
      <c r="B6" s="1088" t="str">
        <f t="shared" si="0"/>
        <v>Missing in D</v>
      </c>
      <c r="C6" s="1088" t="str">
        <f t="shared" si="1"/>
        <v>Missing in E</v>
      </c>
      <c r="E6" s="1146" t="s">
        <v>6239</v>
      </c>
      <c r="F6" s="1146" t="s">
        <v>7736</v>
      </c>
      <c r="G6" s="1146" t="s">
        <v>580</v>
      </c>
      <c r="H6" s="1147">
        <v>45712</v>
      </c>
      <c r="I6" s="1147">
        <v>45712</v>
      </c>
      <c r="J6" s="1148">
        <v>0.79166666666666663</v>
      </c>
      <c r="K6" s="1148">
        <v>0.875</v>
      </c>
      <c r="L6" s="1146"/>
      <c r="M6" s="1146" t="s">
        <v>845</v>
      </c>
      <c r="N6" s="1146" t="s">
        <v>6242</v>
      </c>
      <c r="O6" s="1146" t="s">
        <v>7739</v>
      </c>
      <c r="P6" s="1146"/>
      <c r="Q6" s="1083">
        <v>150</v>
      </c>
      <c r="R6" s="1076">
        <v>1</v>
      </c>
      <c r="S6" s="1112">
        <f t="shared" si="2"/>
        <v>45700</v>
      </c>
      <c r="T6" s="1112">
        <v>45712</v>
      </c>
      <c r="U6" s="1112"/>
      <c r="V6" s="1084">
        <f t="shared" si="3"/>
        <v>45757</v>
      </c>
      <c r="W6" s="1076">
        <v>150</v>
      </c>
      <c r="X6" s="1112">
        <v>45757</v>
      </c>
      <c r="Y6" s="1137">
        <f t="shared" si="4"/>
        <v>0</v>
      </c>
    </row>
    <row r="7" spans="1:25" x14ac:dyDescent="0.45">
      <c r="A7" s="1088">
        <v>6</v>
      </c>
      <c r="B7" s="1088" t="str">
        <f t="shared" si="0"/>
        <v>Missing in D</v>
      </c>
      <c r="C7" s="1088" t="str">
        <f t="shared" si="1"/>
        <v>Missing in E</v>
      </c>
      <c r="E7" s="1146" t="s">
        <v>6228</v>
      </c>
      <c r="F7" s="1146" t="s">
        <v>7736</v>
      </c>
      <c r="G7" s="1146" t="s">
        <v>580</v>
      </c>
      <c r="H7" s="1147">
        <v>45712</v>
      </c>
      <c r="I7" s="1147">
        <v>45726</v>
      </c>
      <c r="J7" s="1148">
        <v>0.79166666666666663</v>
      </c>
      <c r="K7" s="1148">
        <v>0.875</v>
      </c>
      <c r="L7" s="1146"/>
      <c r="M7" s="1146" t="s">
        <v>975</v>
      </c>
      <c r="N7" s="1146" t="s">
        <v>6230</v>
      </c>
      <c r="O7" s="1146" t="s">
        <v>7739</v>
      </c>
      <c r="P7" s="1146"/>
      <c r="Q7" s="1083">
        <v>150</v>
      </c>
      <c r="R7" s="1076">
        <v>1</v>
      </c>
      <c r="S7" s="1112">
        <f t="shared" si="2"/>
        <v>45700</v>
      </c>
      <c r="T7" s="1112">
        <v>45712</v>
      </c>
      <c r="U7" s="1112"/>
      <c r="V7" s="1084">
        <f t="shared" si="3"/>
        <v>45757</v>
      </c>
      <c r="W7" s="1076">
        <v>150</v>
      </c>
      <c r="X7" s="1112">
        <v>45757</v>
      </c>
      <c r="Y7" s="1137">
        <f t="shared" si="4"/>
        <v>0</v>
      </c>
    </row>
    <row r="8" spans="1:25" x14ac:dyDescent="0.45">
      <c r="A8" s="1088">
        <v>7</v>
      </c>
      <c r="B8" s="1088" t="str">
        <f t="shared" si="0"/>
        <v>Missing in D</v>
      </c>
      <c r="C8" s="1088" t="str">
        <f t="shared" si="1"/>
        <v>Missing in E</v>
      </c>
      <c r="E8" s="1146" t="s">
        <v>6552</v>
      </c>
      <c r="F8" s="1146" t="s">
        <v>7736</v>
      </c>
      <c r="G8" s="1146" t="s">
        <v>362</v>
      </c>
      <c r="H8" s="1147">
        <v>45721</v>
      </c>
      <c r="I8" s="1147">
        <v>45721</v>
      </c>
      <c r="J8" s="1146" t="s">
        <v>7742</v>
      </c>
      <c r="K8" s="1146" t="s">
        <v>7743</v>
      </c>
      <c r="L8" s="1146"/>
      <c r="M8" s="1146" t="s">
        <v>897</v>
      </c>
      <c r="N8" s="1146" t="s">
        <v>6555</v>
      </c>
      <c r="O8" s="1146" t="s">
        <v>7739</v>
      </c>
      <c r="P8" s="1146"/>
      <c r="Q8" s="1083">
        <v>12</v>
      </c>
      <c r="R8" s="1076">
        <v>1</v>
      </c>
      <c r="S8" s="1112">
        <f t="shared" si="2"/>
        <v>45709</v>
      </c>
      <c r="T8" s="1112">
        <v>45721</v>
      </c>
      <c r="U8" s="1112"/>
      <c r="V8" s="1084">
        <f t="shared" si="3"/>
        <v>45766</v>
      </c>
      <c r="W8" s="1076">
        <v>12</v>
      </c>
      <c r="X8" s="1112">
        <v>45783</v>
      </c>
      <c r="Y8" s="1137">
        <f t="shared" si="4"/>
        <v>0</v>
      </c>
    </row>
    <row r="9" spans="1:25" x14ac:dyDescent="0.45">
      <c r="A9" s="1088">
        <v>8</v>
      </c>
      <c r="B9" s="1088" t="str">
        <f t="shared" si="0"/>
        <v>Missing in D</v>
      </c>
      <c r="C9" s="1088" t="str">
        <f t="shared" si="1"/>
        <v>Missing in E</v>
      </c>
      <c r="E9" s="1146" t="s">
        <v>6557</v>
      </c>
      <c r="F9" s="1146" t="s">
        <v>7736</v>
      </c>
      <c r="G9" s="1146" t="s">
        <v>362</v>
      </c>
      <c r="H9" s="1147">
        <v>45721</v>
      </c>
      <c r="I9" s="1147">
        <v>45721</v>
      </c>
      <c r="J9" s="1146" t="s">
        <v>7742</v>
      </c>
      <c r="K9" s="1146" t="s">
        <v>7743</v>
      </c>
      <c r="L9" s="1146"/>
      <c r="M9" s="1146" t="s">
        <v>958</v>
      </c>
      <c r="N9" s="1146" t="s">
        <v>6560</v>
      </c>
      <c r="O9" s="1146" t="s">
        <v>7739</v>
      </c>
      <c r="P9" s="1146"/>
      <c r="Q9" s="1083">
        <v>12</v>
      </c>
      <c r="R9" s="1076">
        <v>1</v>
      </c>
      <c r="S9" s="1112">
        <f t="shared" si="2"/>
        <v>45709</v>
      </c>
      <c r="T9" s="1112">
        <v>45721</v>
      </c>
      <c r="U9" s="1112"/>
      <c r="V9" s="1084">
        <f t="shared" si="3"/>
        <v>45766</v>
      </c>
      <c r="W9" s="1076">
        <v>12</v>
      </c>
      <c r="X9" s="1112">
        <v>45783</v>
      </c>
      <c r="Y9" s="1137">
        <f t="shared" si="4"/>
        <v>0</v>
      </c>
    </row>
    <row r="10" spans="1:25" x14ac:dyDescent="0.45">
      <c r="A10" s="1088">
        <v>9</v>
      </c>
      <c r="B10" s="1088" t="str">
        <f t="shared" si="0"/>
        <v>Missing in D</v>
      </c>
      <c r="C10" s="1088" t="str">
        <f t="shared" si="1"/>
        <v>Missing in E</v>
      </c>
      <c r="E10" s="1146" t="s">
        <v>6589</v>
      </c>
      <c r="F10" s="1146" t="s">
        <v>7736</v>
      </c>
      <c r="G10" s="1146" t="s">
        <v>681</v>
      </c>
      <c r="H10" s="1147">
        <v>45721</v>
      </c>
      <c r="I10" s="1147">
        <v>45721</v>
      </c>
      <c r="J10" s="1148">
        <v>0.77083333333333337</v>
      </c>
      <c r="K10" s="1148">
        <v>0.875</v>
      </c>
      <c r="L10" s="1146"/>
      <c r="M10" s="1146" t="s">
        <v>787</v>
      </c>
      <c r="N10" s="1146" t="s">
        <v>6591</v>
      </c>
      <c r="O10" s="1146" t="s">
        <v>7739</v>
      </c>
      <c r="P10" s="1146"/>
      <c r="Q10" s="1083">
        <v>50</v>
      </c>
      <c r="S10" s="1112">
        <f t="shared" si="2"/>
        <v>45709</v>
      </c>
      <c r="T10" s="1112">
        <v>45721</v>
      </c>
      <c r="U10" s="1112"/>
      <c r="V10" s="1084">
        <f t="shared" si="3"/>
        <v>45766</v>
      </c>
      <c r="W10" s="1076">
        <v>50</v>
      </c>
      <c r="X10" s="1112">
        <v>45764</v>
      </c>
      <c r="Y10" s="1137">
        <f t="shared" si="4"/>
        <v>0</v>
      </c>
    </row>
    <row r="11" spans="1:25" x14ac:dyDescent="0.45">
      <c r="A11" s="1088">
        <v>10</v>
      </c>
      <c r="B11" s="1088" t="str">
        <f t="shared" si="0"/>
        <v>Missing in D</v>
      </c>
      <c r="C11" s="1088" t="str">
        <f t="shared" si="1"/>
        <v>Missing in E</v>
      </c>
      <c r="E11" s="1146" t="s">
        <v>6584</v>
      </c>
      <c r="F11" s="1146" t="s">
        <v>7736</v>
      </c>
      <c r="G11" s="1146" t="s">
        <v>681</v>
      </c>
      <c r="H11" s="1147">
        <v>45721</v>
      </c>
      <c r="I11" s="1147">
        <v>45721</v>
      </c>
      <c r="J11" s="1148">
        <v>0.77083333333333337</v>
      </c>
      <c r="K11" s="1148">
        <v>0.875</v>
      </c>
      <c r="L11" s="1146"/>
      <c r="M11" s="1146" t="s">
        <v>597</v>
      </c>
      <c r="N11" s="1146" t="s">
        <v>6587</v>
      </c>
      <c r="O11" s="1146" t="s">
        <v>7739</v>
      </c>
      <c r="P11" s="1146"/>
      <c r="Q11" s="1083">
        <v>50</v>
      </c>
      <c r="R11" s="1076">
        <v>1</v>
      </c>
      <c r="S11" s="1112">
        <f t="shared" si="2"/>
        <v>45709</v>
      </c>
      <c r="T11" s="1112">
        <v>45721</v>
      </c>
      <c r="U11" s="1112"/>
      <c r="V11" s="1084">
        <f t="shared" si="3"/>
        <v>45766</v>
      </c>
      <c r="W11" s="1076">
        <v>50</v>
      </c>
      <c r="X11" s="1112">
        <v>45764</v>
      </c>
      <c r="Y11" s="1137">
        <f t="shared" si="4"/>
        <v>0</v>
      </c>
    </row>
    <row r="12" spans="1:25" x14ac:dyDescent="0.45">
      <c r="A12" s="1088">
        <v>11</v>
      </c>
      <c r="B12" s="1088" t="str">
        <f t="shared" si="0"/>
        <v>Missing in D</v>
      </c>
      <c r="C12" s="1088" t="str">
        <f t="shared" si="1"/>
        <v>Missing in E</v>
      </c>
      <c r="E12" s="1146" t="s">
        <v>6599</v>
      </c>
      <c r="F12" s="1146" t="s">
        <v>7736</v>
      </c>
      <c r="G12" s="1146" t="s">
        <v>681</v>
      </c>
      <c r="H12" s="1147">
        <v>45721</v>
      </c>
      <c r="I12" s="1147">
        <v>45721</v>
      </c>
      <c r="J12" s="1148">
        <v>0.77083333333333337</v>
      </c>
      <c r="K12" s="1148">
        <v>0.875</v>
      </c>
      <c r="L12" s="1146"/>
      <c r="M12" s="1146" t="s">
        <v>870</v>
      </c>
      <c r="N12" s="1146" t="s">
        <v>6600</v>
      </c>
      <c r="O12" s="1146" t="s">
        <v>7739</v>
      </c>
      <c r="P12" s="1146"/>
      <c r="Q12" s="1083">
        <v>50</v>
      </c>
      <c r="S12" s="1112">
        <f t="shared" si="2"/>
        <v>45709</v>
      </c>
      <c r="T12" s="1112">
        <v>45721</v>
      </c>
      <c r="U12" s="1112"/>
      <c r="V12" s="1084">
        <f t="shared" si="3"/>
        <v>45766</v>
      </c>
      <c r="W12" s="1076">
        <v>50</v>
      </c>
      <c r="X12" s="1112">
        <v>45764</v>
      </c>
      <c r="Y12" s="1137">
        <f t="shared" si="4"/>
        <v>0</v>
      </c>
    </row>
    <row r="13" spans="1:25" x14ac:dyDescent="0.45">
      <c r="A13" s="1088">
        <v>12</v>
      </c>
      <c r="B13" s="1088" t="str">
        <f t="shared" si="0"/>
        <v>Missing in D</v>
      </c>
      <c r="C13" s="1088" t="str">
        <f t="shared" si="1"/>
        <v>Missing in E</v>
      </c>
      <c r="E13" s="1146" t="s">
        <v>6576</v>
      </c>
      <c r="F13" s="1146" t="s">
        <v>7736</v>
      </c>
      <c r="G13" s="1146" t="s">
        <v>681</v>
      </c>
      <c r="H13" s="1147">
        <v>45721</v>
      </c>
      <c r="I13" s="1147">
        <v>45721</v>
      </c>
      <c r="J13" s="1146" t="s">
        <v>7744</v>
      </c>
      <c r="K13" s="1146" t="s">
        <v>7745</v>
      </c>
      <c r="L13" s="1146"/>
      <c r="M13" s="1146" t="s">
        <v>960</v>
      </c>
      <c r="N13" s="1146" t="s">
        <v>6578</v>
      </c>
      <c r="O13" s="1146" t="s">
        <v>7739</v>
      </c>
      <c r="P13" s="1146"/>
      <c r="Q13" s="1083">
        <v>50</v>
      </c>
      <c r="R13" s="1076">
        <v>1</v>
      </c>
      <c r="S13" s="1112">
        <f t="shared" si="2"/>
        <v>45709</v>
      </c>
      <c r="T13" s="1112">
        <v>45721</v>
      </c>
      <c r="U13" s="1112"/>
      <c r="V13" s="1084">
        <f t="shared" si="3"/>
        <v>45766</v>
      </c>
      <c r="W13" s="1076">
        <v>50</v>
      </c>
      <c r="X13" s="1112">
        <v>45764</v>
      </c>
      <c r="Y13" s="1137">
        <f t="shared" si="4"/>
        <v>0</v>
      </c>
    </row>
    <row r="14" spans="1:25" x14ac:dyDescent="0.45">
      <c r="A14" s="1088">
        <v>13</v>
      </c>
      <c r="B14" s="1088" t="str">
        <f t="shared" si="0"/>
        <v>Missing in D</v>
      </c>
      <c r="C14" s="1088" t="str">
        <f t="shared" si="1"/>
        <v>Missing in E</v>
      </c>
      <c r="E14" s="1146" t="s">
        <v>7746</v>
      </c>
      <c r="F14" s="1146" t="s">
        <v>7736</v>
      </c>
      <c r="G14" s="1146" t="s">
        <v>681</v>
      </c>
      <c r="H14" s="1147">
        <v>45721</v>
      </c>
      <c r="I14" s="1147">
        <v>45721</v>
      </c>
      <c r="J14" s="1148">
        <v>0.77083333333333337</v>
      </c>
      <c r="K14" s="1148">
        <v>0.875</v>
      </c>
      <c r="L14" s="1146"/>
      <c r="M14" s="1146" t="s">
        <v>964</v>
      </c>
      <c r="N14" s="1146" t="s">
        <v>6582</v>
      </c>
      <c r="O14" s="1146" t="s">
        <v>7739</v>
      </c>
      <c r="P14" s="1146"/>
      <c r="Q14" s="1083">
        <v>50</v>
      </c>
      <c r="R14" s="1076">
        <v>1</v>
      </c>
      <c r="S14" s="1112">
        <f t="shared" si="2"/>
        <v>45709</v>
      </c>
      <c r="T14" s="1112">
        <v>45721</v>
      </c>
      <c r="U14" s="1112"/>
      <c r="V14" s="1084">
        <f t="shared" si="3"/>
        <v>45766</v>
      </c>
      <c r="W14" s="1076">
        <v>50</v>
      </c>
      <c r="X14" s="1112">
        <v>45764</v>
      </c>
      <c r="Y14" s="1137">
        <f t="shared" si="4"/>
        <v>0</v>
      </c>
    </row>
    <row r="15" spans="1:25" x14ac:dyDescent="0.45">
      <c r="A15" s="1088">
        <v>14</v>
      </c>
      <c r="B15" s="1088" t="str">
        <f t="shared" si="0"/>
        <v>Missing in D</v>
      </c>
      <c r="C15" s="1088" t="str">
        <f t="shared" si="1"/>
        <v>Missing in E</v>
      </c>
      <c r="E15" s="1146" t="s">
        <v>6609</v>
      </c>
      <c r="F15" s="1146" t="s">
        <v>7736</v>
      </c>
      <c r="G15" s="1146" t="s">
        <v>886</v>
      </c>
      <c r="H15" s="1147">
        <v>45723</v>
      </c>
      <c r="I15" s="1147">
        <v>45723</v>
      </c>
      <c r="J15" s="1146" t="s">
        <v>7742</v>
      </c>
      <c r="K15" s="1146" t="s">
        <v>7747</v>
      </c>
      <c r="L15" s="1146"/>
      <c r="M15" s="1146" t="s">
        <v>960</v>
      </c>
      <c r="N15" s="1146" t="s">
        <v>6578</v>
      </c>
      <c r="O15" s="1146" t="s">
        <v>7739</v>
      </c>
      <c r="P15" s="1146"/>
      <c r="Q15" s="1083">
        <v>95</v>
      </c>
      <c r="R15" s="1076">
        <v>1</v>
      </c>
      <c r="S15" s="1112">
        <f t="shared" si="2"/>
        <v>45711</v>
      </c>
      <c r="T15" s="1112">
        <v>45723</v>
      </c>
      <c r="U15" s="1112"/>
      <c r="V15" s="1084">
        <f t="shared" si="3"/>
        <v>45768</v>
      </c>
      <c r="W15" s="1076">
        <v>95</v>
      </c>
      <c r="X15" s="1112">
        <v>45771</v>
      </c>
      <c r="Y15" s="1137">
        <f t="shared" si="4"/>
        <v>0</v>
      </c>
    </row>
    <row r="16" spans="1:25" x14ac:dyDescent="0.45">
      <c r="A16" s="1088">
        <v>15</v>
      </c>
      <c r="B16" s="1088" t="str">
        <f t="shared" si="0"/>
        <v>Missing in D</v>
      </c>
      <c r="C16" s="1088" t="str">
        <f t="shared" si="1"/>
        <v>Missing in E</v>
      </c>
      <c r="E16" s="1146" t="s">
        <v>6614</v>
      </c>
      <c r="F16" s="1146" t="s">
        <v>7736</v>
      </c>
      <c r="G16" s="1146" t="s">
        <v>7748</v>
      </c>
      <c r="H16" s="1147">
        <v>45723</v>
      </c>
      <c r="I16" s="1147">
        <v>45723</v>
      </c>
      <c r="J16" s="1148">
        <v>0.39583333333333331</v>
      </c>
      <c r="K16" s="1148">
        <v>0.5625</v>
      </c>
      <c r="L16" s="1146"/>
      <c r="M16" s="1146" t="s">
        <v>961</v>
      </c>
      <c r="N16" s="1146" t="s">
        <v>6617</v>
      </c>
      <c r="O16" s="1146" t="s">
        <v>7739</v>
      </c>
      <c r="P16" s="1146"/>
      <c r="Q16" s="1083">
        <v>95</v>
      </c>
      <c r="R16" s="1076">
        <v>1</v>
      </c>
      <c r="S16" s="1112">
        <f t="shared" si="2"/>
        <v>45711</v>
      </c>
      <c r="T16" s="1112">
        <v>45723</v>
      </c>
      <c r="U16" s="1112"/>
      <c r="V16" s="1084">
        <f t="shared" si="3"/>
        <v>45768</v>
      </c>
      <c r="W16" s="1076">
        <v>95</v>
      </c>
      <c r="X16" s="1112">
        <v>45771</v>
      </c>
      <c r="Y16" s="1137">
        <f t="shared" si="4"/>
        <v>0</v>
      </c>
    </row>
    <row r="17" spans="1:25" x14ac:dyDescent="0.45">
      <c r="A17" s="1088">
        <v>16</v>
      </c>
      <c r="B17" s="1088" t="str">
        <f t="shared" si="0"/>
        <v>Missing in D</v>
      </c>
      <c r="C17" s="1088" t="str">
        <f t="shared" si="1"/>
        <v>Missing in E</v>
      </c>
      <c r="E17" s="1146" t="s">
        <v>6610</v>
      </c>
      <c r="F17" s="1146" t="s">
        <v>7736</v>
      </c>
      <c r="G17" s="1146" t="s">
        <v>7748</v>
      </c>
      <c r="H17" s="1147">
        <v>45723</v>
      </c>
      <c r="I17" s="1147">
        <v>45723</v>
      </c>
      <c r="J17" s="1148">
        <v>0.39583333333333331</v>
      </c>
      <c r="K17" s="1148">
        <v>0.5625</v>
      </c>
      <c r="L17" s="1146"/>
      <c r="M17" s="1146" t="s">
        <v>962</v>
      </c>
      <c r="N17" s="1146" t="s">
        <v>6612</v>
      </c>
      <c r="O17" s="1146" t="s">
        <v>7739</v>
      </c>
      <c r="P17" s="1146"/>
      <c r="Q17" s="1083">
        <v>95</v>
      </c>
      <c r="R17" s="1076">
        <v>1</v>
      </c>
      <c r="S17" s="1112">
        <f t="shared" si="2"/>
        <v>45711</v>
      </c>
      <c r="T17" s="1112">
        <v>45723</v>
      </c>
      <c r="U17" s="1112"/>
      <c r="V17" s="1084">
        <f t="shared" si="3"/>
        <v>45768</v>
      </c>
      <c r="W17" s="1076">
        <v>95</v>
      </c>
      <c r="X17" s="1112">
        <v>45771</v>
      </c>
      <c r="Y17" s="1137">
        <f t="shared" si="4"/>
        <v>0</v>
      </c>
    </row>
    <row r="18" spans="1:25" x14ac:dyDescent="0.45">
      <c r="A18" s="1088">
        <v>17</v>
      </c>
      <c r="B18" s="1088" t="str">
        <f t="shared" si="0"/>
        <v>Missing in D</v>
      </c>
      <c r="C18" s="1088" t="str">
        <f t="shared" si="1"/>
        <v>Missing in E</v>
      </c>
      <c r="E18" s="1146" t="s">
        <v>7749</v>
      </c>
      <c r="F18" s="1146" t="s">
        <v>7736</v>
      </c>
      <c r="G18" s="1146" t="s">
        <v>7741</v>
      </c>
      <c r="H18" s="1147">
        <v>45730</v>
      </c>
      <c r="I18" s="1147">
        <v>45730</v>
      </c>
      <c r="J18" s="1148">
        <v>0.625</v>
      </c>
      <c r="K18" s="1148">
        <v>0.66666666666666663</v>
      </c>
      <c r="L18" s="1146"/>
      <c r="M18" s="1146" t="s">
        <v>924</v>
      </c>
      <c r="N18" s="1146" t="s">
        <v>7750</v>
      </c>
      <c r="O18" s="1146" t="s">
        <v>7739</v>
      </c>
      <c r="P18" s="1146"/>
      <c r="Q18" s="1083">
        <v>50</v>
      </c>
      <c r="R18" s="1076">
        <v>1</v>
      </c>
      <c r="S18" s="1112">
        <f t="shared" si="2"/>
        <v>45718</v>
      </c>
      <c r="T18" s="1112">
        <v>45757</v>
      </c>
      <c r="U18" s="1170" t="s">
        <v>7751</v>
      </c>
      <c r="V18" s="1084">
        <f t="shared" si="3"/>
        <v>45775</v>
      </c>
      <c r="W18" s="1076">
        <v>50</v>
      </c>
      <c r="X18" s="1112">
        <v>45800</v>
      </c>
      <c r="Y18" s="1137">
        <f t="shared" si="4"/>
        <v>0</v>
      </c>
    </row>
    <row r="19" spans="1:25" x14ac:dyDescent="0.45">
      <c r="A19" s="1088">
        <v>18</v>
      </c>
      <c r="B19" s="1088" t="str">
        <f t="shared" si="0"/>
        <v>Missing in D</v>
      </c>
      <c r="C19" s="1088" t="str">
        <f t="shared" si="1"/>
        <v>Missing in E</v>
      </c>
      <c r="E19" s="1146" t="s">
        <v>7752</v>
      </c>
      <c r="F19" s="1146" t="s">
        <v>7736</v>
      </c>
      <c r="G19" s="1146" t="s">
        <v>7741</v>
      </c>
      <c r="H19" s="1147">
        <v>45735</v>
      </c>
      <c r="I19" s="1147">
        <v>45735</v>
      </c>
      <c r="J19" s="1148">
        <v>0.66666666666666663</v>
      </c>
      <c r="K19" s="1148">
        <v>0.70833333333333337</v>
      </c>
      <c r="L19" s="1146"/>
      <c r="M19" s="1146" t="s">
        <v>842</v>
      </c>
      <c r="N19" s="1146" t="s">
        <v>6949</v>
      </c>
      <c r="O19" s="1146" t="s">
        <v>7739</v>
      </c>
      <c r="P19" s="1146"/>
      <c r="Q19" s="1083">
        <v>50</v>
      </c>
      <c r="S19" s="1112">
        <f t="shared" si="2"/>
        <v>45723</v>
      </c>
      <c r="T19" s="1112">
        <v>45735</v>
      </c>
      <c r="U19" s="1112"/>
      <c r="V19" s="1084">
        <f t="shared" si="3"/>
        <v>45780</v>
      </c>
      <c r="W19" s="1076">
        <v>50</v>
      </c>
      <c r="X19" s="1112">
        <v>45783</v>
      </c>
      <c r="Y19" s="1137">
        <f t="shared" si="4"/>
        <v>0</v>
      </c>
    </row>
    <row r="20" spans="1:25" x14ac:dyDescent="0.45">
      <c r="A20" s="1088">
        <v>19</v>
      </c>
      <c r="B20" s="1088" t="str">
        <f t="shared" si="0"/>
        <v>Missing in D</v>
      </c>
      <c r="C20" s="1088" t="str">
        <f t="shared" si="1"/>
        <v>Missing in E</v>
      </c>
      <c r="E20" s="1146" t="s">
        <v>6221</v>
      </c>
      <c r="F20" s="1146" t="s">
        <v>7736</v>
      </c>
      <c r="G20" s="1146" t="s">
        <v>677</v>
      </c>
      <c r="H20" s="1147">
        <v>45736</v>
      </c>
      <c r="I20" s="1147">
        <v>45823</v>
      </c>
      <c r="J20" s="1148">
        <v>0.33333333333333331</v>
      </c>
      <c r="K20" s="1148">
        <v>0.83333333333333337</v>
      </c>
      <c r="L20" s="1146"/>
      <c r="M20" s="1146" t="s">
        <v>956</v>
      </c>
      <c r="N20" s="1146" t="s">
        <v>6222</v>
      </c>
      <c r="O20" s="1146" t="s">
        <v>7739</v>
      </c>
      <c r="P20" s="1146"/>
      <c r="Q20" s="1083">
        <v>150</v>
      </c>
      <c r="S20" s="1112">
        <f t="shared" si="2"/>
        <v>45724</v>
      </c>
      <c r="T20" s="1112">
        <v>45736</v>
      </c>
      <c r="U20" s="1112"/>
      <c r="V20" s="1084">
        <f t="shared" si="3"/>
        <v>45781</v>
      </c>
      <c r="W20" s="1076">
        <v>150</v>
      </c>
      <c r="X20" s="1112">
        <v>45783</v>
      </c>
      <c r="Y20" s="1137">
        <f t="shared" si="4"/>
        <v>0</v>
      </c>
    </row>
    <row r="21" spans="1:25" x14ac:dyDescent="0.45">
      <c r="A21" s="1088">
        <v>20</v>
      </c>
      <c r="B21" s="1088" t="str">
        <f t="shared" si="0"/>
        <v>Missing in D</v>
      </c>
      <c r="C21" s="1088" t="str">
        <f t="shared" si="1"/>
        <v>Missing in E</v>
      </c>
      <c r="E21" s="1146" t="s">
        <v>6250</v>
      </c>
      <c r="F21" s="1146" t="s">
        <v>7736</v>
      </c>
      <c r="G21" s="1146" t="s">
        <v>580</v>
      </c>
      <c r="H21" s="1147">
        <v>45742</v>
      </c>
      <c r="I21" s="1147">
        <v>45756</v>
      </c>
      <c r="J21" s="1148">
        <v>0.79166666666666663</v>
      </c>
      <c r="K21" s="1148">
        <v>0.875</v>
      </c>
      <c r="L21" s="1146"/>
      <c r="M21" s="1146" t="s">
        <v>948</v>
      </c>
      <c r="N21" s="1146" t="s">
        <v>6251</v>
      </c>
      <c r="O21" s="1146" t="s">
        <v>7739</v>
      </c>
      <c r="P21" s="1146"/>
      <c r="Q21" s="1083">
        <v>150</v>
      </c>
      <c r="S21" s="1112">
        <f t="shared" si="2"/>
        <v>45730</v>
      </c>
      <c r="T21" s="1112">
        <v>45742</v>
      </c>
      <c r="U21" s="1112"/>
      <c r="V21" s="1084">
        <f t="shared" si="3"/>
        <v>45787</v>
      </c>
      <c r="W21" s="1083">
        <v>150</v>
      </c>
      <c r="X21" s="1112">
        <v>45789</v>
      </c>
      <c r="Y21" s="1137">
        <f t="shared" si="4"/>
        <v>0</v>
      </c>
    </row>
    <row r="22" spans="1:25" x14ac:dyDescent="0.45">
      <c r="A22" s="1088">
        <v>21</v>
      </c>
      <c r="B22" s="1088" t="str">
        <f t="shared" si="0"/>
        <v>Missing in D</v>
      </c>
      <c r="C22" s="1088" t="str">
        <f t="shared" si="1"/>
        <v>Missing in E</v>
      </c>
      <c r="E22" s="1146" t="s">
        <v>6247</v>
      </c>
      <c r="F22" s="1146" t="s">
        <v>7736</v>
      </c>
      <c r="G22" s="1146" t="s">
        <v>580</v>
      </c>
      <c r="H22" s="1147">
        <v>45742</v>
      </c>
      <c r="I22" s="1147">
        <v>45756</v>
      </c>
      <c r="J22" s="1148">
        <v>0.79166666666666663</v>
      </c>
      <c r="K22" s="1148">
        <v>0.875</v>
      </c>
      <c r="L22" s="1146"/>
      <c r="M22" s="1146" t="s">
        <v>949</v>
      </c>
      <c r="N22" s="1146" t="s">
        <v>6248</v>
      </c>
      <c r="O22" s="1146" t="s">
        <v>7739</v>
      </c>
      <c r="P22" s="1146"/>
      <c r="Q22" s="1083">
        <v>150</v>
      </c>
      <c r="S22" s="1112">
        <f t="shared" si="2"/>
        <v>45730</v>
      </c>
      <c r="T22" s="1112">
        <v>45742</v>
      </c>
      <c r="U22" s="1112"/>
      <c r="V22" s="1084">
        <f t="shared" si="3"/>
        <v>45787</v>
      </c>
      <c r="W22" s="1083">
        <v>150</v>
      </c>
      <c r="X22" s="1112">
        <v>45789</v>
      </c>
      <c r="Y22" s="1137">
        <f t="shared" si="4"/>
        <v>0</v>
      </c>
    </row>
    <row r="23" spans="1:25" x14ac:dyDescent="0.45">
      <c r="A23" s="1088">
        <v>22</v>
      </c>
      <c r="B23" s="1088" t="str">
        <f t="shared" si="0"/>
        <v>Missing in D</v>
      </c>
      <c r="C23" s="1088" t="str">
        <f t="shared" si="1"/>
        <v>Missing in E</v>
      </c>
      <c r="E23" s="1146" t="s">
        <v>6244</v>
      </c>
      <c r="F23" s="1146" t="s">
        <v>7736</v>
      </c>
      <c r="G23" s="1146" t="s">
        <v>580</v>
      </c>
      <c r="H23" s="1147">
        <v>45742</v>
      </c>
      <c r="I23" s="1147">
        <v>45756</v>
      </c>
      <c r="J23" s="1148">
        <v>0.79166666666666663</v>
      </c>
      <c r="K23" s="1148">
        <v>0.875</v>
      </c>
      <c r="L23" s="1146"/>
      <c r="M23" s="1146" t="s">
        <v>950</v>
      </c>
      <c r="N23" s="1146" t="s">
        <v>6245</v>
      </c>
      <c r="O23" s="1146" t="s">
        <v>7739</v>
      </c>
      <c r="P23" s="1146"/>
      <c r="Q23" s="1083">
        <v>150</v>
      </c>
      <c r="S23" s="1112">
        <f t="shared" si="2"/>
        <v>45730</v>
      </c>
      <c r="T23" s="1112">
        <v>45742</v>
      </c>
      <c r="U23" s="1112"/>
      <c r="V23" s="1084">
        <f t="shared" si="3"/>
        <v>45787</v>
      </c>
      <c r="W23" s="1083">
        <v>150</v>
      </c>
      <c r="X23" s="1112">
        <v>45789</v>
      </c>
      <c r="Y23" s="1137">
        <f t="shared" si="4"/>
        <v>0</v>
      </c>
    </row>
    <row r="24" spans="1:25" x14ac:dyDescent="0.45">
      <c r="A24" s="1088">
        <v>23</v>
      </c>
      <c r="B24" s="1088" t="str">
        <f t="shared" si="0"/>
        <v>Missing in D</v>
      </c>
      <c r="C24" s="1088" t="str">
        <f t="shared" si="1"/>
        <v>Missing in E</v>
      </c>
      <c r="E24" s="1146" t="s">
        <v>7753</v>
      </c>
      <c r="F24" s="1146" t="s">
        <v>7736</v>
      </c>
      <c r="G24" s="1146" t="s">
        <v>820</v>
      </c>
      <c r="H24" s="1147">
        <v>45743</v>
      </c>
      <c r="I24" s="1147">
        <v>45743</v>
      </c>
      <c r="J24" s="1148">
        <v>0.33333333333333331</v>
      </c>
      <c r="K24" s="1148">
        <v>0.70833333333333337</v>
      </c>
      <c r="L24" s="1146"/>
      <c r="M24" s="1146" t="s">
        <v>951</v>
      </c>
      <c r="N24" s="1146" t="s">
        <v>7754</v>
      </c>
      <c r="O24" s="1146" t="s">
        <v>7739</v>
      </c>
      <c r="P24" s="1146"/>
      <c r="Q24" s="1083">
        <v>50</v>
      </c>
      <c r="S24" s="1112">
        <f t="shared" si="2"/>
        <v>45731</v>
      </c>
      <c r="T24" s="1112">
        <v>45743</v>
      </c>
      <c r="U24" s="1112"/>
      <c r="V24" s="1084">
        <f t="shared" si="3"/>
        <v>45788</v>
      </c>
      <c r="W24" s="1083">
        <v>50</v>
      </c>
      <c r="X24" s="1112">
        <v>45789</v>
      </c>
      <c r="Y24" s="1137">
        <f t="shared" si="4"/>
        <v>0</v>
      </c>
    </row>
    <row r="25" spans="1:25" x14ac:dyDescent="0.45">
      <c r="A25" s="1088">
        <v>24</v>
      </c>
      <c r="B25" s="1088" t="str">
        <f t="shared" si="0"/>
        <v>Missing in D</v>
      </c>
      <c r="C25" s="1088" t="str">
        <f t="shared" si="1"/>
        <v>Missing in E</v>
      </c>
      <c r="E25" s="1146" t="s">
        <v>7053</v>
      </c>
      <c r="F25" s="1146" t="s">
        <v>7736</v>
      </c>
      <c r="G25" s="1146" t="s">
        <v>604</v>
      </c>
      <c r="H25" s="1147">
        <v>45745</v>
      </c>
      <c r="I25" s="1147">
        <v>45745</v>
      </c>
      <c r="J25" s="1148">
        <v>0.41666666666666669</v>
      </c>
      <c r="K25" s="1148">
        <v>0.52083333333333337</v>
      </c>
      <c r="L25" s="1146"/>
      <c r="M25" s="1146" t="s">
        <v>952</v>
      </c>
      <c r="N25" s="1146" t="s">
        <v>7054</v>
      </c>
      <c r="O25" s="1146" t="s">
        <v>7739</v>
      </c>
      <c r="P25" s="1146"/>
      <c r="Q25" s="1083">
        <v>60</v>
      </c>
      <c r="S25" s="1112">
        <f t="shared" si="2"/>
        <v>45733</v>
      </c>
      <c r="T25" s="1112">
        <v>45745</v>
      </c>
      <c r="U25" s="1112"/>
      <c r="V25" s="1084">
        <f t="shared" si="3"/>
        <v>45790</v>
      </c>
      <c r="W25" s="1083">
        <v>60</v>
      </c>
      <c r="X25" s="1112">
        <v>45789</v>
      </c>
      <c r="Y25" s="1137">
        <f t="shared" si="4"/>
        <v>0</v>
      </c>
    </row>
    <row r="26" spans="1:25" x14ac:dyDescent="0.45">
      <c r="A26" s="1088">
        <v>25</v>
      </c>
      <c r="B26" s="1088" t="str">
        <f t="shared" si="0"/>
        <v>Missing in D</v>
      </c>
      <c r="C26" s="1088" t="str">
        <f t="shared" si="1"/>
        <v>Missing in E</v>
      </c>
      <c r="E26" s="1146" t="s">
        <v>7755</v>
      </c>
      <c r="F26" s="1146" t="s">
        <v>7736</v>
      </c>
      <c r="G26" s="1146" t="s">
        <v>677</v>
      </c>
      <c r="H26" s="1147">
        <v>45747</v>
      </c>
      <c r="I26" s="1147">
        <v>45747</v>
      </c>
      <c r="J26" s="1148">
        <v>0.33333333333333331</v>
      </c>
      <c r="K26" s="1148">
        <v>0.70833333333333337</v>
      </c>
      <c r="L26" s="1146" t="s">
        <v>7756</v>
      </c>
      <c r="M26" s="1146" t="s">
        <v>922</v>
      </c>
      <c r="N26" s="1146" t="s">
        <v>6224</v>
      </c>
      <c r="O26" s="1146" t="s">
        <v>7739</v>
      </c>
      <c r="P26" s="1146"/>
      <c r="Q26" s="1136">
        <v>150</v>
      </c>
      <c r="S26" s="1112">
        <f t="shared" si="2"/>
        <v>45735</v>
      </c>
      <c r="T26" s="1112">
        <v>45747</v>
      </c>
      <c r="U26" s="1170" t="s">
        <v>7757</v>
      </c>
      <c r="V26" s="1084">
        <f t="shared" si="3"/>
        <v>45792</v>
      </c>
      <c r="W26" s="1076">
        <v>150</v>
      </c>
      <c r="X26" s="1112">
        <v>45800</v>
      </c>
      <c r="Y26" s="1137">
        <f t="shared" si="4"/>
        <v>0</v>
      </c>
    </row>
    <row r="27" spans="1:25" x14ac:dyDescent="0.45">
      <c r="A27" s="1088">
        <v>26</v>
      </c>
      <c r="B27" s="1088" t="str">
        <f t="shared" si="0"/>
        <v>Missing in D</v>
      </c>
      <c r="C27" s="1088" t="str">
        <f t="shared" si="1"/>
        <v>Missing in E</v>
      </c>
      <c r="E27" s="1146" t="s">
        <v>7758</v>
      </c>
      <c r="F27" s="1146" t="s">
        <v>7736</v>
      </c>
      <c r="G27" s="1146" t="s">
        <v>820</v>
      </c>
      <c r="H27" s="1147">
        <v>45750</v>
      </c>
      <c r="I27" s="1147">
        <v>45750</v>
      </c>
      <c r="J27" s="1148">
        <v>0.66666666666666663</v>
      </c>
      <c r="K27" s="1148">
        <v>0.70833333333333337</v>
      </c>
      <c r="L27" s="1146"/>
      <c r="M27" s="1146" t="s">
        <v>940</v>
      </c>
      <c r="N27" s="1146" t="s">
        <v>7759</v>
      </c>
      <c r="O27" s="1146" t="s">
        <v>7739</v>
      </c>
      <c r="P27" s="1146"/>
      <c r="Q27" s="1083">
        <v>50</v>
      </c>
      <c r="S27" s="1112">
        <f t="shared" si="2"/>
        <v>45738</v>
      </c>
      <c r="T27" s="1112">
        <v>45750</v>
      </c>
      <c r="U27" s="1112" t="s">
        <v>7760</v>
      </c>
      <c r="V27" s="1084">
        <f t="shared" si="3"/>
        <v>45795</v>
      </c>
      <c r="W27" s="1082">
        <v>50</v>
      </c>
      <c r="X27" s="1170">
        <v>45799</v>
      </c>
      <c r="Y27" s="1137">
        <f t="shared" si="4"/>
        <v>0</v>
      </c>
    </row>
    <row r="28" spans="1:25" x14ac:dyDescent="0.45">
      <c r="A28" s="1088">
        <v>27</v>
      </c>
      <c r="B28" s="1088" t="str">
        <f t="shared" si="0"/>
        <v>Missing in D</v>
      </c>
      <c r="C28" s="1088" t="str">
        <f t="shared" si="1"/>
        <v>Missing in E</v>
      </c>
      <c r="E28" s="1146" t="s">
        <v>7761</v>
      </c>
      <c r="F28" s="1146" t="s">
        <v>7736</v>
      </c>
      <c r="G28" s="1146" t="s">
        <v>820</v>
      </c>
      <c r="H28" s="1147">
        <v>45755</v>
      </c>
      <c r="I28" s="1147">
        <v>45755</v>
      </c>
      <c r="J28" s="1148">
        <v>0.60416666666666663</v>
      </c>
      <c r="K28" s="1148">
        <v>0.64583333333333337</v>
      </c>
      <c r="L28" s="1146" t="s">
        <v>7762</v>
      </c>
      <c r="M28" s="1146" t="s">
        <v>919</v>
      </c>
      <c r="N28" s="1146" t="s">
        <v>7686</v>
      </c>
      <c r="O28" s="1146" t="s">
        <v>7739</v>
      </c>
      <c r="P28" s="1146"/>
      <c r="Q28" s="1136">
        <v>65</v>
      </c>
      <c r="S28" s="1112">
        <f t="shared" si="2"/>
        <v>45743</v>
      </c>
      <c r="T28" s="1112">
        <v>45755</v>
      </c>
      <c r="U28" s="1170" t="s">
        <v>7763</v>
      </c>
      <c r="V28" s="1084">
        <f t="shared" si="3"/>
        <v>45800</v>
      </c>
      <c r="W28" s="1076">
        <v>65</v>
      </c>
      <c r="X28" s="1112">
        <v>45800</v>
      </c>
      <c r="Y28" s="1137">
        <f t="shared" si="4"/>
        <v>0</v>
      </c>
    </row>
    <row r="29" spans="1:25" x14ac:dyDescent="0.45">
      <c r="A29" s="1088">
        <v>28</v>
      </c>
      <c r="B29" s="1088" t="str">
        <f t="shared" si="0"/>
        <v>Missing in D</v>
      </c>
      <c r="C29" s="1088" t="str">
        <f t="shared" si="1"/>
        <v>Missing in E</v>
      </c>
      <c r="E29" s="1146" t="s">
        <v>7764</v>
      </c>
      <c r="F29" s="1146" t="s">
        <v>7736</v>
      </c>
      <c r="G29" s="1146" t="s">
        <v>820</v>
      </c>
      <c r="H29" s="1147">
        <v>45755</v>
      </c>
      <c r="I29" s="1147">
        <v>45755</v>
      </c>
      <c r="J29" s="1148">
        <v>0.5</v>
      </c>
      <c r="K29" s="1148">
        <v>0.54166666666666663</v>
      </c>
      <c r="L29" s="1146"/>
      <c r="M29" s="1146" t="s">
        <v>920</v>
      </c>
      <c r="N29" s="1146" t="s">
        <v>7765</v>
      </c>
      <c r="O29" s="1146" t="s">
        <v>7739</v>
      </c>
      <c r="P29" s="1146"/>
      <c r="Q29" s="1083">
        <v>50</v>
      </c>
      <c r="S29" s="1112">
        <f t="shared" si="2"/>
        <v>45743</v>
      </c>
      <c r="T29" s="1112">
        <v>45755</v>
      </c>
      <c r="U29" s="1170" t="s">
        <v>7763</v>
      </c>
      <c r="V29" s="1084">
        <f t="shared" si="3"/>
        <v>45800</v>
      </c>
      <c r="W29" s="1076">
        <v>50</v>
      </c>
      <c r="X29" s="1112">
        <v>45800</v>
      </c>
      <c r="Y29" s="1137">
        <f t="shared" si="4"/>
        <v>0</v>
      </c>
    </row>
    <row r="30" spans="1:25" x14ac:dyDescent="0.45">
      <c r="A30" s="1088">
        <v>29</v>
      </c>
      <c r="B30" s="1088" t="str">
        <f t="shared" si="0"/>
        <v>Missing in D</v>
      </c>
      <c r="C30" s="1088" t="str">
        <f t="shared" si="1"/>
        <v>Missing in E</v>
      </c>
      <c r="E30" s="1158" t="s">
        <v>7766</v>
      </c>
      <c r="F30" s="1158" t="s">
        <v>7736</v>
      </c>
      <c r="G30" s="1158" t="s">
        <v>820</v>
      </c>
      <c r="H30" s="1159">
        <v>45757</v>
      </c>
      <c r="I30" s="1159">
        <v>45757</v>
      </c>
      <c r="J30" s="1160">
        <v>0.66666666666666663</v>
      </c>
      <c r="K30" s="1160">
        <v>0.70833333333333337</v>
      </c>
      <c r="L30" s="1158"/>
      <c r="M30" s="1158" t="s">
        <v>921</v>
      </c>
      <c r="N30" s="1158" t="s">
        <v>7767</v>
      </c>
      <c r="O30" s="1158" t="s">
        <v>7739</v>
      </c>
      <c r="P30" s="1158"/>
      <c r="Q30" s="1140">
        <v>65</v>
      </c>
      <c r="R30" s="1141"/>
      <c r="S30" s="1112">
        <f t="shared" si="2"/>
        <v>45745</v>
      </c>
      <c r="T30" s="1161">
        <v>45757</v>
      </c>
      <c r="U30" s="1170" t="s">
        <v>7768</v>
      </c>
      <c r="V30" s="1084">
        <f t="shared" si="3"/>
        <v>45802</v>
      </c>
      <c r="W30" s="1076">
        <v>65</v>
      </c>
      <c r="X30" s="1112">
        <v>45800</v>
      </c>
      <c r="Y30" s="1137">
        <f t="shared" si="4"/>
        <v>0</v>
      </c>
    </row>
    <row r="31" spans="1:25" x14ac:dyDescent="0.45">
      <c r="A31" s="1088">
        <v>30</v>
      </c>
      <c r="B31" s="1088" t="str">
        <f t="shared" si="0"/>
        <v>Missing in D</v>
      </c>
      <c r="C31" s="1088" t="str">
        <f t="shared" si="1"/>
        <v>Missing in E</v>
      </c>
      <c r="E31" s="1146" t="s">
        <v>6643</v>
      </c>
      <c r="F31" s="1146" t="s">
        <v>7736</v>
      </c>
      <c r="G31" s="1146" t="s">
        <v>729</v>
      </c>
      <c r="H31" s="1147">
        <v>45757</v>
      </c>
      <c r="I31" s="1147">
        <v>45757</v>
      </c>
      <c r="J31" s="1148">
        <v>0.77083333333333337</v>
      </c>
      <c r="K31" s="1148">
        <v>0.86458333333333337</v>
      </c>
      <c r="L31" s="1146"/>
      <c r="M31" s="1146" t="s">
        <v>942</v>
      </c>
      <c r="N31" s="1146" t="s">
        <v>6646</v>
      </c>
      <c r="O31" s="1146" t="s">
        <v>7739</v>
      </c>
      <c r="P31" s="1146"/>
      <c r="Q31" s="1083">
        <v>50</v>
      </c>
      <c r="R31" s="1076">
        <v>1</v>
      </c>
      <c r="S31" s="1112">
        <f t="shared" si="2"/>
        <v>45745</v>
      </c>
      <c r="T31" s="1161">
        <v>45757</v>
      </c>
      <c r="U31" s="1161"/>
      <c r="V31" s="1084">
        <f t="shared" si="3"/>
        <v>45802</v>
      </c>
      <c r="W31" s="1082">
        <v>50</v>
      </c>
      <c r="X31" s="1170">
        <v>45799</v>
      </c>
      <c r="Y31" s="1137">
        <f t="shared" si="4"/>
        <v>0</v>
      </c>
    </row>
    <row r="32" spans="1:25" x14ac:dyDescent="0.45">
      <c r="A32" s="1088">
        <v>31</v>
      </c>
      <c r="B32" s="1088" t="str">
        <f t="shared" si="0"/>
        <v>Missing in D</v>
      </c>
      <c r="C32" s="1088" t="str">
        <f t="shared" si="1"/>
        <v>Missing in E</v>
      </c>
      <c r="E32" s="1146" t="s">
        <v>6637</v>
      </c>
      <c r="F32" s="1146" t="s">
        <v>7736</v>
      </c>
      <c r="G32" s="1146" t="s">
        <v>729</v>
      </c>
      <c r="H32" s="1147">
        <v>45757</v>
      </c>
      <c r="I32" s="1147">
        <v>45757</v>
      </c>
      <c r="J32" s="1148">
        <v>0.77083333333333337</v>
      </c>
      <c r="K32" s="1148">
        <v>0.86458333333333337</v>
      </c>
      <c r="L32" s="1146"/>
      <c r="M32" s="1146" t="s">
        <v>930</v>
      </c>
      <c r="N32" s="1146" t="s">
        <v>6520</v>
      </c>
      <c r="O32" s="1146" t="s">
        <v>7739</v>
      </c>
      <c r="P32" s="1146"/>
      <c r="Q32" s="1083">
        <v>50</v>
      </c>
      <c r="R32" s="1076">
        <v>1</v>
      </c>
      <c r="S32" s="1112">
        <f t="shared" si="2"/>
        <v>45745</v>
      </c>
      <c r="T32" s="1161">
        <v>45757</v>
      </c>
      <c r="U32" s="1161"/>
      <c r="V32" s="1142">
        <f t="shared" si="3"/>
        <v>45802</v>
      </c>
      <c r="W32" s="1082">
        <v>50</v>
      </c>
      <c r="X32" s="1170">
        <v>45799</v>
      </c>
      <c r="Y32" s="1137">
        <f t="shared" si="4"/>
        <v>0</v>
      </c>
    </row>
    <row r="33" spans="1:25" x14ac:dyDescent="0.45">
      <c r="A33" s="1088">
        <v>32</v>
      </c>
      <c r="B33" s="1088" t="str">
        <f t="shared" si="0"/>
        <v>Missing in D</v>
      </c>
      <c r="C33" s="1088" t="str">
        <f t="shared" si="1"/>
        <v>Missing in E</v>
      </c>
      <c r="E33" s="1146" t="s">
        <v>6639</v>
      </c>
      <c r="F33" s="1146" t="s">
        <v>7736</v>
      </c>
      <c r="G33" s="1146" t="s">
        <v>729</v>
      </c>
      <c r="H33" s="1147">
        <v>45757</v>
      </c>
      <c r="I33" s="1147">
        <v>45757</v>
      </c>
      <c r="J33" s="1148">
        <v>0.77083333333333337</v>
      </c>
      <c r="K33" s="1148">
        <v>0.86458333333333337</v>
      </c>
      <c r="L33" s="1146"/>
      <c r="M33" s="1146" t="s">
        <v>943</v>
      </c>
      <c r="N33" s="1146" t="s">
        <v>6641</v>
      </c>
      <c r="O33" s="1146" t="s">
        <v>7739</v>
      </c>
      <c r="P33" s="1146"/>
      <c r="Q33" s="1083">
        <v>50</v>
      </c>
      <c r="R33" s="1076">
        <v>1</v>
      </c>
      <c r="S33" s="1112">
        <f t="shared" si="2"/>
        <v>45745</v>
      </c>
      <c r="T33" s="1161">
        <v>45757</v>
      </c>
      <c r="U33" s="1161"/>
      <c r="V33" s="1084">
        <f t="shared" si="3"/>
        <v>45802</v>
      </c>
      <c r="W33" s="1082">
        <v>50</v>
      </c>
      <c r="X33" s="1170">
        <v>45799</v>
      </c>
      <c r="Y33" s="1137">
        <f t="shared" si="4"/>
        <v>0</v>
      </c>
    </row>
    <row r="34" spans="1:25" x14ac:dyDescent="0.45">
      <c r="A34" s="1088">
        <v>33</v>
      </c>
      <c r="B34" s="1088" t="str">
        <f t="shared" si="0"/>
        <v>Missing in D</v>
      </c>
      <c r="C34" s="1088" t="str">
        <f t="shared" ref="C34:C65" si="5">IF(COUNTIF(D$2:D$273, E34)=0, "Missing in E", "")</f>
        <v>Missing in E</v>
      </c>
      <c r="E34" s="1146" t="s">
        <v>6653</v>
      </c>
      <c r="F34" s="1146" t="s">
        <v>7736</v>
      </c>
      <c r="G34" s="1146" t="s">
        <v>664</v>
      </c>
      <c r="H34" s="1147" t="s">
        <v>7769</v>
      </c>
      <c r="I34" s="1147" t="s">
        <v>7769</v>
      </c>
      <c r="J34" s="1148" t="s">
        <v>7737</v>
      </c>
      <c r="K34" s="1148" t="s">
        <v>7770</v>
      </c>
      <c r="L34" s="1146" t="s">
        <v>7762</v>
      </c>
      <c r="M34" s="1146" t="s">
        <v>925</v>
      </c>
      <c r="N34" s="1146" t="s">
        <v>6654</v>
      </c>
      <c r="O34" s="1146" t="s">
        <v>7739</v>
      </c>
      <c r="P34" s="1146"/>
      <c r="Q34" s="1136">
        <v>125</v>
      </c>
      <c r="S34" s="1112">
        <f t="shared" si="2"/>
        <v>45748</v>
      </c>
      <c r="T34" s="1112">
        <v>45760</v>
      </c>
      <c r="U34" s="1112" t="s">
        <v>7771</v>
      </c>
      <c r="V34" s="1084">
        <f t="shared" si="3"/>
        <v>45805</v>
      </c>
      <c r="W34" s="1136">
        <v>125</v>
      </c>
      <c r="X34" s="1112">
        <v>45797</v>
      </c>
      <c r="Y34" s="1137">
        <f t="shared" si="4"/>
        <v>0</v>
      </c>
    </row>
    <row r="35" spans="1:25" x14ac:dyDescent="0.45">
      <c r="A35" s="1088">
        <v>34</v>
      </c>
      <c r="B35" s="1088" t="str">
        <f t="shared" si="0"/>
        <v>Missing in D</v>
      </c>
      <c r="C35" s="1088" t="str">
        <f t="shared" si="5"/>
        <v>Missing in E</v>
      </c>
      <c r="E35" s="1146" t="s">
        <v>7107</v>
      </c>
      <c r="F35" s="1146" t="s">
        <v>7736</v>
      </c>
      <c r="G35" s="1146" t="s">
        <v>664</v>
      </c>
      <c r="H35" s="1147" t="s">
        <v>7769</v>
      </c>
      <c r="I35" s="1147" t="s">
        <v>7769</v>
      </c>
      <c r="J35" s="1148" t="s">
        <v>7737</v>
      </c>
      <c r="K35" s="1148" t="s">
        <v>7770</v>
      </c>
      <c r="L35" s="1146" t="s">
        <v>7762</v>
      </c>
      <c r="M35" s="1146" t="s">
        <v>926</v>
      </c>
      <c r="N35" s="1146" t="s">
        <v>7108</v>
      </c>
      <c r="O35" s="1146" t="s">
        <v>7739</v>
      </c>
      <c r="P35" s="1146"/>
      <c r="Q35" s="1083">
        <v>125</v>
      </c>
      <c r="S35" s="1112">
        <f t="shared" si="2"/>
        <v>45748</v>
      </c>
      <c r="T35" s="1112">
        <v>45760</v>
      </c>
      <c r="U35" s="1112" t="s">
        <v>7771</v>
      </c>
      <c r="V35" s="1084">
        <f t="shared" si="3"/>
        <v>45805</v>
      </c>
      <c r="W35" s="1083">
        <v>125</v>
      </c>
      <c r="X35" s="1112">
        <v>45797</v>
      </c>
      <c r="Y35" s="1137">
        <f t="shared" si="4"/>
        <v>0</v>
      </c>
    </row>
    <row r="36" spans="1:25" x14ac:dyDescent="0.45">
      <c r="A36" s="1088">
        <v>35</v>
      </c>
      <c r="B36" s="1088" t="str">
        <f t="shared" si="0"/>
        <v>Missing in D</v>
      </c>
      <c r="C36" s="1088" t="str">
        <f t="shared" si="5"/>
        <v>Missing in E</v>
      </c>
      <c r="E36" s="1146" t="s">
        <v>7772</v>
      </c>
      <c r="F36" s="1146" t="s">
        <v>7736</v>
      </c>
      <c r="G36" s="1146" t="s">
        <v>820</v>
      </c>
      <c r="H36" s="1147" t="s">
        <v>7773</v>
      </c>
      <c r="I36" s="1147" t="s">
        <v>7773</v>
      </c>
      <c r="J36" s="1148" t="s">
        <v>7738</v>
      </c>
      <c r="K36" s="1148" t="s">
        <v>7747</v>
      </c>
      <c r="L36" s="1146" t="s">
        <v>7762</v>
      </c>
      <c r="M36" s="1146" t="s">
        <v>591</v>
      </c>
      <c r="N36" s="1146" t="s">
        <v>6319</v>
      </c>
      <c r="O36" s="1146" t="s">
        <v>7739</v>
      </c>
      <c r="P36" s="1146"/>
      <c r="Q36" s="1136">
        <v>65</v>
      </c>
      <c r="S36" s="1112">
        <f t="shared" si="2"/>
        <v>45749</v>
      </c>
      <c r="T36" s="1112">
        <v>45761</v>
      </c>
      <c r="U36" s="1112" t="s">
        <v>7774</v>
      </c>
      <c r="V36" s="1084">
        <f t="shared" si="3"/>
        <v>45806</v>
      </c>
      <c r="W36" s="1076">
        <v>65</v>
      </c>
      <c r="X36" s="1112">
        <v>45797</v>
      </c>
      <c r="Y36" s="1137">
        <f t="shared" si="4"/>
        <v>0</v>
      </c>
    </row>
    <row r="37" spans="1:25" x14ac:dyDescent="0.45">
      <c r="A37" s="1088">
        <v>36</v>
      </c>
      <c r="B37" s="1088" t="str">
        <f t="shared" si="0"/>
        <v>Missing in D</v>
      </c>
      <c r="C37" s="1088" t="str">
        <f t="shared" si="5"/>
        <v>Missing in E</v>
      </c>
      <c r="E37" s="1146" t="s">
        <v>7775</v>
      </c>
      <c r="F37" s="1146" t="s">
        <v>7736</v>
      </c>
      <c r="G37" s="1146" t="s">
        <v>820</v>
      </c>
      <c r="H37" s="1147" t="s">
        <v>7773</v>
      </c>
      <c r="I37" s="1147" t="s">
        <v>7773</v>
      </c>
      <c r="J37" s="1148" t="s">
        <v>7770</v>
      </c>
      <c r="K37" s="1148" t="s">
        <v>7776</v>
      </c>
      <c r="L37" s="1146" t="s">
        <v>7762</v>
      </c>
      <c r="M37" s="1146" t="s">
        <v>927</v>
      </c>
      <c r="N37" s="1146" t="s">
        <v>7777</v>
      </c>
      <c r="O37" s="1146" t="s">
        <v>7739</v>
      </c>
      <c r="P37" s="1146"/>
      <c r="Q37" s="1083">
        <v>50</v>
      </c>
      <c r="S37" s="1112">
        <f t="shared" si="2"/>
        <v>45749</v>
      </c>
      <c r="T37" s="1112">
        <v>45761</v>
      </c>
      <c r="U37" s="1112" t="s">
        <v>7774</v>
      </c>
      <c r="V37" s="1084">
        <f t="shared" si="3"/>
        <v>45806</v>
      </c>
      <c r="W37" s="1076">
        <v>50</v>
      </c>
      <c r="X37" s="1112">
        <v>45797</v>
      </c>
      <c r="Y37" s="1137">
        <f t="shared" si="4"/>
        <v>0</v>
      </c>
    </row>
    <row r="38" spans="1:25" x14ac:dyDescent="0.45">
      <c r="A38" s="1088">
        <v>37</v>
      </c>
      <c r="B38" s="1088" t="str">
        <f t="shared" si="0"/>
        <v>Missing in D</v>
      </c>
      <c r="C38" s="1088" t="str">
        <f t="shared" si="5"/>
        <v>Missing in E</v>
      </c>
      <c r="E38" s="1146" t="s">
        <v>6656</v>
      </c>
      <c r="F38" s="1146" t="s">
        <v>7736</v>
      </c>
      <c r="G38" s="1146" t="s">
        <v>681</v>
      </c>
      <c r="H38" s="1147" t="s">
        <v>7773</v>
      </c>
      <c r="I38" s="1147" t="s">
        <v>7773</v>
      </c>
      <c r="J38" s="1148" t="s">
        <v>7778</v>
      </c>
      <c r="K38" s="1148" t="s">
        <v>7745</v>
      </c>
      <c r="L38" s="1146" t="s">
        <v>7762</v>
      </c>
      <c r="M38" s="1146" t="s">
        <v>907</v>
      </c>
      <c r="N38" s="1146" t="s">
        <v>6657</v>
      </c>
      <c r="O38" s="1146" t="s">
        <v>7739</v>
      </c>
      <c r="P38" s="1146"/>
      <c r="Q38" s="1083">
        <v>50</v>
      </c>
      <c r="S38" s="1112">
        <f t="shared" si="2"/>
        <v>45749</v>
      </c>
      <c r="T38" s="1112">
        <v>45761</v>
      </c>
      <c r="U38" s="1112" t="s">
        <v>7779</v>
      </c>
      <c r="V38" s="1084">
        <f t="shared" si="3"/>
        <v>45806</v>
      </c>
      <c r="W38" s="1083">
        <v>50</v>
      </c>
      <c r="X38" s="1112">
        <v>45797</v>
      </c>
      <c r="Y38" s="1137">
        <f t="shared" si="4"/>
        <v>0</v>
      </c>
    </row>
    <row r="39" spans="1:25" x14ac:dyDescent="0.45">
      <c r="A39" s="1088">
        <v>38</v>
      </c>
      <c r="B39" s="1088" t="str">
        <f t="shared" si="0"/>
        <v>Missing in D</v>
      </c>
      <c r="C39" s="1088" t="str">
        <f t="shared" si="5"/>
        <v>Missing in E</v>
      </c>
      <c r="E39" s="1146" t="s">
        <v>6659</v>
      </c>
      <c r="F39" s="1146" t="s">
        <v>7736</v>
      </c>
      <c r="G39" s="1146" t="s">
        <v>681</v>
      </c>
      <c r="H39" s="1147" t="s">
        <v>7773</v>
      </c>
      <c r="I39" s="1147" t="s">
        <v>7773</v>
      </c>
      <c r="J39" s="1148" t="s">
        <v>7778</v>
      </c>
      <c r="K39" s="1148" t="s">
        <v>7745</v>
      </c>
      <c r="L39" s="1146" t="s">
        <v>7762</v>
      </c>
      <c r="M39" s="1146" t="s">
        <v>591</v>
      </c>
      <c r="N39" s="1146" t="s">
        <v>6319</v>
      </c>
      <c r="O39" s="1146" t="s">
        <v>7739</v>
      </c>
      <c r="P39" s="1146"/>
      <c r="Q39" s="1083">
        <v>50</v>
      </c>
      <c r="S39" s="1112">
        <f t="shared" si="2"/>
        <v>45749</v>
      </c>
      <c r="T39" s="1112">
        <v>45761</v>
      </c>
      <c r="U39" s="1112" t="s">
        <v>7779</v>
      </c>
      <c r="V39" s="1084">
        <f t="shared" si="3"/>
        <v>45806</v>
      </c>
      <c r="W39" s="1083">
        <v>50</v>
      </c>
      <c r="X39" s="1112">
        <v>45797</v>
      </c>
      <c r="Y39" s="1137">
        <f t="shared" si="4"/>
        <v>0</v>
      </c>
    </row>
    <row r="40" spans="1:25" x14ac:dyDescent="0.45">
      <c r="A40" s="1088">
        <v>39</v>
      </c>
      <c r="B40" s="1088" t="str">
        <f t="shared" si="0"/>
        <v>Missing in D</v>
      </c>
      <c r="C40" s="1088" t="str">
        <f t="shared" si="5"/>
        <v>Missing in E</v>
      </c>
      <c r="E40" s="1146" t="s">
        <v>6660</v>
      </c>
      <c r="F40" s="1146" t="s">
        <v>7736</v>
      </c>
      <c r="G40" s="1146" t="s">
        <v>681</v>
      </c>
      <c r="H40" s="1147" t="s">
        <v>7773</v>
      </c>
      <c r="I40" s="1147" t="s">
        <v>7773</v>
      </c>
      <c r="J40" s="1148" t="s">
        <v>7778</v>
      </c>
      <c r="K40" s="1148" t="s">
        <v>7745</v>
      </c>
      <c r="L40" s="1146" t="s">
        <v>7762</v>
      </c>
      <c r="M40" s="1146" t="s">
        <v>928</v>
      </c>
      <c r="N40" s="1146" t="s">
        <v>6661</v>
      </c>
      <c r="O40" s="1146" t="s">
        <v>7739</v>
      </c>
      <c r="P40" s="1146"/>
      <c r="Q40" s="1136">
        <v>50</v>
      </c>
      <c r="S40" s="1112">
        <f t="shared" si="2"/>
        <v>45749</v>
      </c>
      <c r="T40" s="1112">
        <v>45761</v>
      </c>
      <c r="U40" s="1112" t="s">
        <v>7779</v>
      </c>
      <c r="V40" s="1084">
        <f t="shared" si="3"/>
        <v>45806</v>
      </c>
      <c r="W40" s="1136">
        <v>50</v>
      </c>
      <c r="X40" s="1112">
        <v>45797</v>
      </c>
      <c r="Y40" s="1137">
        <f t="shared" si="4"/>
        <v>0</v>
      </c>
    </row>
    <row r="41" spans="1:25" x14ac:dyDescent="0.45">
      <c r="A41" s="1088">
        <v>40</v>
      </c>
      <c r="B41" s="1088" t="str">
        <f t="shared" si="0"/>
        <v>Missing in D</v>
      </c>
      <c r="C41" s="1088" t="str">
        <f t="shared" si="5"/>
        <v>Missing in E</v>
      </c>
      <c r="E41" s="1146" t="s">
        <v>6663</v>
      </c>
      <c r="F41" s="1146" t="s">
        <v>7736</v>
      </c>
      <c r="G41" s="1146" t="s">
        <v>681</v>
      </c>
      <c r="H41" s="1147" t="s">
        <v>7773</v>
      </c>
      <c r="I41" s="1147" t="s">
        <v>7773</v>
      </c>
      <c r="J41" s="1148" t="s">
        <v>7778</v>
      </c>
      <c r="K41" s="1148" t="s">
        <v>7745</v>
      </c>
      <c r="L41" s="1146" t="s">
        <v>7762</v>
      </c>
      <c r="M41" s="1146" t="s">
        <v>390</v>
      </c>
      <c r="N41" s="1146" t="s">
        <v>6664</v>
      </c>
      <c r="O41" s="1146" t="s">
        <v>7739</v>
      </c>
      <c r="P41" s="1146"/>
      <c r="Q41" s="1136">
        <v>50</v>
      </c>
      <c r="S41" s="1112">
        <f t="shared" si="2"/>
        <v>45749</v>
      </c>
      <c r="T41" s="1112">
        <v>45761</v>
      </c>
      <c r="U41" s="1112" t="s">
        <v>7779</v>
      </c>
      <c r="V41" s="1084">
        <f t="shared" si="3"/>
        <v>45806</v>
      </c>
      <c r="W41" s="1136">
        <v>50</v>
      </c>
      <c r="X41" s="1112">
        <v>45797</v>
      </c>
      <c r="Y41" s="1137">
        <f t="shared" si="4"/>
        <v>0</v>
      </c>
    </row>
    <row r="42" spans="1:25" x14ac:dyDescent="0.45">
      <c r="A42" s="1088">
        <v>41</v>
      </c>
      <c r="B42" s="1088" t="str">
        <f t="shared" si="0"/>
        <v>Missing in D</v>
      </c>
      <c r="C42" s="1088" t="str">
        <f t="shared" si="5"/>
        <v>Missing in E</v>
      </c>
      <c r="E42" s="1146" t="s">
        <v>6669</v>
      </c>
      <c r="F42" s="1146" t="s">
        <v>7736</v>
      </c>
      <c r="G42" s="1146" t="s">
        <v>681</v>
      </c>
      <c r="H42" s="1147" t="s">
        <v>7773</v>
      </c>
      <c r="I42" s="1147" t="s">
        <v>7773</v>
      </c>
      <c r="J42" s="1148" t="s">
        <v>7778</v>
      </c>
      <c r="K42" s="1148" t="s">
        <v>7745</v>
      </c>
      <c r="L42" s="1146" t="s">
        <v>7762</v>
      </c>
      <c r="M42" s="1146" t="s">
        <v>929</v>
      </c>
      <c r="N42" s="1146" t="s">
        <v>6670</v>
      </c>
      <c r="O42" s="1146" t="s">
        <v>7739</v>
      </c>
      <c r="P42" s="1146"/>
      <c r="Q42" s="1136">
        <v>50</v>
      </c>
      <c r="S42" s="1112">
        <f t="shared" si="2"/>
        <v>45749</v>
      </c>
      <c r="T42" s="1112">
        <v>45761</v>
      </c>
      <c r="U42" s="1112" t="s">
        <v>7779</v>
      </c>
      <c r="V42" s="1084">
        <f t="shared" si="3"/>
        <v>45806</v>
      </c>
      <c r="W42" s="1136">
        <v>50</v>
      </c>
      <c r="X42" s="1112">
        <v>45797</v>
      </c>
      <c r="Y42" s="1137">
        <f t="shared" si="4"/>
        <v>0</v>
      </c>
    </row>
    <row r="43" spans="1:25" x14ac:dyDescent="0.45">
      <c r="A43" s="1088">
        <v>42</v>
      </c>
      <c r="B43" s="1088" t="str">
        <f t="shared" si="0"/>
        <v>Missing in D</v>
      </c>
      <c r="C43" s="1088" t="str">
        <f t="shared" si="5"/>
        <v>Missing in E</v>
      </c>
      <c r="E43" s="1146" t="s">
        <v>6666</v>
      </c>
      <c r="F43" s="1146" t="s">
        <v>7736</v>
      </c>
      <c r="G43" s="1146" t="s">
        <v>681</v>
      </c>
      <c r="H43" s="1147" t="s">
        <v>7773</v>
      </c>
      <c r="I43" s="1147" t="s">
        <v>7773</v>
      </c>
      <c r="J43" s="1148" t="s">
        <v>7778</v>
      </c>
      <c r="K43" s="1148" t="s">
        <v>7745</v>
      </c>
      <c r="L43" s="1146" t="s">
        <v>7762</v>
      </c>
      <c r="M43" s="1146" t="s">
        <v>895</v>
      </c>
      <c r="N43" s="1146" t="s">
        <v>6667</v>
      </c>
      <c r="O43" s="1146" t="s">
        <v>7739</v>
      </c>
      <c r="P43" s="1146"/>
      <c r="Q43" s="1136">
        <v>50</v>
      </c>
      <c r="S43" s="1112">
        <f t="shared" si="2"/>
        <v>45749</v>
      </c>
      <c r="T43" s="1112">
        <v>45761</v>
      </c>
      <c r="U43" s="1112" t="s">
        <v>7779</v>
      </c>
      <c r="V43" s="1084">
        <f t="shared" si="3"/>
        <v>45806</v>
      </c>
      <c r="W43" s="1136">
        <v>50</v>
      </c>
      <c r="X43" s="1112">
        <v>45797</v>
      </c>
      <c r="Y43" s="1137">
        <f t="shared" si="4"/>
        <v>0</v>
      </c>
    </row>
    <row r="44" spans="1:25" x14ac:dyDescent="0.45">
      <c r="A44" s="1088">
        <v>43</v>
      </c>
      <c r="B44" s="1088" t="str">
        <f t="shared" si="0"/>
        <v>Missing in D</v>
      </c>
      <c r="C44" s="1088" t="str">
        <f t="shared" si="5"/>
        <v>Missing in E</v>
      </c>
      <c r="E44" s="1146" t="s">
        <v>6671</v>
      </c>
      <c r="F44" s="1146" t="s">
        <v>7736</v>
      </c>
      <c r="G44" s="1146" t="s">
        <v>681</v>
      </c>
      <c r="H44" s="1147" t="s">
        <v>7773</v>
      </c>
      <c r="I44" s="1147" t="s">
        <v>7773</v>
      </c>
      <c r="J44" s="1148" t="s">
        <v>7778</v>
      </c>
      <c r="K44" s="1148" t="s">
        <v>7745</v>
      </c>
      <c r="L44" s="1146" t="s">
        <v>7762</v>
      </c>
      <c r="M44" s="1146" t="s">
        <v>930</v>
      </c>
      <c r="N44" s="1146" t="s">
        <v>6520</v>
      </c>
      <c r="O44" s="1146" t="s">
        <v>7739</v>
      </c>
      <c r="P44" s="1146"/>
      <c r="Q44" s="1136">
        <v>50</v>
      </c>
      <c r="S44" s="1112">
        <f t="shared" si="2"/>
        <v>45749</v>
      </c>
      <c r="T44" s="1112">
        <v>45761</v>
      </c>
      <c r="U44" s="1112" t="s">
        <v>7779</v>
      </c>
      <c r="V44" s="1084">
        <f t="shared" si="3"/>
        <v>45806</v>
      </c>
      <c r="W44" s="1136">
        <v>50</v>
      </c>
      <c r="X44" s="1112">
        <v>45797</v>
      </c>
      <c r="Y44" s="1137">
        <f t="shared" si="4"/>
        <v>0</v>
      </c>
    </row>
    <row r="45" spans="1:25" x14ac:dyDescent="0.45">
      <c r="A45" s="1088">
        <v>44</v>
      </c>
      <c r="B45" s="1088" t="str">
        <f t="shared" si="0"/>
        <v>Missing in D</v>
      </c>
      <c r="C45" s="1088" t="str">
        <f t="shared" si="5"/>
        <v>Missing in E</v>
      </c>
      <c r="E45" s="1146" t="s">
        <v>7780</v>
      </c>
      <c r="F45" s="1146" t="s">
        <v>7736</v>
      </c>
      <c r="G45" s="1146" t="s">
        <v>817</v>
      </c>
      <c r="H45" s="1147" t="s">
        <v>7781</v>
      </c>
      <c r="I45" s="1147" t="s">
        <v>7781</v>
      </c>
      <c r="J45" s="1148" t="s">
        <v>7782</v>
      </c>
      <c r="K45" s="1148" t="s">
        <v>7783</v>
      </c>
      <c r="L45" s="1146" t="s">
        <v>7762</v>
      </c>
      <c r="M45" s="1146" t="s">
        <v>387</v>
      </c>
      <c r="N45" s="1146" t="s">
        <v>7376</v>
      </c>
      <c r="O45" s="1146" t="s">
        <v>7739</v>
      </c>
      <c r="P45" s="1146"/>
      <c r="Q45" s="1136">
        <v>120</v>
      </c>
      <c r="S45" s="1112">
        <f t="shared" si="2"/>
        <v>45750</v>
      </c>
      <c r="T45" s="1112">
        <v>45762</v>
      </c>
      <c r="U45" s="1112" t="s">
        <v>7784</v>
      </c>
      <c r="V45" s="1084">
        <f t="shared" si="3"/>
        <v>45807</v>
      </c>
      <c r="W45" s="1076">
        <v>120</v>
      </c>
      <c r="X45" s="1112">
        <v>45797</v>
      </c>
      <c r="Y45" s="1137">
        <f t="shared" si="4"/>
        <v>0</v>
      </c>
    </row>
    <row r="46" spans="1:25" x14ac:dyDescent="0.45">
      <c r="A46" s="1088">
        <v>45</v>
      </c>
      <c r="B46" s="1088" t="str">
        <f t="shared" si="0"/>
        <v>Missing in D</v>
      </c>
      <c r="C46" s="1088" t="str">
        <f t="shared" si="5"/>
        <v>Missing in E</v>
      </c>
      <c r="E46" s="1146" t="s">
        <v>7785</v>
      </c>
      <c r="F46" s="1146" t="s">
        <v>7736</v>
      </c>
      <c r="G46" s="1146" t="s">
        <v>817</v>
      </c>
      <c r="H46" s="1147" t="s">
        <v>7781</v>
      </c>
      <c r="I46" s="1147" t="s">
        <v>7786</v>
      </c>
      <c r="J46" s="1148" t="s">
        <v>7770</v>
      </c>
      <c r="K46" s="1148" t="s">
        <v>7787</v>
      </c>
      <c r="L46" s="1146" t="s">
        <v>7762</v>
      </c>
      <c r="M46" s="1146" t="s">
        <v>393</v>
      </c>
      <c r="N46" s="1146" t="s">
        <v>7414</v>
      </c>
      <c r="O46" s="1146" t="s">
        <v>7739</v>
      </c>
      <c r="P46" s="1146"/>
      <c r="Q46" s="1136">
        <v>120</v>
      </c>
      <c r="S46" s="1112">
        <f t="shared" si="2"/>
        <v>45750</v>
      </c>
      <c r="T46" s="1112">
        <v>45762</v>
      </c>
      <c r="U46" s="1112" t="s">
        <v>7788</v>
      </c>
      <c r="V46" s="1084">
        <f t="shared" si="3"/>
        <v>45807</v>
      </c>
      <c r="W46" s="1076">
        <v>120</v>
      </c>
      <c r="X46" s="1112">
        <v>45797</v>
      </c>
      <c r="Y46" s="1137">
        <f t="shared" si="4"/>
        <v>0</v>
      </c>
    </row>
    <row r="47" spans="1:25" x14ac:dyDescent="0.45">
      <c r="A47" s="1088">
        <v>46</v>
      </c>
      <c r="B47" s="1088" t="str">
        <f t="shared" si="0"/>
        <v>Missing in D</v>
      </c>
      <c r="C47" s="1088" t="str">
        <f t="shared" si="5"/>
        <v>Missing in E</v>
      </c>
      <c r="E47" s="1146" t="s">
        <v>7789</v>
      </c>
      <c r="F47" s="1146" t="s">
        <v>7736</v>
      </c>
      <c r="G47" s="1146" t="s">
        <v>820</v>
      </c>
      <c r="H47" s="1147" t="s">
        <v>7790</v>
      </c>
      <c r="I47" s="1147" t="s">
        <v>7790</v>
      </c>
      <c r="J47" s="1148" t="s">
        <v>7791</v>
      </c>
      <c r="K47" s="1148" t="s">
        <v>7792</v>
      </c>
      <c r="L47" s="1146" t="s">
        <v>7762</v>
      </c>
      <c r="M47" s="1146" t="s">
        <v>919</v>
      </c>
      <c r="N47" s="1146" t="s">
        <v>7686</v>
      </c>
      <c r="O47" s="1146" t="s">
        <v>7739</v>
      </c>
      <c r="P47" s="1146"/>
      <c r="Q47" s="1083">
        <v>65</v>
      </c>
      <c r="S47" s="1112">
        <f t="shared" si="2"/>
        <v>45751</v>
      </c>
      <c r="T47" s="1112">
        <v>45763</v>
      </c>
      <c r="U47" s="1112" t="s">
        <v>7793</v>
      </c>
      <c r="V47" s="1084">
        <f t="shared" si="3"/>
        <v>45808</v>
      </c>
      <c r="W47" s="1076">
        <v>65</v>
      </c>
      <c r="X47" s="1112">
        <v>45797</v>
      </c>
      <c r="Y47" s="1137">
        <f t="shared" si="4"/>
        <v>0</v>
      </c>
    </row>
    <row r="48" spans="1:25" x14ac:dyDescent="0.45">
      <c r="A48" s="1088">
        <v>47</v>
      </c>
      <c r="B48" s="1088" t="str">
        <f t="shared" si="0"/>
        <v>Missing in D</v>
      </c>
      <c r="C48" s="1088" t="str">
        <f t="shared" si="5"/>
        <v>Missing in E</v>
      </c>
      <c r="E48" s="1146" t="s">
        <v>6264</v>
      </c>
      <c r="F48" s="1146" t="s">
        <v>7736</v>
      </c>
      <c r="G48" s="1146" t="s">
        <v>580</v>
      </c>
      <c r="H48" s="1147" t="s">
        <v>7790</v>
      </c>
      <c r="I48" s="1147" t="s">
        <v>7794</v>
      </c>
      <c r="J48" s="1148" t="s">
        <v>7778</v>
      </c>
      <c r="K48" s="1148" t="s">
        <v>7745</v>
      </c>
      <c r="L48" s="1146" t="s">
        <v>7762</v>
      </c>
      <c r="M48" s="1146" t="s">
        <v>931</v>
      </c>
      <c r="N48" s="1146" t="s">
        <v>6267</v>
      </c>
      <c r="O48" s="1146" t="s">
        <v>7739</v>
      </c>
      <c r="P48" s="1146"/>
      <c r="Q48" s="1083">
        <v>150</v>
      </c>
      <c r="S48" s="1112">
        <f t="shared" si="2"/>
        <v>45751</v>
      </c>
      <c r="T48" s="1112">
        <v>45763</v>
      </c>
      <c r="U48" s="1112" t="s">
        <v>7795</v>
      </c>
      <c r="V48" s="1084">
        <f t="shared" si="3"/>
        <v>45808</v>
      </c>
      <c r="W48" s="1076">
        <v>150</v>
      </c>
      <c r="X48" s="1112">
        <v>45797</v>
      </c>
      <c r="Y48" s="1137">
        <f t="shared" si="4"/>
        <v>0</v>
      </c>
    </row>
    <row r="49" spans="1:25" x14ac:dyDescent="0.45">
      <c r="A49" s="1088">
        <v>48</v>
      </c>
      <c r="B49" s="1088" t="str">
        <f t="shared" si="0"/>
        <v>Missing in D</v>
      </c>
      <c r="C49" s="1088" t="str">
        <f t="shared" si="5"/>
        <v>Missing in E</v>
      </c>
      <c r="E49" s="1146" t="s">
        <v>6260</v>
      </c>
      <c r="F49" s="1146" t="s">
        <v>7736</v>
      </c>
      <c r="G49" s="1146" t="s">
        <v>580</v>
      </c>
      <c r="H49" s="1147" t="s">
        <v>7790</v>
      </c>
      <c r="I49" s="1147" t="s">
        <v>7794</v>
      </c>
      <c r="J49" s="1148" t="s">
        <v>7778</v>
      </c>
      <c r="K49" s="1148" t="s">
        <v>7745</v>
      </c>
      <c r="L49" s="1146" t="s">
        <v>7762</v>
      </c>
      <c r="M49" s="1146" t="s">
        <v>932</v>
      </c>
      <c r="N49" s="1146" t="s">
        <v>6263</v>
      </c>
      <c r="O49" s="1146" t="s">
        <v>7739</v>
      </c>
      <c r="P49" s="1146"/>
      <c r="Q49" s="1083">
        <v>150</v>
      </c>
      <c r="S49" s="1112">
        <f t="shared" si="2"/>
        <v>45751</v>
      </c>
      <c r="T49" s="1112">
        <v>45763</v>
      </c>
      <c r="U49" s="1112" t="s">
        <v>7795</v>
      </c>
      <c r="V49" s="1084">
        <f t="shared" si="3"/>
        <v>45808</v>
      </c>
      <c r="W49" s="1076">
        <v>150</v>
      </c>
      <c r="X49" s="1112">
        <v>45797</v>
      </c>
      <c r="Y49" s="1137">
        <f t="shared" si="4"/>
        <v>0</v>
      </c>
    </row>
    <row r="50" spans="1:25" x14ac:dyDescent="0.45">
      <c r="A50" s="1088">
        <v>49</v>
      </c>
      <c r="B50" s="1088" t="str">
        <f t="shared" si="0"/>
        <v>Missing in D</v>
      </c>
      <c r="C50" s="1088" t="str">
        <f t="shared" si="5"/>
        <v>Missing in E</v>
      </c>
      <c r="E50" s="1146" t="s">
        <v>6268</v>
      </c>
      <c r="F50" s="1146" t="s">
        <v>7736</v>
      </c>
      <c r="G50" s="1146" t="s">
        <v>580</v>
      </c>
      <c r="H50" s="1147" t="s">
        <v>7790</v>
      </c>
      <c r="I50" s="1147" t="s">
        <v>7794</v>
      </c>
      <c r="J50" s="1148" t="s">
        <v>7778</v>
      </c>
      <c r="K50" s="1148" t="s">
        <v>7745</v>
      </c>
      <c r="L50" s="1146" t="s">
        <v>7762</v>
      </c>
      <c r="M50" s="1146" t="s">
        <v>933</v>
      </c>
      <c r="N50" s="1146" t="s">
        <v>6269</v>
      </c>
      <c r="O50" s="1146" t="s">
        <v>7739</v>
      </c>
      <c r="P50" s="1146"/>
      <c r="Q50" s="1083">
        <v>150</v>
      </c>
      <c r="S50" s="1112">
        <f t="shared" si="2"/>
        <v>45751</v>
      </c>
      <c r="T50" s="1112">
        <v>45763</v>
      </c>
      <c r="U50" s="1112" t="s">
        <v>7795</v>
      </c>
      <c r="V50" s="1084">
        <f t="shared" si="3"/>
        <v>45808</v>
      </c>
      <c r="W50" s="1076">
        <v>150</v>
      </c>
      <c r="X50" s="1112">
        <v>45797</v>
      </c>
      <c r="Y50" s="1137">
        <f t="shared" si="4"/>
        <v>0</v>
      </c>
    </row>
    <row r="51" spans="1:25" x14ac:dyDescent="0.45">
      <c r="A51" s="1088">
        <v>50</v>
      </c>
      <c r="B51" s="1088" t="str">
        <f t="shared" si="0"/>
        <v>Missing in D</v>
      </c>
      <c r="C51" s="1088" t="str">
        <f t="shared" si="5"/>
        <v>Missing in E</v>
      </c>
      <c r="E51" s="1146" t="s">
        <v>6736</v>
      </c>
      <c r="F51" s="1146" t="s">
        <v>7736</v>
      </c>
      <c r="G51" s="1146" t="s">
        <v>7796</v>
      </c>
      <c r="H51" s="1147" t="s">
        <v>7797</v>
      </c>
      <c r="I51" s="1147" t="s">
        <v>7797</v>
      </c>
      <c r="J51" s="1148" t="s">
        <v>7798</v>
      </c>
      <c r="K51" s="1148" t="s">
        <v>7799</v>
      </c>
      <c r="L51" s="1146" t="s">
        <v>7800</v>
      </c>
      <c r="M51" s="1146" t="s">
        <v>902</v>
      </c>
      <c r="N51" s="1146" t="s">
        <v>6737</v>
      </c>
      <c r="O51" s="1146" t="s">
        <v>7739</v>
      </c>
      <c r="P51" s="1146"/>
      <c r="Q51" s="1136">
        <v>99</v>
      </c>
      <c r="S51" s="1112">
        <f t="shared" si="2"/>
        <v>45752</v>
      </c>
      <c r="T51" s="1112">
        <v>45773</v>
      </c>
      <c r="U51" s="1112"/>
      <c r="V51" s="1084">
        <f t="shared" si="3"/>
        <v>45809</v>
      </c>
      <c r="W51" s="1136">
        <v>99</v>
      </c>
      <c r="X51" s="1112">
        <v>45818</v>
      </c>
      <c r="Y51" s="1137">
        <f t="shared" si="4"/>
        <v>0</v>
      </c>
    </row>
    <row r="52" spans="1:25" x14ac:dyDescent="0.45">
      <c r="A52" s="1088">
        <v>51</v>
      </c>
      <c r="B52" s="1088" t="str">
        <f t="shared" si="0"/>
        <v>Missing in D</v>
      </c>
      <c r="C52" s="1088" t="str">
        <f t="shared" si="5"/>
        <v>Missing in E</v>
      </c>
      <c r="E52" s="1146" t="s">
        <v>6839</v>
      </c>
      <c r="F52" s="1146" t="s">
        <v>7736</v>
      </c>
      <c r="G52" s="1146" t="s">
        <v>7796</v>
      </c>
      <c r="H52" s="1147" t="s">
        <v>7801</v>
      </c>
      <c r="I52" s="1147" t="s">
        <v>7801</v>
      </c>
      <c r="J52" s="1148" t="s">
        <v>7798</v>
      </c>
      <c r="K52" s="1148" t="s">
        <v>7799</v>
      </c>
      <c r="L52" s="1146" t="s">
        <v>7800</v>
      </c>
      <c r="M52" s="1146" t="s">
        <v>730</v>
      </c>
      <c r="N52" s="1146" t="s">
        <v>6840</v>
      </c>
      <c r="O52" s="1146" t="s">
        <v>7739</v>
      </c>
      <c r="P52" s="1146"/>
      <c r="Q52" s="1083">
        <v>99</v>
      </c>
      <c r="S52" s="1112">
        <f t="shared" si="2"/>
        <v>45753</v>
      </c>
      <c r="T52" s="1112">
        <v>45773</v>
      </c>
      <c r="U52" s="1112"/>
      <c r="V52" s="1084">
        <f t="shared" si="3"/>
        <v>45810</v>
      </c>
      <c r="W52" s="1083">
        <v>99</v>
      </c>
      <c r="X52" s="1112">
        <v>45818</v>
      </c>
      <c r="Y52" s="1137">
        <f t="shared" si="4"/>
        <v>0</v>
      </c>
    </row>
    <row r="53" spans="1:25" x14ac:dyDescent="0.45">
      <c r="A53" s="1088">
        <v>52</v>
      </c>
      <c r="B53" s="1088" t="str">
        <f t="shared" si="0"/>
        <v>Missing in D</v>
      </c>
      <c r="C53" s="1088" t="str">
        <f t="shared" si="5"/>
        <v>Missing in E</v>
      </c>
      <c r="E53" s="1146" t="s">
        <v>6673</v>
      </c>
      <c r="F53" s="1146" t="s">
        <v>7736</v>
      </c>
      <c r="G53" s="1146" t="s">
        <v>7802</v>
      </c>
      <c r="H53" s="1147" t="s">
        <v>7803</v>
      </c>
      <c r="I53" s="1147" t="s">
        <v>7803</v>
      </c>
      <c r="J53" s="1148" t="s">
        <v>7798</v>
      </c>
      <c r="K53" s="1148" t="s">
        <v>7804</v>
      </c>
      <c r="L53" s="1146" t="s">
        <v>7800</v>
      </c>
      <c r="M53" s="1146" t="s">
        <v>903</v>
      </c>
      <c r="N53" s="1146" t="s">
        <v>6674</v>
      </c>
      <c r="O53" s="1146" t="s">
        <v>7739</v>
      </c>
      <c r="P53" s="1146"/>
      <c r="Q53" s="1083">
        <v>150</v>
      </c>
      <c r="S53" s="1112">
        <f t="shared" si="2"/>
        <v>45754</v>
      </c>
      <c r="T53" s="1112">
        <v>45773</v>
      </c>
      <c r="U53" s="1112"/>
      <c r="V53" s="1084">
        <f t="shared" si="3"/>
        <v>45811</v>
      </c>
      <c r="W53" s="1083">
        <v>150</v>
      </c>
      <c r="X53" s="1112">
        <v>45818</v>
      </c>
      <c r="Y53" s="1137">
        <f t="shared" si="4"/>
        <v>0</v>
      </c>
    </row>
    <row r="54" spans="1:25" x14ac:dyDescent="0.45">
      <c r="A54" s="1088">
        <v>53</v>
      </c>
      <c r="B54" s="1088" t="str">
        <f t="shared" si="0"/>
        <v>Missing in D</v>
      </c>
      <c r="C54" s="1088" t="str">
        <f t="shared" si="5"/>
        <v>Missing in E</v>
      </c>
      <c r="E54" s="1146" t="s">
        <v>6686</v>
      </c>
      <c r="F54" s="1146" t="s">
        <v>7736</v>
      </c>
      <c r="G54" s="1146" t="s">
        <v>7802</v>
      </c>
      <c r="H54" s="1147" t="s">
        <v>7803</v>
      </c>
      <c r="I54" s="1147" t="s">
        <v>7803</v>
      </c>
      <c r="J54" s="1148" t="s">
        <v>7798</v>
      </c>
      <c r="K54" s="1148" t="s">
        <v>7804</v>
      </c>
      <c r="L54" s="1146" t="s">
        <v>7800</v>
      </c>
      <c r="M54" s="1146" t="s">
        <v>904</v>
      </c>
      <c r="N54" s="1146" t="s">
        <v>6687</v>
      </c>
      <c r="O54" s="1146" t="s">
        <v>7739</v>
      </c>
      <c r="P54" s="1146"/>
      <c r="Q54" s="1083">
        <v>150</v>
      </c>
      <c r="S54" s="1112">
        <f t="shared" si="2"/>
        <v>45754</v>
      </c>
      <c r="T54" s="1112">
        <v>45773</v>
      </c>
      <c r="U54" s="1112"/>
      <c r="V54" s="1084">
        <f t="shared" si="3"/>
        <v>45811</v>
      </c>
      <c r="W54" s="1083">
        <v>150</v>
      </c>
      <c r="X54" s="1112">
        <v>45818</v>
      </c>
      <c r="Y54" s="1137">
        <f t="shared" si="4"/>
        <v>0</v>
      </c>
    </row>
    <row r="55" spans="1:25" x14ac:dyDescent="0.45">
      <c r="A55" s="1088">
        <v>54</v>
      </c>
      <c r="B55" s="1088" t="str">
        <f t="shared" si="0"/>
        <v>Missing in D</v>
      </c>
      <c r="C55" s="1088" t="str">
        <f t="shared" si="5"/>
        <v>Missing in E</v>
      </c>
      <c r="E55" s="1146" t="s">
        <v>6689</v>
      </c>
      <c r="F55" s="1146" t="s">
        <v>7736</v>
      </c>
      <c r="G55" s="1146" t="s">
        <v>7802</v>
      </c>
      <c r="H55" s="1147" t="s">
        <v>7803</v>
      </c>
      <c r="I55" s="1147" t="s">
        <v>7803</v>
      </c>
      <c r="J55" s="1148" t="s">
        <v>7798</v>
      </c>
      <c r="K55" s="1148" t="s">
        <v>7804</v>
      </c>
      <c r="L55" s="1146" t="s">
        <v>7800</v>
      </c>
      <c r="M55" s="1146" t="s">
        <v>905</v>
      </c>
      <c r="N55" s="1146" t="s">
        <v>6690</v>
      </c>
      <c r="O55" s="1146" t="s">
        <v>7739</v>
      </c>
      <c r="P55" s="1146"/>
      <c r="Q55" s="1083">
        <v>150</v>
      </c>
      <c r="S55" s="1112">
        <f t="shared" si="2"/>
        <v>45754</v>
      </c>
      <c r="T55" s="1112">
        <v>45773</v>
      </c>
      <c r="U55" s="1112"/>
      <c r="V55" s="1084">
        <f t="shared" si="3"/>
        <v>45811</v>
      </c>
      <c r="W55" s="1083">
        <v>150</v>
      </c>
      <c r="X55" s="1112">
        <v>45818</v>
      </c>
      <c r="Y55" s="1137">
        <f t="shared" si="4"/>
        <v>0</v>
      </c>
    </row>
    <row r="56" spans="1:25" x14ac:dyDescent="0.45">
      <c r="A56" s="1088">
        <v>55</v>
      </c>
      <c r="B56" s="1088" t="str">
        <f t="shared" si="0"/>
        <v>Missing in D</v>
      </c>
      <c r="C56" s="1088" t="str">
        <f t="shared" si="5"/>
        <v>Missing in E</v>
      </c>
      <c r="E56" s="1146" t="s">
        <v>6836</v>
      </c>
      <c r="F56" s="1146" t="s">
        <v>7736</v>
      </c>
      <c r="G56" s="1146" t="s">
        <v>7796</v>
      </c>
      <c r="H56" s="1147" t="s">
        <v>7803</v>
      </c>
      <c r="I56" s="1147" t="s">
        <v>7803</v>
      </c>
      <c r="J56" s="1148" t="s">
        <v>7798</v>
      </c>
      <c r="K56" s="1148" t="s">
        <v>7804</v>
      </c>
      <c r="L56" s="1146" t="s">
        <v>7805</v>
      </c>
      <c r="M56" s="1146" t="s">
        <v>906</v>
      </c>
      <c r="N56" s="1146" t="s">
        <v>6837</v>
      </c>
      <c r="O56" s="1146" t="s">
        <v>7739</v>
      </c>
      <c r="P56" s="1146"/>
      <c r="Q56" s="1136">
        <v>99</v>
      </c>
      <c r="S56" s="1112">
        <f t="shared" si="2"/>
        <v>45754</v>
      </c>
      <c r="T56" s="1112">
        <v>45773</v>
      </c>
      <c r="U56" s="1112"/>
      <c r="V56" s="1084">
        <f t="shared" si="3"/>
        <v>45811</v>
      </c>
      <c r="W56" s="1136">
        <v>99</v>
      </c>
      <c r="X56" s="1112">
        <v>45818</v>
      </c>
      <c r="Y56" s="1137">
        <f t="shared" si="4"/>
        <v>0</v>
      </c>
    </row>
    <row r="57" spans="1:25" x14ac:dyDescent="0.45">
      <c r="A57" s="1088">
        <v>56</v>
      </c>
      <c r="B57" s="1088" t="str">
        <f t="shared" si="0"/>
        <v>Missing in D</v>
      </c>
      <c r="C57" s="1088" t="str">
        <f t="shared" si="5"/>
        <v>Missing in E</v>
      </c>
      <c r="E57" s="1146" t="s">
        <v>6708</v>
      </c>
      <c r="F57" s="1146" t="s">
        <v>7736</v>
      </c>
      <c r="G57" s="1146" t="s">
        <v>7796</v>
      </c>
      <c r="H57" s="1147" t="s">
        <v>7803</v>
      </c>
      <c r="I57" s="1147" t="s">
        <v>7803</v>
      </c>
      <c r="J57" s="1148" t="s">
        <v>7783</v>
      </c>
      <c r="K57" s="1148" t="s">
        <v>7804</v>
      </c>
      <c r="L57" s="1146" t="s">
        <v>7800</v>
      </c>
      <c r="M57" s="1146" t="s">
        <v>907</v>
      </c>
      <c r="N57" s="1146" t="s">
        <v>6657</v>
      </c>
      <c r="O57" s="1146" t="s">
        <v>7739</v>
      </c>
      <c r="P57" s="1146"/>
      <c r="Q57" s="1083">
        <v>99</v>
      </c>
      <c r="S57" s="1112">
        <f t="shared" si="2"/>
        <v>45754</v>
      </c>
      <c r="T57" s="1112">
        <v>45773</v>
      </c>
      <c r="U57" s="1112"/>
      <c r="V57" s="1084">
        <f t="shared" si="3"/>
        <v>45811</v>
      </c>
      <c r="W57" s="1083">
        <v>99</v>
      </c>
      <c r="X57" s="1112">
        <v>45818</v>
      </c>
      <c r="Y57" s="1137">
        <f t="shared" si="4"/>
        <v>0</v>
      </c>
    </row>
    <row r="58" spans="1:25" x14ac:dyDescent="0.45">
      <c r="A58" s="1088">
        <v>57</v>
      </c>
      <c r="B58" s="1088" t="str">
        <f t="shared" si="0"/>
        <v>Missing in D</v>
      </c>
      <c r="C58" s="1088" t="str">
        <f t="shared" si="5"/>
        <v>Missing in E</v>
      </c>
      <c r="E58" s="1146" t="s">
        <v>6709</v>
      </c>
      <c r="F58" s="1146" t="s">
        <v>7736</v>
      </c>
      <c r="G58" s="1146" t="s">
        <v>7796</v>
      </c>
      <c r="H58" s="1147" t="s">
        <v>7803</v>
      </c>
      <c r="I58" s="1147" t="s">
        <v>7803</v>
      </c>
      <c r="J58" s="1148" t="s">
        <v>7783</v>
      </c>
      <c r="K58" s="1148" t="s">
        <v>7804</v>
      </c>
      <c r="L58" s="1146" t="s">
        <v>7800</v>
      </c>
      <c r="M58" s="1146" t="s">
        <v>908</v>
      </c>
      <c r="N58" s="1146" t="s">
        <v>6710</v>
      </c>
      <c r="O58" s="1146" t="s">
        <v>7739</v>
      </c>
      <c r="P58" s="1146"/>
      <c r="Q58" s="1083">
        <v>99</v>
      </c>
      <c r="S58" s="1112">
        <f t="shared" si="2"/>
        <v>45754</v>
      </c>
      <c r="T58" s="1112">
        <v>45773</v>
      </c>
      <c r="U58" s="1112"/>
      <c r="V58" s="1084">
        <f t="shared" si="3"/>
        <v>45811</v>
      </c>
      <c r="W58" s="1083">
        <v>99</v>
      </c>
      <c r="X58" s="1112">
        <v>45818</v>
      </c>
      <c r="Y58" s="1137">
        <f t="shared" si="4"/>
        <v>0</v>
      </c>
    </row>
    <row r="59" spans="1:25" x14ac:dyDescent="0.45">
      <c r="A59" s="1088">
        <v>58</v>
      </c>
      <c r="B59" s="1088" t="str">
        <f t="shared" si="0"/>
        <v>Missing in D</v>
      </c>
      <c r="C59" s="1088" t="str">
        <f t="shared" si="5"/>
        <v>Missing in E</v>
      </c>
      <c r="E59" s="1146" t="s">
        <v>6728</v>
      </c>
      <c r="F59" s="1146" t="s">
        <v>7736</v>
      </c>
      <c r="G59" s="1146" t="s">
        <v>7796</v>
      </c>
      <c r="H59" s="1147" t="s">
        <v>7806</v>
      </c>
      <c r="I59" s="1147" t="s">
        <v>7806</v>
      </c>
      <c r="J59" s="1148" t="s">
        <v>7798</v>
      </c>
      <c r="K59" s="1148" t="s">
        <v>7737</v>
      </c>
      <c r="L59" s="1146" t="s">
        <v>7805</v>
      </c>
      <c r="M59" s="1146" t="s">
        <v>909</v>
      </c>
      <c r="N59" s="1146" t="s">
        <v>6729</v>
      </c>
      <c r="O59" s="1146" t="s">
        <v>7739</v>
      </c>
      <c r="P59" s="1146"/>
      <c r="Q59" s="1136">
        <v>99</v>
      </c>
      <c r="S59" s="1112">
        <f t="shared" si="2"/>
        <v>45755</v>
      </c>
      <c r="T59" s="1112">
        <v>45773</v>
      </c>
      <c r="U59" s="1112"/>
      <c r="V59" s="1084">
        <f t="shared" si="3"/>
        <v>45812</v>
      </c>
      <c r="W59" s="1136">
        <v>99</v>
      </c>
      <c r="X59" s="1112">
        <v>45818</v>
      </c>
      <c r="Y59" s="1137">
        <f t="shared" si="4"/>
        <v>0</v>
      </c>
    </row>
    <row r="60" spans="1:25" x14ac:dyDescent="0.45">
      <c r="A60" s="1088">
        <v>59</v>
      </c>
      <c r="B60" s="1088" t="str">
        <f t="shared" si="0"/>
        <v>Missing in D</v>
      </c>
      <c r="C60" s="1088" t="str">
        <f t="shared" si="5"/>
        <v>Missing in E</v>
      </c>
      <c r="E60" s="1146" t="s">
        <v>6730</v>
      </c>
      <c r="F60" s="1146" t="s">
        <v>7736</v>
      </c>
      <c r="G60" s="1146" t="s">
        <v>7796</v>
      </c>
      <c r="H60" s="1147" t="s">
        <v>7806</v>
      </c>
      <c r="I60" s="1147" t="s">
        <v>7806</v>
      </c>
      <c r="J60" s="1148" t="s">
        <v>7798</v>
      </c>
      <c r="K60" s="1148" t="s">
        <v>7799</v>
      </c>
      <c r="L60" s="1146" t="s">
        <v>7800</v>
      </c>
      <c r="M60" s="1146" t="s">
        <v>910</v>
      </c>
      <c r="N60" s="1146" t="s">
        <v>6731</v>
      </c>
      <c r="O60" s="1146" t="s">
        <v>7739</v>
      </c>
      <c r="P60" s="1146"/>
      <c r="Q60" s="1083">
        <v>99</v>
      </c>
      <c r="R60" s="1076">
        <v>1</v>
      </c>
      <c r="S60" s="1112">
        <f t="shared" si="2"/>
        <v>45755</v>
      </c>
      <c r="T60" s="1112">
        <v>45773</v>
      </c>
      <c r="U60" s="1112"/>
      <c r="V60" s="1084">
        <f t="shared" si="3"/>
        <v>45812</v>
      </c>
      <c r="W60" s="1083">
        <v>99</v>
      </c>
      <c r="X60" s="1112">
        <v>45818</v>
      </c>
      <c r="Y60" s="1137">
        <f t="shared" si="4"/>
        <v>0</v>
      </c>
    </row>
    <row r="61" spans="1:25" x14ac:dyDescent="0.45">
      <c r="A61" s="1088">
        <v>60</v>
      </c>
      <c r="B61" s="1088" t="str">
        <f t="shared" si="0"/>
        <v>Missing in D</v>
      </c>
      <c r="C61" s="1088" t="str">
        <f t="shared" si="5"/>
        <v>Missing in E</v>
      </c>
      <c r="E61" s="1146" t="s">
        <v>6733</v>
      </c>
      <c r="F61" s="1146" t="s">
        <v>7736</v>
      </c>
      <c r="G61" s="1146" t="s">
        <v>7796</v>
      </c>
      <c r="H61" s="1147" t="s">
        <v>7806</v>
      </c>
      <c r="I61" s="1147" t="s">
        <v>7806</v>
      </c>
      <c r="J61" s="1148" t="s">
        <v>7798</v>
      </c>
      <c r="K61" s="1148" t="s">
        <v>7799</v>
      </c>
      <c r="L61" s="1146" t="s">
        <v>7800</v>
      </c>
      <c r="M61" s="1146" t="s">
        <v>650</v>
      </c>
      <c r="N61" s="1146" t="s">
        <v>6734</v>
      </c>
      <c r="O61" s="1146" t="s">
        <v>7739</v>
      </c>
      <c r="P61" s="1146"/>
      <c r="Q61" s="1083">
        <v>99</v>
      </c>
      <c r="S61" s="1112">
        <f t="shared" si="2"/>
        <v>45755</v>
      </c>
      <c r="T61" s="1112">
        <v>45773</v>
      </c>
      <c r="U61" s="1112"/>
      <c r="V61" s="1084">
        <f t="shared" si="3"/>
        <v>45812</v>
      </c>
      <c r="W61" s="1083">
        <v>99</v>
      </c>
      <c r="X61" s="1112">
        <v>45818</v>
      </c>
      <c r="Y61" s="1137">
        <f t="shared" si="4"/>
        <v>0</v>
      </c>
    </row>
    <row r="62" spans="1:25" x14ac:dyDescent="0.45">
      <c r="A62" s="1088">
        <v>61</v>
      </c>
      <c r="B62" s="1088" t="str">
        <f t="shared" si="0"/>
        <v>Missing in D</v>
      </c>
      <c r="C62" s="1088" t="str">
        <f t="shared" si="5"/>
        <v>Missing in E</v>
      </c>
      <c r="E62" s="1146" t="s">
        <v>6739</v>
      </c>
      <c r="F62" s="1146" t="s">
        <v>7736</v>
      </c>
      <c r="G62" s="1146" t="s">
        <v>7802</v>
      </c>
      <c r="H62" s="1147" t="s">
        <v>7807</v>
      </c>
      <c r="I62" s="1147" t="s">
        <v>7807</v>
      </c>
      <c r="J62" s="1148" t="s">
        <v>7798</v>
      </c>
      <c r="K62" s="1148" t="s">
        <v>7804</v>
      </c>
      <c r="L62" s="1146" t="s">
        <v>7800</v>
      </c>
      <c r="M62" s="1146" t="s">
        <v>911</v>
      </c>
      <c r="N62" s="1146" t="s">
        <v>6740</v>
      </c>
      <c r="O62" s="1146" t="s">
        <v>7739</v>
      </c>
      <c r="P62" s="1146"/>
      <c r="Q62" s="1083">
        <v>150</v>
      </c>
      <c r="S62" s="1112">
        <f t="shared" si="2"/>
        <v>45757</v>
      </c>
      <c r="T62" s="1112">
        <v>45773</v>
      </c>
      <c r="U62" s="1112"/>
      <c r="V62" s="1084">
        <f t="shared" si="3"/>
        <v>45814</v>
      </c>
      <c r="W62" s="1083">
        <v>150</v>
      </c>
      <c r="X62" s="1112">
        <v>45818</v>
      </c>
      <c r="Y62" s="1137">
        <f t="shared" si="4"/>
        <v>0</v>
      </c>
    </row>
    <row r="63" spans="1:25" x14ac:dyDescent="0.45">
      <c r="A63" s="1088">
        <v>62</v>
      </c>
      <c r="B63" s="1088" t="str">
        <f t="shared" si="0"/>
        <v>Missing in D</v>
      </c>
      <c r="C63" s="1088" t="str">
        <f t="shared" si="5"/>
        <v>Missing in E</v>
      </c>
      <c r="E63" s="1146" t="s">
        <v>6797</v>
      </c>
      <c r="F63" s="1146" t="s">
        <v>7736</v>
      </c>
      <c r="G63" s="1146" t="s">
        <v>7796</v>
      </c>
      <c r="H63" s="1147" t="s">
        <v>7808</v>
      </c>
      <c r="I63" s="1147" t="s">
        <v>7808</v>
      </c>
      <c r="J63" s="1148" t="s">
        <v>7798</v>
      </c>
      <c r="K63" s="1148" t="s">
        <v>7737</v>
      </c>
      <c r="L63" s="1146" t="s">
        <v>7805</v>
      </c>
      <c r="M63" s="1146" t="s">
        <v>912</v>
      </c>
      <c r="N63" s="1146" t="s">
        <v>6798</v>
      </c>
      <c r="O63" s="1146" t="s">
        <v>7739</v>
      </c>
      <c r="P63" s="1146"/>
      <c r="Q63" s="1083">
        <v>99</v>
      </c>
      <c r="S63" s="1112">
        <f t="shared" si="2"/>
        <v>45758</v>
      </c>
      <c r="T63" s="1112">
        <v>45773</v>
      </c>
      <c r="U63" s="1112"/>
      <c r="V63" s="1084">
        <f t="shared" si="3"/>
        <v>45815</v>
      </c>
      <c r="W63" s="1083">
        <v>99</v>
      </c>
      <c r="X63" s="1112">
        <v>45818</v>
      </c>
      <c r="Y63" s="1137">
        <f t="shared" si="4"/>
        <v>0</v>
      </c>
    </row>
    <row r="64" spans="1:25" x14ac:dyDescent="0.45">
      <c r="A64" s="1088">
        <v>63</v>
      </c>
      <c r="B64" s="1088" t="str">
        <f t="shared" si="0"/>
        <v>Missing in D</v>
      </c>
      <c r="C64" s="1088" t="str">
        <f t="shared" si="5"/>
        <v>Missing in E</v>
      </c>
      <c r="E64" s="1146" t="s">
        <v>6795</v>
      </c>
      <c r="F64" s="1146" t="s">
        <v>7736</v>
      </c>
      <c r="G64" s="1146" t="s">
        <v>7796</v>
      </c>
      <c r="H64" s="1147" t="s">
        <v>7809</v>
      </c>
      <c r="I64" s="1147" t="s">
        <v>7809</v>
      </c>
      <c r="J64" s="1148" t="s">
        <v>7783</v>
      </c>
      <c r="K64" s="1148" t="s">
        <v>7804</v>
      </c>
      <c r="L64" s="1146" t="s">
        <v>7800</v>
      </c>
      <c r="M64" s="1146" t="s">
        <v>913</v>
      </c>
      <c r="N64" s="1146" t="s">
        <v>6796</v>
      </c>
      <c r="O64" s="1146" t="s">
        <v>7739</v>
      </c>
      <c r="P64" s="1146"/>
      <c r="Q64" s="1083">
        <v>99</v>
      </c>
      <c r="S64" s="1112">
        <f t="shared" si="2"/>
        <v>45759</v>
      </c>
      <c r="T64" s="1112">
        <v>45773</v>
      </c>
      <c r="U64" s="1112"/>
      <c r="V64" s="1084">
        <f t="shared" si="3"/>
        <v>45816</v>
      </c>
      <c r="W64" s="1083">
        <v>99</v>
      </c>
      <c r="X64" s="1112">
        <v>45818</v>
      </c>
      <c r="Y64" s="1137">
        <f t="shared" si="4"/>
        <v>0</v>
      </c>
    </row>
    <row r="65" spans="1:25" x14ac:dyDescent="0.45">
      <c r="A65" s="1088">
        <v>64</v>
      </c>
      <c r="B65" s="1088" t="str">
        <f t="shared" si="0"/>
        <v>Missing in D</v>
      </c>
      <c r="C65" s="1088" t="str">
        <f t="shared" si="5"/>
        <v>Missing in E</v>
      </c>
      <c r="E65" s="1146" t="s">
        <v>6821</v>
      </c>
      <c r="F65" s="1146" t="s">
        <v>7736</v>
      </c>
      <c r="G65" s="1146" t="s">
        <v>7796</v>
      </c>
      <c r="H65" s="1147" t="s">
        <v>7810</v>
      </c>
      <c r="I65" s="1147" t="s">
        <v>7810</v>
      </c>
      <c r="J65" s="1148" t="s">
        <v>7798</v>
      </c>
      <c r="K65" s="1148" t="s">
        <v>7737</v>
      </c>
      <c r="L65" s="1146" t="s">
        <v>7762</v>
      </c>
      <c r="M65" s="1146" t="s">
        <v>800</v>
      </c>
      <c r="N65" s="1146" t="s">
        <v>6823</v>
      </c>
      <c r="O65" s="1146" t="s">
        <v>7739</v>
      </c>
      <c r="P65" s="1146"/>
      <c r="Q65" s="1083">
        <v>99</v>
      </c>
      <c r="S65" s="1112">
        <f t="shared" si="2"/>
        <v>45760</v>
      </c>
      <c r="T65" s="1112">
        <v>45773</v>
      </c>
      <c r="U65" s="1112"/>
      <c r="V65" s="1084">
        <f t="shared" si="3"/>
        <v>45817</v>
      </c>
      <c r="W65" s="1083">
        <v>99</v>
      </c>
      <c r="X65" s="1112">
        <v>45818</v>
      </c>
      <c r="Y65" s="1137">
        <f t="shared" si="4"/>
        <v>0</v>
      </c>
    </row>
    <row r="66" spans="1:25" x14ac:dyDescent="0.45">
      <c r="A66" s="1088">
        <v>65</v>
      </c>
      <c r="B66" s="1088" t="str">
        <f t="shared" ref="B66:B129" si="6">IF(COUNTIF(E$2:E$273, D66)=0, "Missing in D", "")</f>
        <v>Missing in D</v>
      </c>
      <c r="C66" s="1088" t="str">
        <f t="shared" ref="C66:C97" si="7">IF(COUNTIF(D$2:D$273, E66)=0, "Missing in E", "")</f>
        <v>Missing in E</v>
      </c>
      <c r="E66" s="1146" t="s">
        <v>6825</v>
      </c>
      <c r="F66" s="1146" t="s">
        <v>7736</v>
      </c>
      <c r="G66" s="1146" t="s">
        <v>7796</v>
      </c>
      <c r="H66" s="1147" t="s">
        <v>7810</v>
      </c>
      <c r="I66" s="1147" t="s">
        <v>7810</v>
      </c>
      <c r="J66" s="1148" t="s">
        <v>7798</v>
      </c>
      <c r="K66" s="1148" t="s">
        <v>7799</v>
      </c>
      <c r="L66" s="1146" t="s">
        <v>7800</v>
      </c>
      <c r="M66" s="1146" t="s">
        <v>841</v>
      </c>
      <c r="N66" s="1146" t="s">
        <v>6826</v>
      </c>
      <c r="O66" s="1146" t="s">
        <v>7739</v>
      </c>
      <c r="P66" s="1146"/>
      <c r="Q66" s="1083">
        <v>99</v>
      </c>
      <c r="S66" s="1112">
        <f t="shared" ref="S66:S129" si="8">H66-12</f>
        <v>45760</v>
      </c>
      <c r="T66" s="1112">
        <v>45773</v>
      </c>
      <c r="U66" s="1112"/>
      <c r="V66" s="1084">
        <f t="shared" ref="V66:V129" si="9">H66+45</f>
        <v>45817</v>
      </c>
      <c r="W66" s="1083">
        <v>99</v>
      </c>
      <c r="X66" s="1112">
        <v>45818</v>
      </c>
      <c r="Y66" s="1137">
        <f t="shared" ref="Y66:Y129" si="10">Q66-W66</f>
        <v>0</v>
      </c>
    </row>
    <row r="67" spans="1:25" x14ac:dyDescent="0.45">
      <c r="A67" s="1088">
        <v>66</v>
      </c>
      <c r="B67" s="1088" t="str">
        <f t="shared" si="6"/>
        <v>Missing in D</v>
      </c>
      <c r="C67" s="1088" t="str">
        <f t="shared" si="7"/>
        <v>Missing in E</v>
      </c>
      <c r="E67" s="1146" t="s">
        <v>6834</v>
      </c>
      <c r="F67" s="1146" t="s">
        <v>7736</v>
      </c>
      <c r="G67" s="1146" t="s">
        <v>7796</v>
      </c>
      <c r="H67" s="1147" t="s">
        <v>7810</v>
      </c>
      <c r="I67" s="1147" t="s">
        <v>7810</v>
      </c>
      <c r="J67" s="1148" t="s">
        <v>7783</v>
      </c>
      <c r="K67" s="1148" t="s">
        <v>7804</v>
      </c>
      <c r="L67" s="1146" t="s">
        <v>7800</v>
      </c>
      <c r="M67" s="1146" t="s">
        <v>914</v>
      </c>
      <c r="N67" s="1146" t="s">
        <v>6835</v>
      </c>
      <c r="O67" s="1146" t="s">
        <v>7739</v>
      </c>
      <c r="P67" s="1146"/>
      <c r="Q67" s="1083">
        <v>99</v>
      </c>
      <c r="S67" s="1112">
        <f t="shared" si="8"/>
        <v>45760</v>
      </c>
      <c r="T67" s="1112">
        <v>45773</v>
      </c>
      <c r="U67" s="1112"/>
      <c r="V67" s="1084">
        <f t="shared" si="9"/>
        <v>45817</v>
      </c>
      <c r="W67" s="1083">
        <v>99</v>
      </c>
      <c r="X67" s="1112">
        <v>45818</v>
      </c>
      <c r="Y67" s="1137">
        <f t="shared" si="10"/>
        <v>0</v>
      </c>
    </row>
    <row r="68" spans="1:25" x14ac:dyDescent="0.45">
      <c r="A68" s="1088">
        <v>67</v>
      </c>
      <c r="B68" s="1088" t="str">
        <f t="shared" si="6"/>
        <v>Missing in D</v>
      </c>
      <c r="C68" s="1088" t="str">
        <f t="shared" si="7"/>
        <v>Missing in E</v>
      </c>
      <c r="E68" s="1146" t="s">
        <v>6275</v>
      </c>
      <c r="F68" s="1146" t="s">
        <v>7736</v>
      </c>
      <c r="G68" s="1146" t="s">
        <v>666</v>
      </c>
      <c r="H68" s="1147" t="s">
        <v>7811</v>
      </c>
      <c r="I68" s="1147" t="s">
        <v>7812</v>
      </c>
      <c r="J68" s="1148" t="s">
        <v>7778</v>
      </c>
      <c r="K68" s="1148" t="s">
        <v>7745</v>
      </c>
      <c r="L68" s="1146" t="s">
        <v>7762</v>
      </c>
      <c r="M68" s="1146" t="s">
        <v>881</v>
      </c>
      <c r="N68" s="1146" t="s">
        <v>6276</v>
      </c>
      <c r="O68" s="1146" t="s">
        <v>7739</v>
      </c>
      <c r="P68" s="1146"/>
      <c r="Q68" s="1083">
        <v>150</v>
      </c>
      <c r="S68" s="1112">
        <f t="shared" si="8"/>
        <v>45764</v>
      </c>
      <c r="T68" s="1112">
        <v>45776</v>
      </c>
      <c r="U68" s="1112"/>
      <c r="V68" s="1084">
        <f t="shared" si="9"/>
        <v>45821</v>
      </c>
      <c r="W68" s="1076">
        <v>150</v>
      </c>
      <c r="X68" s="1112">
        <v>45820</v>
      </c>
      <c r="Y68" s="1137">
        <f t="shared" si="10"/>
        <v>0</v>
      </c>
    </row>
    <row r="69" spans="1:25" x14ac:dyDescent="0.45">
      <c r="A69" s="1088">
        <v>68</v>
      </c>
      <c r="B69" s="1088" t="str">
        <f t="shared" si="6"/>
        <v>Missing in D</v>
      </c>
      <c r="C69" s="1088" t="str">
        <f t="shared" si="7"/>
        <v>Missing in E</v>
      </c>
      <c r="E69" s="1146" t="s">
        <v>6272</v>
      </c>
      <c r="F69" s="1146" t="s">
        <v>7736</v>
      </c>
      <c r="G69" s="1146" t="s">
        <v>666</v>
      </c>
      <c r="H69" s="1147" t="s">
        <v>7811</v>
      </c>
      <c r="I69" s="1147" t="s">
        <v>7812</v>
      </c>
      <c r="J69" s="1148" t="s">
        <v>7778</v>
      </c>
      <c r="K69" s="1148" t="s">
        <v>7745</v>
      </c>
      <c r="L69" s="1146" t="s">
        <v>7762</v>
      </c>
      <c r="M69" s="1146" t="s">
        <v>882</v>
      </c>
      <c r="N69" s="1146" t="s">
        <v>6273</v>
      </c>
      <c r="O69" s="1146" t="s">
        <v>7739</v>
      </c>
      <c r="P69" s="1146"/>
      <c r="Q69" s="1083">
        <v>150</v>
      </c>
      <c r="S69" s="1112">
        <f t="shared" si="8"/>
        <v>45764</v>
      </c>
      <c r="T69" s="1112">
        <v>45776</v>
      </c>
      <c r="U69" s="1112"/>
      <c r="V69" s="1084">
        <f t="shared" si="9"/>
        <v>45821</v>
      </c>
      <c r="W69" s="1076">
        <v>150</v>
      </c>
      <c r="X69" s="1112">
        <v>45820</v>
      </c>
      <c r="Y69" s="1137">
        <f t="shared" si="10"/>
        <v>0</v>
      </c>
    </row>
    <row r="70" spans="1:25" x14ac:dyDescent="0.45">
      <c r="A70" s="1088">
        <v>69</v>
      </c>
      <c r="B70" s="1088" t="str">
        <f t="shared" si="6"/>
        <v>Missing in D</v>
      </c>
      <c r="C70" s="1088" t="str">
        <f t="shared" si="7"/>
        <v>Missing in E</v>
      </c>
      <c r="E70" s="1146" t="s">
        <v>6279</v>
      </c>
      <c r="F70" s="1146" t="s">
        <v>7736</v>
      </c>
      <c r="G70" s="1146" t="s">
        <v>666</v>
      </c>
      <c r="H70" s="1147" t="s">
        <v>7811</v>
      </c>
      <c r="I70" s="1147" t="s">
        <v>7812</v>
      </c>
      <c r="J70" s="1148" t="s">
        <v>7778</v>
      </c>
      <c r="K70" s="1148" t="s">
        <v>7745</v>
      </c>
      <c r="L70" s="1146" t="s">
        <v>7762</v>
      </c>
      <c r="M70" s="1146" t="s">
        <v>883</v>
      </c>
      <c r="N70" s="1146" t="s">
        <v>6280</v>
      </c>
      <c r="O70" s="1146" t="s">
        <v>7739</v>
      </c>
      <c r="P70" s="1146"/>
      <c r="Q70" s="1083">
        <v>150</v>
      </c>
      <c r="S70" s="1112">
        <f t="shared" si="8"/>
        <v>45764</v>
      </c>
      <c r="T70" s="1112">
        <v>45776</v>
      </c>
      <c r="U70" s="1112"/>
      <c r="V70" s="1084">
        <f t="shared" si="9"/>
        <v>45821</v>
      </c>
      <c r="W70" s="1076">
        <v>150</v>
      </c>
      <c r="X70" s="1112">
        <v>45820</v>
      </c>
      <c r="Y70" s="1137">
        <f t="shared" si="10"/>
        <v>0</v>
      </c>
    </row>
    <row r="71" spans="1:25" x14ac:dyDescent="0.45">
      <c r="A71" s="1088">
        <v>70</v>
      </c>
      <c r="B71" s="1088" t="str">
        <f t="shared" si="6"/>
        <v>Missing in D</v>
      </c>
      <c r="C71" s="1088" t="str">
        <f t="shared" si="7"/>
        <v>Missing in E</v>
      </c>
      <c r="E71" s="1146" t="s">
        <v>7813</v>
      </c>
      <c r="F71" s="1146" t="s">
        <v>7736</v>
      </c>
      <c r="G71" s="1146" t="s">
        <v>820</v>
      </c>
      <c r="H71" s="1147" t="s">
        <v>7814</v>
      </c>
      <c r="I71" s="1147" t="s">
        <v>7815</v>
      </c>
      <c r="J71" s="1148" t="s">
        <v>7816</v>
      </c>
      <c r="K71" s="1148" t="s">
        <v>7776</v>
      </c>
      <c r="L71" s="1146" t="s">
        <v>7762</v>
      </c>
      <c r="M71" s="1146" t="s">
        <v>884</v>
      </c>
      <c r="N71" s="1146" t="s">
        <v>7817</v>
      </c>
      <c r="O71" s="1146" t="s">
        <v>7739</v>
      </c>
      <c r="P71" s="1146"/>
      <c r="Q71" s="1083">
        <v>65</v>
      </c>
      <c r="S71" s="1112">
        <f t="shared" si="8"/>
        <v>45766</v>
      </c>
      <c r="T71" s="1112">
        <v>45778</v>
      </c>
      <c r="U71" s="1112"/>
      <c r="V71" s="1084">
        <f t="shared" si="9"/>
        <v>45823</v>
      </c>
      <c r="W71" s="1076">
        <v>65</v>
      </c>
      <c r="X71" s="1112">
        <v>45820</v>
      </c>
      <c r="Y71" s="1137">
        <f t="shared" si="10"/>
        <v>0</v>
      </c>
    </row>
    <row r="72" spans="1:25" x14ac:dyDescent="0.45">
      <c r="A72" s="1088">
        <v>71</v>
      </c>
      <c r="B72" s="1088" t="str">
        <f t="shared" si="6"/>
        <v>Missing in D</v>
      </c>
      <c r="C72" s="1088" t="str">
        <f t="shared" si="7"/>
        <v>Missing in E</v>
      </c>
      <c r="E72" s="1146" t="s">
        <v>6845</v>
      </c>
      <c r="F72" s="1146" t="s">
        <v>7736</v>
      </c>
      <c r="G72" s="1146" t="s">
        <v>886</v>
      </c>
      <c r="H72" s="1147" t="s">
        <v>7818</v>
      </c>
      <c r="I72" s="1147" t="s">
        <v>7818</v>
      </c>
      <c r="J72" s="1148" t="s">
        <v>7737</v>
      </c>
      <c r="K72" s="1148" t="s">
        <v>7747</v>
      </c>
      <c r="L72" s="1146" t="s">
        <v>7819</v>
      </c>
      <c r="M72" s="1146" t="s">
        <v>885</v>
      </c>
      <c r="N72" s="1146" t="s">
        <v>6847</v>
      </c>
      <c r="O72" s="1146" t="s">
        <v>7739</v>
      </c>
      <c r="P72" s="1146"/>
      <c r="Q72" s="1083">
        <v>95</v>
      </c>
      <c r="S72" s="1112">
        <f t="shared" si="8"/>
        <v>45768</v>
      </c>
      <c r="T72" s="1112">
        <v>45780</v>
      </c>
      <c r="U72" s="1112"/>
      <c r="V72" s="1084">
        <f t="shared" si="9"/>
        <v>45825</v>
      </c>
      <c r="W72" s="1076">
        <v>95</v>
      </c>
      <c r="X72" s="1112">
        <v>45820</v>
      </c>
      <c r="Y72" s="1137">
        <f t="shared" si="10"/>
        <v>0</v>
      </c>
    </row>
    <row r="73" spans="1:25" x14ac:dyDescent="0.45">
      <c r="A73" s="1088">
        <v>72</v>
      </c>
      <c r="B73" s="1088" t="str">
        <f t="shared" si="6"/>
        <v>Missing in D</v>
      </c>
      <c r="C73" s="1088" t="str">
        <f t="shared" si="7"/>
        <v>Missing in E</v>
      </c>
      <c r="E73" s="1146" t="s">
        <v>6854</v>
      </c>
      <c r="F73" s="1146" t="s">
        <v>7736</v>
      </c>
      <c r="G73" s="1146" t="s">
        <v>886</v>
      </c>
      <c r="H73" s="1147" t="s">
        <v>7818</v>
      </c>
      <c r="I73" s="1147" t="s">
        <v>7818</v>
      </c>
      <c r="J73" s="1148" t="s">
        <v>7737</v>
      </c>
      <c r="K73" s="1148" t="s">
        <v>7747</v>
      </c>
      <c r="L73" s="1146" t="s">
        <v>7819</v>
      </c>
      <c r="M73" s="1146" t="s">
        <v>887</v>
      </c>
      <c r="N73" s="1146" t="s">
        <v>6855</v>
      </c>
      <c r="O73" s="1146" t="s">
        <v>7739</v>
      </c>
      <c r="P73" s="1146"/>
      <c r="Q73" s="1083">
        <v>95</v>
      </c>
      <c r="S73" s="1112">
        <f t="shared" si="8"/>
        <v>45768</v>
      </c>
      <c r="T73" s="1112">
        <v>45780</v>
      </c>
      <c r="U73" s="1112"/>
      <c r="V73" s="1084">
        <f t="shared" si="9"/>
        <v>45825</v>
      </c>
      <c r="W73" s="1076">
        <v>95</v>
      </c>
      <c r="X73" s="1112">
        <v>45820</v>
      </c>
      <c r="Y73" s="1137">
        <f t="shared" si="10"/>
        <v>0</v>
      </c>
    </row>
    <row r="74" spans="1:25" x14ac:dyDescent="0.45">
      <c r="A74" s="1088">
        <v>73</v>
      </c>
      <c r="B74" s="1088" t="str">
        <f t="shared" si="6"/>
        <v>Missing in D</v>
      </c>
      <c r="C74" s="1088" t="str">
        <f t="shared" si="7"/>
        <v>Missing in E</v>
      </c>
      <c r="E74" s="1146" t="s">
        <v>6848</v>
      </c>
      <c r="F74" s="1146" t="s">
        <v>7736</v>
      </c>
      <c r="G74" s="1146" t="s">
        <v>886</v>
      </c>
      <c r="H74" s="1147" t="s">
        <v>7818</v>
      </c>
      <c r="I74" s="1147" t="s">
        <v>7818</v>
      </c>
      <c r="J74" s="1148" t="s">
        <v>7737</v>
      </c>
      <c r="K74" s="1148" t="s">
        <v>7747</v>
      </c>
      <c r="L74" s="1146" t="s">
        <v>7819</v>
      </c>
      <c r="M74" s="1146" t="s">
        <v>888</v>
      </c>
      <c r="N74" s="1146" t="s">
        <v>6849</v>
      </c>
      <c r="O74" s="1146" t="s">
        <v>7739</v>
      </c>
      <c r="P74" s="1146"/>
      <c r="Q74" s="1083">
        <v>95</v>
      </c>
      <c r="S74" s="1112">
        <f t="shared" si="8"/>
        <v>45768</v>
      </c>
      <c r="T74" s="1112">
        <v>45780</v>
      </c>
      <c r="U74" s="1112"/>
      <c r="V74" s="1084">
        <f t="shared" si="9"/>
        <v>45825</v>
      </c>
      <c r="W74" s="1076">
        <v>95</v>
      </c>
      <c r="X74" s="1112">
        <v>45820</v>
      </c>
      <c r="Y74" s="1137">
        <f t="shared" si="10"/>
        <v>0</v>
      </c>
    </row>
    <row r="75" spans="1:25" x14ac:dyDescent="0.45">
      <c r="A75" s="1088">
        <v>74</v>
      </c>
      <c r="B75" s="1088" t="str">
        <f t="shared" si="6"/>
        <v>Missing in D</v>
      </c>
      <c r="C75" s="1088" t="str">
        <f t="shared" si="7"/>
        <v>Missing in E</v>
      </c>
      <c r="D75" s="1088" t="s">
        <v>7820</v>
      </c>
      <c r="E75" s="1146" t="s">
        <v>6851</v>
      </c>
      <c r="F75" s="1146" t="s">
        <v>7736</v>
      </c>
      <c r="G75" s="1146" t="s">
        <v>886</v>
      </c>
      <c r="H75" s="1147" t="s">
        <v>7818</v>
      </c>
      <c r="I75" s="1147" t="s">
        <v>7818</v>
      </c>
      <c r="J75" s="1148" t="s">
        <v>7821</v>
      </c>
      <c r="K75" s="1148" t="s">
        <v>7822</v>
      </c>
      <c r="L75" s="1146" t="s">
        <v>7762</v>
      </c>
      <c r="M75" s="1146" t="s">
        <v>889</v>
      </c>
      <c r="N75" s="1146" t="s">
        <v>6852</v>
      </c>
      <c r="O75" s="1146" t="s">
        <v>7739</v>
      </c>
      <c r="P75" s="1146"/>
      <c r="Q75" s="1083">
        <v>95</v>
      </c>
      <c r="S75" s="1112">
        <f t="shared" si="8"/>
        <v>45768</v>
      </c>
      <c r="T75" s="1112">
        <v>45780</v>
      </c>
      <c r="U75" s="1112"/>
      <c r="V75" s="1084">
        <f t="shared" si="9"/>
        <v>45825</v>
      </c>
      <c r="W75" s="1076">
        <v>95</v>
      </c>
      <c r="X75" s="1112">
        <v>45820</v>
      </c>
      <c r="Y75" s="1137">
        <f t="shared" si="10"/>
        <v>0</v>
      </c>
    </row>
    <row r="76" spans="1:25" x14ac:dyDescent="0.45">
      <c r="A76" s="1088">
        <v>75</v>
      </c>
      <c r="B76" s="1088" t="str">
        <f t="shared" si="6"/>
        <v>Missing in D</v>
      </c>
      <c r="C76" s="1088" t="str">
        <f t="shared" si="7"/>
        <v>Missing in E</v>
      </c>
      <c r="E76" s="1146" t="s">
        <v>6866</v>
      </c>
      <c r="F76" s="1146" t="s">
        <v>7736</v>
      </c>
      <c r="G76" s="1146" t="s">
        <v>362</v>
      </c>
      <c r="H76" s="1147" t="s">
        <v>7823</v>
      </c>
      <c r="I76" s="1147" t="s">
        <v>7823</v>
      </c>
      <c r="J76" s="1148" t="s">
        <v>7742</v>
      </c>
      <c r="K76" s="1148" t="s">
        <v>7743</v>
      </c>
      <c r="L76" s="1146" t="s">
        <v>7824</v>
      </c>
      <c r="M76" s="1146" t="s">
        <v>890</v>
      </c>
      <c r="N76" s="1146" t="s">
        <v>6867</v>
      </c>
      <c r="O76" s="1146" t="s">
        <v>7739</v>
      </c>
      <c r="P76" s="1146"/>
      <c r="Q76" s="1083">
        <v>12</v>
      </c>
      <c r="S76" s="1112">
        <f t="shared" si="8"/>
        <v>45769</v>
      </c>
      <c r="T76" s="1112">
        <v>45781</v>
      </c>
      <c r="U76" s="1112"/>
      <c r="V76" s="1084">
        <f t="shared" si="9"/>
        <v>45826</v>
      </c>
      <c r="W76" s="1076">
        <v>12</v>
      </c>
      <c r="X76" s="1112">
        <v>45820</v>
      </c>
      <c r="Y76" s="1137">
        <f t="shared" si="10"/>
        <v>0</v>
      </c>
    </row>
    <row r="77" spans="1:25" x14ac:dyDescent="0.45">
      <c r="A77" s="1088">
        <v>76</v>
      </c>
      <c r="B77" s="1088" t="str">
        <f t="shared" si="6"/>
        <v>Missing in D</v>
      </c>
      <c r="C77" s="1088" t="str">
        <f t="shared" si="7"/>
        <v>Missing in E</v>
      </c>
      <c r="E77" s="1146" t="s">
        <v>6857</v>
      </c>
      <c r="F77" s="1146" t="s">
        <v>7736</v>
      </c>
      <c r="G77" s="1146" t="s">
        <v>362</v>
      </c>
      <c r="H77" s="1147" t="s">
        <v>7823</v>
      </c>
      <c r="I77" s="1147" t="s">
        <v>7823</v>
      </c>
      <c r="J77" s="1148" t="s">
        <v>7742</v>
      </c>
      <c r="K77" s="1148" t="s">
        <v>7743</v>
      </c>
      <c r="L77" s="1146" t="s">
        <v>7824</v>
      </c>
      <c r="M77" s="1146" t="s">
        <v>891</v>
      </c>
      <c r="N77" s="1146" t="s">
        <v>6859</v>
      </c>
      <c r="O77" s="1146" t="s">
        <v>7739</v>
      </c>
      <c r="P77" s="1146"/>
      <c r="Q77" s="1083">
        <v>12</v>
      </c>
      <c r="S77" s="1112">
        <f t="shared" si="8"/>
        <v>45769</v>
      </c>
      <c r="T77" s="1112">
        <v>45781</v>
      </c>
      <c r="U77" s="1112"/>
      <c r="V77" s="1084">
        <f t="shared" si="9"/>
        <v>45826</v>
      </c>
      <c r="W77" s="1076">
        <v>12</v>
      </c>
      <c r="X77" s="1112">
        <v>45820</v>
      </c>
      <c r="Y77" s="1137">
        <f t="shared" si="10"/>
        <v>0</v>
      </c>
    </row>
    <row r="78" spans="1:25" x14ac:dyDescent="0.45">
      <c r="A78" s="1088">
        <v>77</v>
      </c>
      <c r="B78" s="1088" t="str">
        <f t="shared" si="6"/>
        <v>Missing in D</v>
      </c>
      <c r="C78" s="1088" t="str">
        <f t="shared" si="7"/>
        <v>Missing in E</v>
      </c>
      <c r="E78" s="1146" t="s">
        <v>6860</v>
      </c>
      <c r="F78" s="1146" t="s">
        <v>7736</v>
      </c>
      <c r="G78" s="1146" t="s">
        <v>362</v>
      </c>
      <c r="H78" s="1147" t="s">
        <v>7823</v>
      </c>
      <c r="I78" s="1147" t="s">
        <v>7823</v>
      </c>
      <c r="J78" s="1148" t="s">
        <v>7742</v>
      </c>
      <c r="K78" s="1148" t="s">
        <v>7743</v>
      </c>
      <c r="L78" s="1146" t="s">
        <v>7824</v>
      </c>
      <c r="M78" s="1146" t="s">
        <v>892</v>
      </c>
      <c r="N78" s="1146" t="s">
        <v>6863</v>
      </c>
      <c r="O78" s="1146" t="s">
        <v>7739</v>
      </c>
      <c r="P78" s="1146"/>
      <c r="Q78" s="1136">
        <v>12</v>
      </c>
      <c r="S78" s="1112">
        <f t="shared" si="8"/>
        <v>45769</v>
      </c>
      <c r="T78" s="1112">
        <v>45781</v>
      </c>
      <c r="U78" s="1112"/>
      <c r="V78" s="1084">
        <f t="shared" si="9"/>
        <v>45826</v>
      </c>
      <c r="W78" s="1076">
        <v>12</v>
      </c>
      <c r="X78" s="1112">
        <v>45820</v>
      </c>
      <c r="Y78" s="1137">
        <f t="shared" si="10"/>
        <v>0</v>
      </c>
    </row>
    <row r="79" spans="1:25" x14ac:dyDescent="0.45">
      <c r="A79" s="1088">
        <v>78</v>
      </c>
      <c r="B79" s="1088" t="str">
        <f t="shared" si="6"/>
        <v>Missing in D</v>
      </c>
      <c r="C79" s="1088" t="str">
        <f t="shared" si="7"/>
        <v>Missing in E</v>
      </c>
      <c r="E79" s="1146" t="s">
        <v>6864</v>
      </c>
      <c r="F79" s="1146" t="s">
        <v>7736</v>
      </c>
      <c r="G79" s="1146" t="s">
        <v>362</v>
      </c>
      <c r="H79" s="1147" t="s">
        <v>7823</v>
      </c>
      <c r="I79" s="1147" t="s">
        <v>7823</v>
      </c>
      <c r="J79" s="1148" t="s">
        <v>7742</v>
      </c>
      <c r="K79" s="1148" t="s">
        <v>7743</v>
      </c>
      <c r="L79" s="1146" t="s">
        <v>7824</v>
      </c>
      <c r="M79" s="1146" t="s">
        <v>893</v>
      </c>
      <c r="N79" s="1146" t="s">
        <v>6865</v>
      </c>
      <c r="O79" s="1146" t="s">
        <v>7739</v>
      </c>
      <c r="P79" s="1146"/>
      <c r="Q79" s="1136">
        <v>12</v>
      </c>
      <c r="S79" s="1112">
        <f t="shared" si="8"/>
        <v>45769</v>
      </c>
      <c r="T79" s="1112">
        <v>45781</v>
      </c>
      <c r="U79" s="1112"/>
      <c r="V79" s="1084">
        <f t="shared" si="9"/>
        <v>45826</v>
      </c>
      <c r="W79" s="1076">
        <v>12</v>
      </c>
      <c r="X79" s="1112">
        <v>45820</v>
      </c>
      <c r="Y79" s="1137">
        <f t="shared" si="10"/>
        <v>0</v>
      </c>
    </row>
    <row r="80" spans="1:25" x14ac:dyDescent="0.45">
      <c r="A80" s="1088">
        <v>79</v>
      </c>
      <c r="B80" s="1088" t="str">
        <f t="shared" si="6"/>
        <v>Missing in D</v>
      </c>
      <c r="C80" s="1088" t="str">
        <f t="shared" si="7"/>
        <v>Missing in E</v>
      </c>
      <c r="E80" s="1146" t="s">
        <v>6868</v>
      </c>
      <c r="F80" s="1146" t="s">
        <v>7736</v>
      </c>
      <c r="G80" s="1146" t="s">
        <v>362</v>
      </c>
      <c r="H80" s="1147" t="s">
        <v>7823</v>
      </c>
      <c r="I80" s="1147" t="s">
        <v>7823</v>
      </c>
      <c r="J80" s="1148" t="s">
        <v>7742</v>
      </c>
      <c r="K80" s="1148" t="s">
        <v>7743</v>
      </c>
      <c r="L80" s="1146" t="s">
        <v>7824</v>
      </c>
      <c r="M80" s="1146" t="s">
        <v>894</v>
      </c>
      <c r="N80" s="1146" t="s">
        <v>6869</v>
      </c>
      <c r="O80" s="1146" t="s">
        <v>7739</v>
      </c>
      <c r="P80" s="1146"/>
      <c r="Q80" s="1083">
        <v>12</v>
      </c>
      <c r="S80" s="1112">
        <f t="shared" si="8"/>
        <v>45769</v>
      </c>
      <c r="T80" s="1112">
        <v>45781</v>
      </c>
      <c r="U80" s="1112"/>
      <c r="V80" s="1084">
        <f t="shared" si="9"/>
        <v>45826</v>
      </c>
      <c r="W80" s="1076">
        <v>12</v>
      </c>
      <c r="X80" s="1112">
        <v>45820</v>
      </c>
      <c r="Y80" s="1137">
        <f t="shared" si="10"/>
        <v>0</v>
      </c>
    </row>
    <row r="81" spans="1:25" x14ac:dyDescent="0.45">
      <c r="A81" s="1088">
        <v>80</v>
      </c>
      <c r="B81" s="1088" t="str">
        <f t="shared" si="6"/>
        <v>Missing in D</v>
      </c>
      <c r="C81" s="1088" t="str">
        <f t="shared" si="7"/>
        <v>Missing in E</v>
      </c>
      <c r="E81" s="1146" t="s">
        <v>7435</v>
      </c>
      <c r="F81" s="1146" t="s">
        <v>7736</v>
      </c>
      <c r="G81" s="1146" t="s">
        <v>362</v>
      </c>
      <c r="H81" s="1147" t="s">
        <v>7823</v>
      </c>
      <c r="I81" s="1147" t="s">
        <v>7823</v>
      </c>
      <c r="J81" s="1148" t="s">
        <v>7742</v>
      </c>
      <c r="K81" s="1148" t="s">
        <v>7743</v>
      </c>
      <c r="L81" s="1146" t="s">
        <v>7824</v>
      </c>
      <c r="M81" s="1146" t="s">
        <v>393</v>
      </c>
      <c r="N81" s="1146" t="s">
        <v>7414</v>
      </c>
      <c r="O81" s="1146" t="s">
        <v>7739</v>
      </c>
      <c r="P81" s="1146"/>
      <c r="Q81" s="1083">
        <v>15</v>
      </c>
      <c r="S81" s="1112">
        <f t="shared" si="8"/>
        <v>45769</v>
      </c>
      <c r="T81" s="1112">
        <v>45781</v>
      </c>
      <c r="U81" s="1112"/>
      <c r="V81" s="1084">
        <f t="shared" si="9"/>
        <v>45826</v>
      </c>
      <c r="W81" s="1076">
        <v>15</v>
      </c>
      <c r="X81" s="1112">
        <v>45820</v>
      </c>
      <c r="Y81" s="1137">
        <f t="shared" si="10"/>
        <v>0</v>
      </c>
    </row>
    <row r="82" spans="1:25" x14ac:dyDescent="0.45">
      <c r="A82" s="1088">
        <v>81</v>
      </c>
      <c r="B82" s="1088" t="str">
        <f t="shared" si="6"/>
        <v>Missing in D</v>
      </c>
      <c r="C82" s="1088" t="str">
        <f t="shared" si="7"/>
        <v>Missing in E</v>
      </c>
      <c r="E82" s="1146" t="s">
        <v>6870</v>
      </c>
      <c r="F82" s="1146" t="s">
        <v>7736</v>
      </c>
      <c r="G82" s="1146" t="s">
        <v>362</v>
      </c>
      <c r="H82" s="1147" t="s">
        <v>7823</v>
      </c>
      <c r="I82" s="1147" t="s">
        <v>7823</v>
      </c>
      <c r="J82" s="1148" t="s">
        <v>7742</v>
      </c>
      <c r="K82" s="1148" t="s">
        <v>7743</v>
      </c>
      <c r="L82" s="1146" t="s">
        <v>7824</v>
      </c>
      <c r="M82" s="1146" t="s">
        <v>895</v>
      </c>
      <c r="N82" s="1146" t="s">
        <v>6667</v>
      </c>
      <c r="O82" s="1146" t="s">
        <v>7739</v>
      </c>
      <c r="P82" s="1146"/>
      <c r="Q82" s="1083">
        <v>15</v>
      </c>
      <c r="R82" s="1076">
        <v>1</v>
      </c>
      <c r="S82" s="1112">
        <f t="shared" si="8"/>
        <v>45769</v>
      </c>
      <c r="T82" s="1112">
        <v>45781</v>
      </c>
      <c r="U82" s="1112"/>
      <c r="V82" s="1084">
        <f t="shared" si="9"/>
        <v>45826</v>
      </c>
      <c r="W82" s="1076">
        <v>15</v>
      </c>
      <c r="X82" s="1112">
        <v>45820</v>
      </c>
      <c r="Y82" s="1137">
        <f t="shared" si="10"/>
        <v>0</v>
      </c>
    </row>
    <row r="83" spans="1:25" x14ac:dyDescent="0.45">
      <c r="A83" s="1088">
        <v>82</v>
      </c>
      <c r="B83" s="1088" t="str">
        <f t="shared" si="6"/>
        <v>Missing in D</v>
      </c>
      <c r="C83" s="1088" t="str">
        <f t="shared" si="7"/>
        <v>Missing in E</v>
      </c>
      <c r="E83" s="1146" t="s">
        <v>6871</v>
      </c>
      <c r="F83" s="1146" t="s">
        <v>7736</v>
      </c>
      <c r="G83" s="1146" t="s">
        <v>362</v>
      </c>
      <c r="H83" s="1147" t="s">
        <v>7823</v>
      </c>
      <c r="I83" s="1147" t="s">
        <v>7823</v>
      </c>
      <c r="J83" s="1148" t="s">
        <v>7742</v>
      </c>
      <c r="K83" s="1148" t="s">
        <v>7743</v>
      </c>
      <c r="L83" s="1146" t="s">
        <v>7824</v>
      </c>
      <c r="M83" s="1146" t="s">
        <v>896</v>
      </c>
      <c r="N83" s="1146" t="s">
        <v>6872</v>
      </c>
      <c r="O83" s="1146" t="s">
        <v>7739</v>
      </c>
      <c r="P83" s="1146"/>
      <c r="Q83" s="1136">
        <v>15</v>
      </c>
      <c r="S83" s="1112">
        <f t="shared" si="8"/>
        <v>45769</v>
      </c>
      <c r="T83" s="1112">
        <v>45781</v>
      </c>
      <c r="U83" s="1112"/>
      <c r="V83" s="1084">
        <f t="shared" si="9"/>
        <v>45826</v>
      </c>
      <c r="W83" s="1076">
        <v>15</v>
      </c>
      <c r="X83" s="1112">
        <v>45820</v>
      </c>
      <c r="Y83" s="1137">
        <f t="shared" si="10"/>
        <v>0</v>
      </c>
    </row>
    <row r="84" spans="1:25" x14ac:dyDescent="0.45">
      <c r="A84" s="1088">
        <v>83</v>
      </c>
      <c r="B84" s="1088" t="str">
        <f t="shared" si="6"/>
        <v>Missing in D</v>
      </c>
      <c r="C84" s="1088" t="str">
        <f t="shared" si="7"/>
        <v>Missing in E</v>
      </c>
      <c r="E84" s="1146" t="s">
        <v>6873</v>
      </c>
      <c r="F84" s="1146" t="s">
        <v>7736</v>
      </c>
      <c r="G84" s="1146" t="s">
        <v>801</v>
      </c>
      <c r="H84" s="1147" t="s">
        <v>7823</v>
      </c>
      <c r="I84" s="1147" t="s">
        <v>7823</v>
      </c>
      <c r="J84" s="1148" t="s">
        <v>7804</v>
      </c>
      <c r="K84" s="1148" t="s">
        <v>7825</v>
      </c>
      <c r="L84" s="1146" t="s">
        <v>7762</v>
      </c>
      <c r="M84" s="1146" t="s">
        <v>897</v>
      </c>
      <c r="N84" s="1146" t="s">
        <v>6555</v>
      </c>
      <c r="O84" s="1146" t="s">
        <v>7739</v>
      </c>
      <c r="P84" s="1146"/>
      <c r="Q84" s="1083">
        <v>35</v>
      </c>
      <c r="R84" s="1076">
        <v>1</v>
      </c>
      <c r="S84" s="1112">
        <f t="shared" si="8"/>
        <v>45769</v>
      </c>
      <c r="T84" s="1112">
        <v>45781</v>
      </c>
      <c r="U84" s="1112"/>
      <c r="V84" s="1084">
        <f t="shared" si="9"/>
        <v>45826</v>
      </c>
      <c r="W84" s="1076">
        <v>35</v>
      </c>
      <c r="X84" s="1112">
        <v>45820</v>
      </c>
      <c r="Y84" s="1137">
        <f t="shared" si="10"/>
        <v>0</v>
      </c>
    </row>
    <row r="85" spans="1:25" x14ac:dyDescent="0.45">
      <c r="A85" s="1088">
        <v>84</v>
      </c>
      <c r="B85" s="1088" t="str">
        <f t="shared" si="6"/>
        <v>Missing in D</v>
      </c>
      <c r="C85" s="1088" t="str">
        <f t="shared" si="7"/>
        <v>Missing in E</v>
      </c>
      <c r="E85" s="1146" t="s">
        <v>6874</v>
      </c>
      <c r="F85" s="1146" t="s">
        <v>7736</v>
      </c>
      <c r="G85" s="1146" t="s">
        <v>801</v>
      </c>
      <c r="H85" s="1147" t="s">
        <v>7823</v>
      </c>
      <c r="I85" s="1147" t="s">
        <v>7823</v>
      </c>
      <c r="J85" s="1148" t="s">
        <v>7804</v>
      </c>
      <c r="K85" s="1148" t="s">
        <v>7825</v>
      </c>
      <c r="L85" s="1146" t="s">
        <v>7762</v>
      </c>
      <c r="M85" s="1146" t="s">
        <v>898</v>
      </c>
      <c r="N85" s="1146" t="s">
        <v>6875</v>
      </c>
      <c r="O85" s="1146" t="s">
        <v>7739</v>
      </c>
      <c r="P85" s="1146"/>
      <c r="Q85" s="1083">
        <v>35</v>
      </c>
      <c r="S85" s="1112">
        <f t="shared" si="8"/>
        <v>45769</v>
      </c>
      <c r="T85" s="1112">
        <v>45781</v>
      </c>
      <c r="U85" s="1112"/>
      <c r="V85" s="1084">
        <f t="shared" si="9"/>
        <v>45826</v>
      </c>
      <c r="W85" s="1076">
        <v>35</v>
      </c>
      <c r="X85" s="1112">
        <v>45820</v>
      </c>
      <c r="Y85" s="1137">
        <f t="shared" si="10"/>
        <v>0</v>
      </c>
    </row>
    <row r="86" spans="1:25" x14ac:dyDescent="0.45">
      <c r="A86" s="1088">
        <v>85</v>
      </c>
      <c r="B86" s="1088" t="str">
        <f t="shared" si="6"/>
        <v>Missing in D</v>
      </c>
      <c r="C86" s="1088" t="str">
        <f t="shared" si="7"/>
        <v>Missing in E</v>
      </c>
      <c r="E86" s="1146" t="s">
        <v>6876</v>
      </c>
      <c r="F86" s="1146" t="s">
        <v>7736</v>
      </c>
      <c r="G86" s="1146" t="s">
        <v>801</v>
      </c>
      <c r="H86" s="1147" t="s">
        <v>7823</v>
      </c>
      <c r="I86" s="1147" t="s">
        <v>7823</v>
      </c>
      <c r="J86" s="1148" t="s">
        <v>7804</v>
      </c>
      <c r="K86" s="1148" t="s">
        <v>7825</v>
      </c>
      <c r="L86" s="1146" t="s">
        <v>7762</v>
      </c>
      <c r="M86" s="1146" t="s">
        <v>606</v>
      </c>
      <c r="N86" s="1146" t="s">
        <v>6879</v>
      </c>
      <c r="O86" s="1146" t="s">
        <v>7739</v>
      </c>
      <c r="P86" s="1146"/>
      <c r="Q86" s="1083">
        <v>35</v>
      </c>
      <c r="S86" s="1112">
        <f t="shared" si="8"/>
        <v>45769</v>
      </c>
      <c r="T86" s="1112">
        <v>45781</v>
      </c>
      <c r="U86" s="1112"/>
      <c r="V86" s="1084">
        <f t="shared" si="9"/>
        <v>45826</v>
      </c>
      <c r="W86" s="1076">
        <v>35</v>
      </c>
      <c r="X86" s="1112">
        <v>45820</v>
      </c>
      <c r="Y86" s="1137">
        <f t="shared" si="10"/>
        <v>0</v>
      </c>
    </row>
    <row r="87" spans="1:25" x14ac:dyDescent="0.45">
      <c r="A87" s="1088">
        <v>86</v>
      </c>
      <c r="B87" s="1088" t="str">
        <f t="shared" si="6"/>
        <v>Missing in D</v>
      </c>
      <c r="C87" s="1088" t="str">
        <f t="shared" si="7"/>
        <v>Missing in E</v>
      </c>
      <c r="E87" s="1146" t="s">
        <v>6880</v>
      </c>
      <c r="F87" s="1146" t="s">
        <v>7736</v>
      </c>
      <c r="G87" s="1146" t="s">
        <v>801</v>
      </c>
      <c r="H87" s="1147" t="s">
        <v>7823</v>
      </c>
      <c r="I87" s="1147" t="s">
        <v>7823</v>
      </c>
      <c r="J87" s="1148" t="s">
        <v>7804</v>
      </c>
      <c r="K87" s="1148" t="s">
        <v>7825</v>
      </c>
      <c r="L87" s="1146" t="s">
        <v>7762</v>
      </c>
      <c r="M87" s="1146" t="s">
        <v>899</v>
      </c>
      <c r="N87" s="1146" t="s">
        <v>6881</v>
      </c>
      <c r="O87" s="1146" t="s">
        <v>7739</v>
      </c>
      <c r="P87" s="1146"/>
      <c r="Q87" s="1083">
        <v>35</v>
      </c>
      <c r="S87" s="1112">
        <f t="shared" si="8"/>
        <v>45769</v>
      </c>
      <c r="T87" s="1112">
        <v>45781</v>
      </c>
      <c r="U87" s="1112"/>
      <c r="V87" s="1084">
        <f t="shared" si="9"/>
        <v>45826</v>
      </c>
      <c r="W87" s="1076">
        <v>35</v>
      </c>
      <c r="X87" s="1112">
        <v>45820</v>
      </c>
      <c r="Y87" s="1137">
        <f t="shared" si="10"/>
        <v>0</v>
      </c>
    </row>
    <row r="88" spans="1:25" x14ac:dyDescent="0.45">
      <c r="A88" s="1088">
        <v>87</v>
      </c>
      <c r="B88" s="1088" t="str">
        <f t="shared" si="6"/>
        <v>Missing in D</v>
      </c>
      <c r="C88" s="1088" t="str">
        <f t="shared" si="7"/>
        <v>Missing in E</v>
      </c>
      <c r="E88" s="1146" t="s">
        <v>6906</v>
      </c>
      <c r="F88" s="1146" t="s">
        <v>7736</v>
      </c>
      <c r="G88" s="1146" t="s">
        <v>674</v>
      </c>
      <c r="H88" s="1147" t="s">
        <v>7826</v>
      </c>
      <c r="I88" s="1147" t="s">
        <v>7826</v>
      </c>
      <c r="J88" s="1146" t="s">
        <v>7825</v>
      </c>
      <c r="K88" s="1146" t="s">
        <v>7827</v>
      </c>
      <c r="L88" s="1146" t="s">
        <v>7828</v>
      </c>
      <c r="M88" s="1146" t="s">
        <v>618</v>
      </c>
      <c r="N88" s="1146" t="s">
        <v>6907</v>
      </c>
      <c r="O88" s="1146" t="s">
        <v>7739</v>
      </c>
      <c r="P88" s="1146"/>
      <c r="Q88" s="1083">
        <v>50</v>
      </c>
      <c r="S88" s="1112">
        <f t="shared" si="8"/>
        <v>45770</v>
      </c>
      <c r="T88" s="1112">
        <v>45782</v>
      </c>
      <c r="U88" s="1112"/>
      <c r="V88" s="1084">
        <f t="shared" si="9"/>
        <v>45827</v>
      </c>
      <c r="W88" s="1076">
        <v>50</v>
      </c>
      <c r="X88" s="1112">
        <v>45820</v>
      </c>
      <c r="Y88" s="1137">
        <f t="shared" si="10"/>
        <v>0</v>
      </c>
    </row>
    <row r="89" spans="1:25" x14ac:dyDescent="0.45">
      <c r="A89" s="1088">
        <v>88</v>
      </c>
      <c r="B89" s="1088" t="str">
        <f t="shared" si="6"/>
        <v>Missing in D</v>
      </c>
      <c r="C89" s="1088" t="str">
        <f t="shared" si="7"/>
        <v>Missing in E</v>
      </c>
      <c r="E89" s="1146" t="s">
        <v>6903</v>
      </c>
      <c r="F89" s="1146" t="s">
        <v>7736</v>
      </c>
      <c r="G89" s="1146" t="s">
        <v>674</v>
      </c>
      <c r="H89" s="1147" t="s">
        <v>7826</v>
      </c>
      <c r="I89" s="1147" t="s">
        <v>7826</v>
      </c>
      <c r="J89" s="1148" t="s">
        <v>7825</v>
      </c>
      <c r="K89" s="1148" t="s">
        <v>7827</v>
      </c>
      <c r="L89" s="1146" t="s">
        <v>7828</v>
      </c>
      <c r="M89" s="1146" t="s">
        <v>615</v>
      </c>
      <c r="N89" s="1146" t="s">
        <v>6904</v>
      </c>
      <c r="O89" s="1146" t="s">
        <v>7739</v>
      </c>
      <c r="P89" s="1146"/>
      <c r="Q89" s="1083">
        <v>50</v>
      </c>
      <c r="S89" s="1112">
        <f t="shared" si="8"/>
        <v>45770</v>
      </c>
      <c r="T89" s="1112">
        <v>45782</v>
      </c>
      <c r="U89" s="1112"/>
      <c r="V89" s="1084">
        <f t="shared" si="9"/>
        <v>45827</v>
      </c>
      <c r="W89" s="1076">
        <v>50</v>
      </c>
      <c r="X89" s="1112">
        <v>45820</v>
      </c>
      <c r="Y89" s="1137">
        <f t="shared" si="10"/>
        <v>0</v>
      </c>
    </row>
    <row r="90" spans="1:25" x14ac:dyDescent="0.45">
      <c r="A90" s="1088">
        <v>89</v>
      </c>
      <c r="B90" s="1088" t="str">
        <f t="shared" si="6"/>
        <v>Missing in D</v>
      </c>
      <c r="C90" s="1088" t="str">
        <f t="shared" si="7"/>
        <v>Missing in E</v>
      </c>
      <c r="E90" s="1146" t="s">
        <v>6909</v>
      </c>
      <c r="F90" s="1146" t="s">
        <v>7736</v>
      </c>
      <c r="G90" s="1146" t="s">
        <v>674</v>
      </c>
      <c r="H90" s="1147" t="s">
        <v>7826</v>
      </c>
      <c r="I90" s="1147" t="s">
        <v>7826</v>
      </c>
      <c r="J90" s="1148" t="s">
        <v>7825</v>
      </c>
      <c r="K90" s="1148" t="s">
        <v>7827</v>
      </c>
      <c r="L90" s="1146" t="s">
        <v>7828</v>
      </c>
      <c r="M90" s="1146" t="s">
        <v>803</v>
      </c>
      <c r="N90" s="1146" t="s">
        <v>6910</v>
      </c>
      <c r="O90" s="1146" t="s">
        <v>7739</v>
      </c>
      <c r="P90" s="1146"/>
      <c r="Q90" s="1083">
        <v>50</v>
      </c>
      <c r="S90" s="1112">
        <f t="shared" si="8"/>
        <v>45770</v>
      </c>
      <c r="T90" s="1112">
        <v>45782</v>
      </c>
      <c r="U90" s="1112"/>
      <c r="V90" s="1084">
        <f t="shared" si="9"/>
        <v>45827</v>
      </c>
      <c r="W90" s="1076">
        <v>50</v>
      </c>
      <c r="X90" s="1112">
        <v>45820</v>
      </c>
      <c r="Y90" s="1137">
        <f t="shared" si="10"/>
        <v>0</v>
      </c>
    </row>
    <row r="91" spans="1:25" x14ac:dyDescent="0.45">
      <c r="A91" s="1088">
        <v>90</v>
      </c>
      <c r="B91" s="1088" t="str">
        <f t="shared" si="6"/>
        <v>Missing in D</v>
      </c>
      <c r="C91" s="1088" t="str">
        <f t="shared" si="7"/>
        <v>Missing in E</v>
      </c>
      <c r="E91" s="1146" t="s">
        <v>7829</v>
      </c>
      <c r="F91" s="1146" t="s">
        <v>7736</v>
      </c>
      <c r="G91" s="1146" t="s">
        <v>820</v>
      </c>
      <c r="H91" s="1147">
        <v>45789</v>
      </c>
      <c r="I91" s="1147">
        <v>45789</v>
      </c>
      <c r="J91" s="1148">
        <v>0.54166666666666663</v>
      </c>
      <c r="K91" s="1148">
        <v>0.58333333333333337</v>
      </c>
      <c r="L91" s="1146" t="s">
        <v>7762</v>
      </c>
      <c r="M91" s="1146" t="s">
        <v>868</v>
      </c>
      <c r="N91" s="1146" t="s">
        <v>7830</v>
      </c>
      <c r="O91" s="1146" t="s">
        <v>7739</v>
      </c>
      <c r="P91" s="1146"/>
      <c r="Q91" s="1136">
        <v>65</v>
      </c>
      <c r="S91" s="1112">
        <f t="shared" si="8"/>
        <v>45777</v>
      </c>
      <c r="T91" s="1112">
        <v>45789</v>
      </c>
      <c r="U91" s="1112"/>
      <c r="V91" s="1084">
        <f t="shared" si="9"/>
        <v>45834</v>
      </c>
      <c r="W91" s="1076">
        <v>65</v>
      </c>
      <c r="X91" s="1112">
        <v>45828</v>
      </c>
      <c r="Y91" s="1137">
        <f t="shared" si="10"/>
        <v>0</v>
      </c>
    </row>
    <row r="92" spans="1:25" x14ac:dyDescent="0.45">
      <c r="A92" s="1088">
        <v>91</v>
      </c>
      <c r="B92" s="1088" t="str">
        <f t="shared" si="6"/>
        <v>Missing in D</v>
      </c>
      <c r="C92" s="1088" t="str">
        <f t="shared" si="7"/>
        <v>Missing in E</v>
      </c>
      <c r="E92" s="1146" t="s">
        <v>6916</v>
      </c>
      <c r="F92" s="1146" t="s">
        <v>7736</v>
      </c>
      <c r="G92" s="1146" t="s">
        <v>729</v>
      </c>
      <c r="H92" s="1147" t="s">
        <v>7831</v>
      </c>
      <c r="I92" s="1147" t="s">
        <v>7831</v>
      </c>
      <c r="J92" s="1148" t="s">
        <v>7778</v>
      </c>
      <c r="K92" s="1148" t="s">
        <v>7832</v>
      </c>
      <c r="L92" s="1146" t="s">
        <v>7833</v>
      </c>
      <c r="M92" s="1146" t="s">
        <v>869</v>
      </c>
      <c r="N92" s="1146" t="s">
        <v>6919</v>
      </c>
      <c r="O92" s="1146" t="s">
        <v>7739</v>
      </c>
      <c r="P92" s="1146"/>
      <c r="Q92" s="1083">
        <v>50</v>
      </c>
      <c r="S92" s="1112">
        <f t="shared" si="8"/>
        <v>45777</v>
      </c>
      <c r="T92" s="1112">
        <v>45789</v>
      </c>
      <c r="U92" s="1112"/>
      <c r="V92" s="1084">
        <f t="shared" si="9"/>
        <v>45834</v>
      </c>
      <c r="W92" s="1076">
        <v>50</v>
      </c>
      <c r="X92" s="1112">
        <v>45828</v>
      </c>
      <c r="Y92" s="1137">
        <f t="shared" si="10"/>
        <v>0</v>
      </c>
    </row>
    <row r="93" spans="1:25" x14ac:dyDescent="0.45">
      <c r="A93" s="1088">
        <v>92</v>
      </c>
      <c r="B93" s="1088" t="str">
        <f t="shared" si="6"/>
        <v>Missing in D</v>
      </c>
      <c r="C93" s="1088" t="str">
        <f t="shared" si="7"/>
        <v>Missing in E</v>
      </c>
      <c r="E93" s="1146" t="s">
        <v>6920</v>
      </c>
      <c r="F93" s="1146" t="s">
        <v>7736</v>
      </c>
      <c r="G93" s="1146" t="s">
        <v>729</v>
      </c>
      <c r="H93" s="1147" t="s">
        <v>7831</v>
      </c>
      <c r="I93" s="1147" t="s">
        <v>7831</v>
      </c>
      <c r="J93" s="1148" t="s">
        <v>7778</v>
      </c>
      <c r="K93" s="1148" t="s">
        <v>7832</v>
      </c>
      <c r="L93" s="1146" t="s">
        <v>7833</v>
      </c>
      <c r="M93" s="1146" t="s">
        <v>870</v>
      </c>
      <c r="N93" s="1146" t="s">
        <v>6600</v>
      </c>
      <c r="O93" s="1146" t="s">
        <v>7739</v>
      </c>
      <c r="P93" s="1146"/>
      <c r="Q93" s="1083">
        <v>50</v>
      </c>
      <c r="S93" s="1112">
        <f t="shared" si="8"/>
        <v>45777</v>
      </c>
      <c r="T93" s="1112">
        <v>45789</v>
      </c>
      <c r="U93" s="1112"/>
      <c r="V93" s="1084">
        <f t="shared" si="9"/>
        <v>45834</v>
      </c>
      <c r="W93" s="1076">
        <v>50</v>
      </c>
      <c r="X93" s="1112">
        <v>45828</v>
      </c>
      <c r="Y93" s="1137">
        <f t="shared" si="10"/>
        <v>0</v>
      </c>
    </row>
    <row r="94" spans="1:25" x14ac:dyDescent="0.45">
      <c r="A94" s="1088">
        <v>93</v>
      </c>
      <c r="B94" s="1088" t="str">
        <f t="shared" si="6"/>
        <v>Missing in D</v>
      </c>
      <c r="C94" s="1088" t="str">
        <f t="shared" si="7"/>
        <v>Missing in E</v>
      </c>
      <c r="E94" s="1146" t="s">
        <v>6921</v>
      </c>
      <c r="F94" s="1146" t="s">
        <v>7736</v>
      </c>
      <c r="G94" s="1146" t="s">
        <v>729</v>
      </c>
      <c r="H94" s="1147" t="s">
        <v>7831</v>
      </c>
      <c r="I94" s="1147" t="s">
        <v>7831</v>
      </c>
      <c r="J94" s="1148" t="s">
        <v>7778</v>
      </c>
      <c r="K94" s="1148" t="s">
        <v>7832</v>
      </c>
      <c r="L94" s="1146" t="s">
        <v>7833</v>
      </c>
      <c r="M94" s="1146" t="s">
        <v>871</v>
      </c>
      <c r="N94" s="1146" t="s">
        <v>6922</v>
      </c>
      <c r="O94" s="1146" t="s">
        <v>7739</v>
      </c>
      <c r="P94" s="1146"/>
      <c r="Q94" s="1136">
        <v>50</v>
      </c>
      <c r="S94" s="1112">
        <f t="shared" si="8"/>
        <v>45777</v>
      </c>
      <c r="T94" s="1112">
        <v>45789</v>
      </c>
      <c r="U94" s="1112"/>
      <c r="V94" s="1084">
        <f t="shared" si="9"/>
        <v>45834</v>
      </c>
      <c r="W94" s="1076">
        <v>50</v>
      </c>
      <c r="X94" s="1112">
        <v>45828</v>
      </c>
      <c r="Y94" s="1137">
        <f t="shared" si="10"/>
        <v>0</v>
      </c>
    </row>
    <row r="95" spans="1:25" x14ac:dyDescent="0.45">
      <c r="A95" s="1088">
        <v>94</v>
      </c>
      <c r="B95" s="1088" t="str">
        <f t="shared" si="6"/>
        <v>Missing in D</v>
      </c>
      <c r="C95" s="1088" t="str">
        <f t="shared" si="7"/>
        <v>Missing in E</v>
      </c>
      <c r="E95" s="1146" t="s">
        <v>6923</v>
      </c>
      <c r="F95" s="1146" t="s">
        <v>7736</v>
      </c>
      <c r="G95" s="1146" t="s">
        <v>729</v>
      </c>
      <c r="H95" s="1147" t="s">
        <v>7831</v>
      </c>
      <c r="I95" s="1147" t="s">
        <v>7831</v>
      </c>
      <c r="J95" s="1148" t="s">
        <v>7778</v>
      </c>
      <c r="K95" s="1148" t="s">
        <v>7832</v>
      </c>
      <c r="L95" s="1146" t="s">
        <v>7833</v>
      </c>
      <c r="M95" s="1146" t="s">
        <v>872</v>
      </c>
      <c r="N95" s="1146" t="s">
        <v>6924</v>
      </c>
      <c r="O95" s="1146" t="s">
        <v>7739</v>
      </c>
      <c r="P95" s="1146"/>
      <c r="Q95" s="1083">
        <v>50</v>
      </c>
      <c r="S95" s="1112">
        <f t="shared" si="8"/>
        <v>45777</v>
      </c>
      <c r="T95" s="1112">
        <v>45789</v>
      </c>
      <c r="U95" s="1112"/>
      <c r="V95" s="1084">
        <f t="shared" si="9"/>
        <v>45834</v>
      </c>
      <c r="W95" s="1076">
        <v>50</v>
      </c>
      <c r="X95" s="1112">
        <v>45828</v>
      </c>
      <c r="Y95" s="1137">
        <f t="shared" si="10"/>
        <v>0</v>
      </c>
    </row>
    <row r="96" spans="1:25" x14ac:dyDescent="0.45">
      <c r="A96" s="1088">
        <v>95</v>
      </c>
      <c r="B96" s="1088" t="str">
        <f t="shared" si="6"/>
        <v>Missing in D</v>
      </c>
      <c r="C96" s="1088" t="str">
        <f t="shared" si="7"/>
        <v>Missing in E</v>
      </c>
      <c r="E96" s="1146" t="s">
        <v>6926</v>
      </c>
      <c r="F96" s="1146" t="s">
        <v>7736</v>
      </c>
      <c r="G96" s="1146" t="s">
        <v>729</v>
      </c>
      <c r="H96" s="1147" t="s">
        <v>7831</v>
      </c>
      <c r="I96" s="1147" t="s">
        <v>7831</v>
      </c>
      <c r="J96" s="1148" t="s">
        <v>7778</v>
      </c>
      <c r="K96" s="1148" t="s">
        <v>7832</v>
      </c>
      <c r="L96" s="1146" t="s">
        <v>7833</v>
      </c>
      <c r="M96" s="1146" t="s">
        <v>803</v>
      </c>
      <c r="N96" s="1146" t="s">
        <v>6910</v>
      </c>
      <c r="O96" s="1146" t="s">
        <v>7739</v>
      </c>
      <c r="P96" s="1146"/>
      <c r="Q96" s="1083">
        <v>50</v>
      </c>
      <c r="S96" s="1112">
        <f t="shared" si="8"/>
        <v>45777</v>
      </c>
      <c r="T96" s="1112">
        <v>45789</v>
      </c>
      <c r="U96" s="1112"/>
      <c r="V96" s="1084">
        <f t="shared" si="9"/>
        <v>45834</v>
      </c>
      <c r="W96" s="1076">
        <v>50</v>
      </c>
      <c r="X96" s="1112">
        <v>45828</v>
      </c>
      <c r="Y96" s="1137">
        <f t="shared" si="10"/>
        <v>0</v>
      </c>
    </row>
    <row r="97" spans="1:25" x14ac:dyDescent="0.45">
      <c r="A97" s="1088">
        <v>96</v>
      </c>
      <c r="B97" s="1088" t="str">
        <f t="shared" si="6"/>
        <v>Missing in D</v>
      </c>
      <c r="C97" s="1088" t="str">
        <f t="shared" si="7"/>
        <v>Missing in E</v>
      </c>
      <c r="E97" s="1146" t="s">
        <v>6933</v>
      </c>
      <c r="F97" s="1146" t="s">
        <v>7736</v>
      </c>
      <c r="G97" s="1146" t="s">
        <v>729</v>
      </c>
      <c r="H97" s="1147" t="s">
        <v>7831</v>
      </c>
      <c r="I97" s="1147" t="s">
        <v>7831</v>
      </c>
      <c r="J97" s="1148" t="s">
        <v>7778</v>
      </c>
      <c r="K97" s="1148" t="s">
        <v>7832</v>
      </c>
      <c r="L97" s="1146" t="s">
        <v>7833</v>
      </c>
      <c r="M97" s="1146" t="s">
        <v>673</v>
      </c>
      <c r="N97" s="1146" t="s">
        <v>6934</v>
      </c>
      <c r="O97" s="1146" t="s">
        <v>7739</v>
      </c>
      <c r="P97" s="1146"/>
      <c r="Q97" s="1083">
        <v>50</v>
      </c>
      <c r="S97" s="1112">
        <f t="shared" si="8"/>
        <v>45777</v>
      </c>
      <c r="T97" s="1112">
        <v>45789</v>
      </c>
      <c r="U97" s="1112"/>
      <c r="V97" s="1084">
        <f t="shared" si="9"/>
        <v>45834</v>
      </c>
      <c r="W97" s="1076">
        <v>50</v>
      </c>
      <c r="X97" s="1112">
        <v>45828</v>
      </c>
      <c r="Y97" s="1137">
        <f t="shared" si="10"/>
        <v>0</v>
      </c>
    </row>
    <row r="98" spans="1:25" x14ac:dyDescent="0.45">
      <c r="A98" s="1088">
        <v>97</v>
      </c>
      <c r="B98" s="1088" t="str">
        <f t="shared" si="6"/>
        <v>Missing in D</v>
      </c>
      <c r="C98" s="1088" t="str">
        <f t="shared" ref="C98:C129" si="11">IF(COUNTIF(D$2:D$273, E98)=0, "Missing in E", "")</f>
        <v>Missing in E</v>
      </c>
      <c r="E98" s="1146" t="s">
        <v>7834</v>
      </c>
      <c r="F98" s="1146" t="s">
        <v>7736</v>
      </c>
      <c r="G98" s="1146" t="s">
        <v>820</v>
      </c>
      <c r="H98" s="1147" t="s">
        <v>7812</v>
      </c>
      <c r="I98" s="1147" t="s">
        <v>7812</v>
      </c>
      <c r="J98" s="1148" t="s">
        <v>7770</v>
      </c>
      <c r="K98" s="1148" t="s">
        <v>7776</v>
      </c>
      <c r="L98" s="1146" t="s">
        <v>7762</v>
      </c>
      <c r="M98" s="1146" t="s">
        <v>863</v>
      </c>
      <c r="N98" s="1146" t="s">
        <v>7835</v>
      </c>
      <c r="O98" s="1146" t="s">
        <v>7739</v>
      </c>
      <c r="P98" s="1146"/>
      <c r="Q98" s="1136">
        <v>65</v>
      </c>
      <c r="S98" s="1112">
        <f t="shared" si="8"/>
        <v>45778</v>
      </c>
      <c r="T98" s="1112">
        <v>45790</v>
      </c>
      <c r="U98" s="1112"/>
      <c r="V98" s="1084">
        <f t="shared" si="9"/>
        <v>45835</v>
      </c>
      <c r="W98" s="1076">
        <v>65</v>
      </c>
      <c r="X98" s="1112">
        <v>45838</v>
      </c>
      <c r="Y98" s="1137">
        <f t="shared" si="10"/>
        <v>0</v>
      </c>
    </row>
    <row r="99" spans="1:25" x14ac:dyDescent="0.45">
      <c r="A99" s="1088">
        <v>98</v>
      </c>
      <c r="B99" s="1088" t="str">
        <f t="shared" si="6"/>
        <v>Missing in D</v>
      </c>
      <c r="C99" s="1088" t="str">
        <f t="shared" si="11"/>
        <v>Missing in E</v>
      </c>
      <c r="E99" s="1158" t="s">
        <v>6954</v>
      </c>
      <c r="F99" s="1146" t="s">
        <v>7736</v>
      </c>
      <c r="G99" s="1146" t="s">
        <v>729</v>
      </c>
      <c r="H99" s="1147">
        <v>45797</v>
      </c>
      <c r="I99" s="1147">
        <v>45797</v>
      </c>
      <c r="J99" s="1148">
        <v>0.76041666666666663</v>
      </c>
      <c r="K99" s="1148">
        <v>0.86458333333333337</v>
      </c>
      <c r="L99" s="1146" t="s">
        <v>7833</v>
      </c>
      <c r="M99" s="1158" t="s">
        <v>838</v>
      </c>
      <c r="N99" s="1146" t="s">
        <v>6955</v>
      </c>
      <c r="O99" s="1146" t="s">
        <v>7739</v>
      </c>
      <c r="P99" s="1146"/>
      <c r="Q99" s="1083">
        <v>50</v>
      </c>
      <c r="S99" s="1112">
        <f t="shared" si="8"/>
        <v>45785</v>
      </c>
      <c r="T99" s="1112">
        <v>45797</v>
      </c>
      <c r="U99" s="1112"/>
      <c r="V99" s="1084">
        <f t="shared" si="9"/>
        <v>45842</v>
      </c>
      <c r="W99" s="1083">
        <v>50</v>
      </c>
      <c r="X99" s="1112">
        <v>45847</v>
      </c>
      <c r="Y99" s="1137">
        <f t="shared" si="10"/>
        <v>0</v>
      </c>
    </row>
    <row r="100" spans="1:25" x14ac:dyDescent="0.45">
      <c r="A100" s="1088">
        <v>99</v>
      </c>
      <c r="B100" s="1088" t="str">
        <f t="shared" si="6"/>
        <v>Missing in D</v>
      </c>
      <c r="C100" s="1088" t="str">
        <f t="shared" si="11"/>
        <v>Missing in E</v>
      </c>
      <c r="E100" s="1146" t="s">
        <v>6937</v>
      </c>
      <c r="F100" s="1146" t="s">
        <v>7736</v>
      </c>
      <c r="G100" s="1146" t="s">
        <v>729</v>
      </c>
      <c r="H100" s="1147" t="s">
        <v>7836</v>
      </c>
      <c r="I100" s="1147" t="s">
        <v>7836</v>
      </c>
      <c r="J100" s="1148" t="s">
        <v>7778</v>
      </c>
      <c r="K100" s="1148" t="s">
        <v>7832</v>
      </c>
      <c r="L100" s="1146" t="s">
        <v>7833</v>
      </c>
      <c r="M100" s="1146" t="s">
        <v>839</v>
      </c>
      <c r="N100" s="1146" t="s">
        <v>6938</v>
      </c>
      <c r="O100" s="1146" t="s">
        <v>7739</v>
      </c>
      <c r="P100" s="1146"/>
      <c r="Q100" s="1083">
        <v>50</v>
      </c>
      <c r="S100" s="1112">
        <f t="shared" si="8"/>
        <v>45785</v>
      </c>
      <c r="T100" s="1112">
        <v>45797</v>
      </c>
      <c r="U100" s="1112"/>
      <c r="V100" s="1084">
        <f t="shared" si="9"/>
        <v>45842</v>
      </c>
      <c r="W100" s="1083">
        <v>50</v>
      </c>
      <c r="X100" s="1112">
        <v>45847</v>
      </c>
      <c r="Y100" s="1137">
        <f t="shared" si="10"/>
        <v>0</v>
      </c>
    </row>
    <row r="101" spans="1:25" x14ac:dyDescent="0.45">
      <c r="A101" s="1088">
        <v>100</v>
      </c>
      <c r="B101" s="1088" t="str">
        <f t="shared" si="6"/>
        <v>Missing in D</v>
      </c>
      <c r="C101" s="1088" t="str">
        <f t="shared" si="11"/>
        <v>Missing in E</v>
      </c>
      <c r="E101" s="1146" t="s">
        <v>6935</v>
      </c>
      <c r="F101" s="1146" t="s">
        <v>7736</v>
      </c>
      <c r="G101" s="1146" t="s">
        <v>729</v>
      </c>
      <c r="H101" s="1147" t="s">
        <v>7836</v>
      </c>
      <c r="I101" s="1147" t="s">
        <v>7836</v>
      </c>
      <c r="J101" s="1148" t="s">
        <v>7778</v>
      </c>
      <c r="K101" s="1148" t="s">
        <v>7832</v>
      </c>
      <c r="L101" s="1146" t="s">
        <v>7833</v>
      </c>
      <c r="M101" s="1146" t="s">
        <v>840</v>
      </c>
      <c r="N101" s="1146" t="s">
        <v>6936</v>
      </c>
      <c r="O101" s="1146" t="s">
        <v>7739</v>
      </c>
      <c r="P101" s="1146"/>
      <c r="Q101" s="1136">
        <v>50</v>
      </c>
      <c r="S101" s="1112">
        <f t="shared" si="8"/>
        <v>45785</v>
      </c>
      <c r="T101" s="1112">
        <v>45797</v>
      </c>
      <c r="U101" s="1112"/>
      <c r="V101" s="1084">
        <f t="shared" si="9"/>
        <v>45842</v>
      </c>
      <c r="W101" s="1136">
        <v>50</v>
      </c>
      <c r="X101" s="1112">
        <v>45847</v>
      </c>
      <c r="Y101" s="1137">
        <f t="shared" si="10"/>
        <v>0</v>
      </c>
    </row>
    <row r="102" spans="1:25" x14ac:dyDescent="0.45">
      <c r="A102" s="1088">
        <v>102</v>
      </c>
      <c r="B102" s="1088" t="str">
        <f t="shared" si="6"/>
        <v>Missing in D</v>
      </c>
      <c r="C102" s="1088" t="str">
        <f t="shared" si="11"/>
        <v>Missing in E</v>
      </c>
      <c r="E102" s="1146" t="s">
        <v>6947</v>
      </c>
      <c r="F102" s="1146" t="s">
        <v>7736</v>
      </c>
      <c r="G102" s="1146" t="s">
        <v>729</v>
      </c>
      <c r="H102" s="1147" t="s">
        <v>7836</v>
      </c>
      <c r="I102" s="1147" t="s">
        <v>7836</v>
      </c>
      <c r="J102" s="1148" t="s">
        <v>7778</v>
      </c>
      <c r="K102" s="1148" t="s">
        <v>7832</v>
      </c>
      <c r="L102" s="1146" t="s">
        <v>7833</v>
      </c>
      <c r="M102" s="1146" t="s">
        <v>841</v>
      </c>
      <c r="N102" s="1146" t="s">
        <v>6826</v>
      </c>
      <c r="O102" s="1146" t="s">
        <v>7739</v>
      </c>
      <c r="P102" s="1146"/>
      <c r="Q102" s="1083">
        <v>50</v>
      </c>
      <c r="S102" s="1112">
        <f t="shared" si="8"/>
        <v>45785</v>
      </c>
      <c r="T102" s="1112">
        <v>45797</v>
      </c>
      <c r="U102" s="1112"/>
      <c r="V102" s="1084">
        <f t="shared" si="9"/>
        <v>45842</v>
      </c>
      <c r="W102" s="1083">
        <v>50</v>
      </c>
      <c r="X102" s="1112">
        <v>45847</v>
      </c>
      <c r="Y102" s="1137">
        <f t="shared" si="10"/>
        <v>0</v>
      </c>
    </row>
    <row r="103" spans="1:25" x14ac:dyDescent="0.45">
      <c r="A103" s="1088">
        <v>103</v>
      </c>
      <c r="B103" s="1088" t="str">
        <f t="shared" si="6"/>
        <v>Missing in D</v>
      </c>
      <c r="C103" s="1088" t="str">
        <f t="shared" si="11"/>
        <v>Missing in E</v>
      </c>
      <c r="E103" s="1146" t="s">
        <v>6948</v>
      </c>
      <c r="F103" s="1146" t="s">
        <v>7736</v>
      </c>
      <c r="G103" s="1146" t="s">
        <v>729</v>
      </c>
      <c r="H103" s="1147" t="s">
        <v>7836</v>
      </c>
      <c r="I103" s="1147" t="s">
        <v>7836</v>
      </c>
      <c r="J103" s="1148" t="s">
        <v>7778</v>
      </c>
      <c r="K103" s="1148" t="s">
        <v>7832</v>
      </c>
      <c r="L103" s="1146" t="s">
        <v>7833</v>
      </c>
      <c r="M103" s="1146" t="s">
        <v>842</v>
      </c>
      <c r="N103" s="1146" t="s">
        <v>6949</v>
      </c>
      <c r="O103" s="1146" t="s">
        <v>7739</v>
      </c>
      <c r="P103" s="1146"/>
      <c r="Q103" s="1083">
        <v>50</v>
      </c>
      <c r="S103" s="1112">
        <f t="shared" si="8"/>
        <v>45785</v>
      </c>
      <c r="T103" s="1112">
        <v>45797</v>
      </c>
      <c r="U103" s="1112"/>
      <c r="V103" s="1084">
        <f t="shared" si="9"/>
        <v>45842</v>
      </c>
      <c r="W103" s="1083">
        <v>50</v>
      </c>
      <c r="X103" s="1112">
        <v>45847</v>
      </c>
      <c r="Y103" s="1137">
        <f t="shared" si="10"/>
        <v>0</v>
      </c>
    </row>
    <row r="104" spans="1:25" x14ac:dyDescent="0.45">
      <c r="A104" s="1088">
        <v>104</v>
      </c>
      <c r="B104" s="1088" t="str">
        <f t="shared" si="6"/>
        <v>Missing in D</v>
      </c>
      <c r="C104" s="1088" t="str">
        <f t="shared" si="11"/>
        <v>Missing in E</v>
      </c>
      <c r="E104" s="1146" t="s">
        <v>6951</v>
      </c>
      <c r="F104" s="1146" t="s">
        <v>7736</v>
      </c>
      <c r="G104" s="1146" t="s">
        <v>729</v>
      </c>
      <c r="H104" s="1147" t="s">
        <v>7836</v>
      </c>
      <c r="I104" s="1147" t="s">
        <v>7836</v>
      </c>
      <c r="J104" s="1148" t="s">
        <v>7778</v>
      </c>
      <c r="K104" s="1148" t="s">
        <v>7832</v>
      </c>
      <c r="L104" s="1146" t="s">
        <v>7833</v>
      </c>
      <c r="M104" s="1146" t="s">
        <v>843</v>
      </c>
      <c r="N104" s="1146" t="s">
        <v>6952</v>
      </c>
      <c r="O104" s="1146" t="s">
        <v>7739</v>
      </c>
      <c r="P104" s="1146"/>
      <c r="Q104" s="1136">
        <v>50</v>
      </c>
      <c r="S104" s="1112">
        <f t="shared" si="8"/>
        <v>45785</v>
      </c>
      <c r="T104" s="1112">
        <v>45797</v>
      </c>
      <c r="U104" s="1112"/>
      <c r="V104" s="1084">
        <f t="shared" si="9"/>
        <v>45842</v>
      </c>
      <c r="W104" s="1136">
        <v>50</v>
      </c>
      <c r="X104" s="1112">
        <v>45847</v>
      </c>
      <c r="Y104" s="1137">
        <f t="shared" si="10"/>
        <v>0</v>
      </c>
    </row>
    <row r="105" spans="1:25" x14ac:dyDescent="0.45">
      <c r="A105" s="1088">
        <v>105</v>
      </c>
      <c r="B105" s="1088" t="str">
        <f t="shared" si="6"/>
        <v>Missing in D</v>
      </c>
      <c r="C105" s="1088" t="str">
        <f t="shared" si="11"/>
        <v>Missing in E</v>
      </c>
      <c r="E105" s="1146" t="s">
        <v>6957</v>
      </c>
      <c r="F105" s="1146" t="s">
        <v>7736</v>
      </c>
      <c r="G105" s="1146" t="s">
        <v>729</v>
      </c>
      <c r="H105" s="1147" t="s">
        <v>7836</v>
      </c>
      <c r="I105" s="1147" t="s">
        <v>7836</v>
      </c>
      <c r="J105" s="1148" t="s">
        <v>7778</v>
      </c>
      <c r="K105" s="1148" t="s">
        <v>7832</v>
      </c>
      <c r="L105" s="1146" t="s">
        <v>7833</v>
      </c>
      <c r="M105" s="1146" t="s">
        <v>684</v>
      </c>
      <c r="N105" s="1146" t="s">
        <v>6958</v>
      </c>
      <c r="O105" s="1146" t="s">
        <v>7739</v>
      </c>
      <c r="P105" s="1146"/>
      <c r="Q105" s="1083">
        <v>50</v>
      </c>
      <c r="S105" s="1112">
        <f t="shared" si="8"/>
        <v>45785</v>
      </c>
      <c r="T105" s="1112">
        <v>45797</v>
      </c>
      <c r="U105" s="1112"/>
      <c r="V105" s="1084">
        <f t="shared" si="9"/>
        <v>45842</v>
      </c>
      <c r="W105" s="1083">
        <v>50</v>
      </c>
      <c r="X105" s="1112">
        <v>45847</v>
      </c>
      <c r="Y105" s="1137">
        <f t="shared" si="10"/>
        <v>0</v>
      </c>
    </row>
    <row r="106" spans="1:25" x14ac:dyDescent="0.45">
      <c r="A106" s="1088">
        <v>106</v>
      </c>
      <c r="B106" s="1088" t="str">
        <f t="shared" si="6"/>
        <v>Missing in D</v>
      </c>
      <c r="C106" s="1088" t="str">
        <f t="shared" si="11"/>
        <v>Missing in E</v>
      </c>
      <c r="E106" s="1146" t="s">
        <v>6282</v>
      </c>
      <c r="F106" s="1146" t="s">
        <v>7736</v>
      </c>
      <c r="G106" s="1146" t="s">
        <v>666</v>
      </c>
      <c r="H106" s="1147" t="s">
        <v>7837</v>
      </c>
      <c r="I106" s="1147" t="s">
        <v>7838</v>
      </c>
      <c r="J106" s="1148" t="s">
        <v>7778</v>
      </c>
      <c r="K106" s="1148" t="s">
        <v>7745</v>
      </c>
      <c r="L106" s="1146" t="s">
        <v>7762</v>
      </c>
      <c r="M106" s="1146" t="s">
        <v>844</v>
      </c>
      <c r="N106" s="1146" t="s">
        <v>6283</v>
      </c>
      <c r="O106" s="1146" t="s">
        <v>7739</v>
      </c>
      <c r="P106" s="1146"/>
      <c r="Q106" s="1136">
        <v>150</v>
      </c>
      <c r="S106" s="1112">
        <f t="shared" si="8"/>
        <v>45786</v>
      </c>
      <c r="T106" s="1112">
        <v>45798</v>
      </c>
      <c r="U106" s="1112"/>
      <c r="V106" s="1084">
        <f t="shared" si="9"/>
        <v>45843</v>
      </c>
      <c r="W106" s="1136">
        <v>150</v>
      </c>
      <c r="X106" s="1112">
        <v>45847</v>
      </c>
      <c r="Y106" s="1137">
        <f t="shared" si="10"/>
        <v>0</v>
      </c>
    </row>
    <row r="107" spans="1:25" x14ac:dyDescent="0.45">
      <c r="A107" s="1088">
        <v>107</v>
      </c>
      <c r="B107" s="1088" t="str">
        <f t="shared" si="6"/>
        <v>Missing in D</v>
      </c>
      <c r="C107" s="1088" t="str">
        <f t="shared" si="11"/>
        <v>Missing in E</v>
      </c>
      <c r="E107" s="1146" t="s">
        <v>6281</v>
      </c>
      <c r="F107" s="1146" t="s">
        <v>7736</v>
      </c>
      <c r="G107" s="1146" t="s">
        <v>666</v>
      </c>
      <c r="H107" s="1147" t="s">
        <v>7837</v>
      </c>
      <c r="I107" s="1147" t="s">
        <v>7838</v>
      </c>
      <c r="J107" s="1148" t="s">
        <v>7778</v>
      </c>
      <c r="K107" s="1148" t="s">
        <v>7745</v>
      </c>
      <c r="L107" s="1146" t="s">
        <v>7762</v>
      </c>
      <c r="M107" s="1146" t="s">
        <v>845</v>
      </c>
      <c r="N107" s="1146" t="s">
        <v>6242</v>
      </c>
      <c r="O107" s="1146" t="s">
        <v>7739</v>
      </c>
      <c r="P107" s="1146"/>
      <c r="Q107" s="1136">
        <v>150</v>
      </c>
      <c r="S107" s="1112">
        <f t="shared" si="8"/>
        <v>45786</v>
      </c>
      <c r="T107" s="1112">
        <v>45798</v>
      </c>
      <c r="U107" s="1112"/>
      <c r="V107" s="1084">
        <f t="shared" si="9"/>
        <v>45843</v>
      </c>
      <c r="W107" s="1136">
        <v>150</v>
      </c>
      <c r="X107" s="1112">
        <v>45847</v>
      </c>
      <c r="Y107" s="1137">
        <f t="shared" si="10"/>
        <v>0</v>
      </c>
    </row>
    <row r="108" spans="1:25" x14ac:dyDescent="0.45">
      <c r="A108" s="1088">
        <v>108</v>
      </c>
      <c r="B108" s="1088" t="str">
        <f t="shared" si="6"/>
        <v>Missing in D</v>
      </c>
      <c r="C108" s="1088" t="str">
        <f t="shared" si="11"/>
        <v>Missing in E</v>
      </c>
      <c r="E108" s="1172" t="s">
        <v>7839</v>
      </c>
      <c r="F108" s="1172" t="s">
        <v>7736</v>
      </c>
      <c r="G108" s="1172" t="s">
        <v>820</v>
      </c>
      <c r="H108" s="1173">
        <v>45799</v>
      </c>
      <c r="I108" s="1173">
        <v>45793</v>
      </c>
      <c r="J108" s="1174">
        <v>0.33333333333333331</v>
      </c>
      <c r="K108" s="1174">
        <v>0.70833333333333337</v>
      </c>
      <c r="L108" s="1172" t="s">
        <v>7762</v>
      </c>
      <c r="M108" s="1172" t="s">
        <v>846</v>
      </c>
      <c r="N108" s="1172" t="s">
        <v>7840</v>
      </c>
      <c r="O108" s="1172" t="s">
        <v>7739</v>
      </c>
      <c r="P108" s="1172"/>
      <c r="Q108" s="1136">
        <v>65</v>
      </c>
      <c r="S108" s="1112">
        <f t="shared" si="8"/>
        <v>45787</v>
      </c>
      <c r="T108" s="1112">
        <v>45799</v>
      </c>
      <c r="U108" s="1112"/>
      <c r="V108" s="1084">
        <f t="shared" si="9"/>
        <v>45844</v>
      </c>
      <c r="W108" s="1136">
        <v>65</v>
      </c>
      <c r="X108" s="1112">
        <v>45847</v>
      </c>
      <c r="Y108" s="1137">
        <f t="shared" si="10"/>
        <v>0</v>
      </c>
    </row>
    <row r="109" spans="1:25" x14ac:dyDescent="0.45">
      <c r="A109" s="1088">
        <v>109</v>
      </c>
      <c r="B109" s="1088" t="str">
        <f t="shared" si="6"/>
        <v>Missing in D</v>
      </c>
      <c r="C109" s="1088" t="str">
        <f t="shared" si="11"/>
        <v>Missing in E</v>
      </c>
      <c r="E109" s="1146" t="s">
        <v>7841</v>
      </c>
      <c r="F109" s="1146" t="s">
        <v>7736</v>
      </c>
      <c r="G109" s="1146" t="s">
        <v>817</v>
      </c>
      <c r="H109" s="1147">
        <v>45799</v>
      </c>
      <c r="I109" s="1147">
        <v>45799</v>
      </c>
      <c r="J109" s="1148">
        <v>0.375</v>
      </c>
      <c r="K109" s="1148">
        <v>0.45833333333333331</v>
      </c>
      <c r="L109" s="1146" t="s">
        <v>7762</v>
      </c>
      <c r="M109" s="1146" t="s">
        <v>847</v>
      </c>
      <c r="N109" s="1146" t="s">
        <v>7842</v>
      </c>
      <c r="O109" s="1146" t="s">
        <v>7739</v>
      </c>
      <c r="P109" s="1146"/>
      <c r="Q109" s="1136">
        <v>120</v>
      </c>
      <c r="S109" s="1112">
        <f t="shared" si="8"/>
        <v>45787</v>
      </c>
      <c r="T109" s="1112">
        <v>45799</v>
      </c>
      <c r="U109" s="1112"/>
      <c r="V109" s="1084">
        <f t="shared" si="9"/>
        <v>45844</v>
      </c>
      <c r="W109" s="1136">
        <v>120</v>
      </c>
      <c r="X109" s="1112">
        <v>45847</v>
      </c>
      <c r="Y109" s="1137">
        <f t="shared" si="10"/>
        <v>0</v>
      </c>
    </row>
    <row r="110" spans="1:25" x14ac:dyDescent="0.45">
      <c r="A110" s="1088">
        <v>110</v>
      </c>
      <c r="B110" s="1088" t="str">
        <f t="shared" si="6"/>
        <v>Missing in D</v>
      </c>
      <c r="C110" s="1088" t="str">
        <f t="shared" si="11"/>
        <v>Missing in E</v>
      </c>
      <c r="E110" s="1146" t="s">
        <v>6967</v>
      </c>
      <c r="F110" s="1146" t="s">
        <v>7736</v>
      </c>
      <c r="G110" s="1146" t="s">
        <v>613</v>
      </c>
      <c r="H110" s="1147" t="s">
        <v>7843</v>
      </c>
      <c r="I110" s="1147" t="s">
        <v>7843</v>
      </c>
      <c r="J110" s="1148" t="s">
        <v>7742</v>
      </c>
      <c r="K110" s="1148" t="s">
        <v>7844</v>
      </c>
      <c r="L110" s="1146" t="s">
        <v>7845</v>
      </c>
      <c r="M110" s="1146" t="s">
        <v>350</v>
      </c>
      <c r="N110" s="1146" t="s">
        <v>6968</v>
      </c>
      <c r="O110" s="1146" t="s">
        <v>7739</v>
      </c>
      <c r="P110" s="1146"/>
      <c r="Q110" s="1083">
        <v>150</v>
      </c>
      <c r="S110" s="1112">
        <f t="shared" si="8"/>
        <v>45789</v>
      </c>
      <c r="T110" s="1112">
        <v>45801</v>
      </c>
      <c r="U110" s="1076" t="s">
        <v>7846</v>
      </c>
      <c r="V110" s="1084">
        <f t="shared" si="9"/>
        <v>45846</v>
      </c>
      <c r="W110" s="1083">
        <v>150</v>
      </c>
      <c r="X110" s="1112">
        <v>45847</v>
      </c>
      <c r="Y110" s="1137">
        <f t="shared" si="10"/>
        <v>0</v>
      </c>
    </row>
    <row r="111" spans="1:25" x14ac:dyDescent="0.45">
      <c r="A111" s="1088">
        <v>111</v>
      </c>
      <c r="B111" s="1088" t="str">
        <f t="shared" si="6"/>
        <v>Missing in D</v>
      </c>
      <c r="C111" s="1088" t="str">
        <f t="shared" si="11"/>
        <v>Missing in E</v>
      </c>
      <c r="E111" s="1146" t="s">
        <v>6971</v>
      </c>
      <c r="F111" s="1146" t="s">
        <v>7736</v>
      </c>
      <c r="G111" s="1146" t="s">
        <v>613</v>
      </c>
      <c r="H111" s="1147" t="s">
        <v>7843</v>
      </c>
      <c r="I111" s="1147" t="s">
        <v>7843</v>
      </c>
      <c r="J111" s="1148" t="s">
        <v>7742</v>
      </c>
      <c r="K111" s="1148" t="s">
        <v>7844</v>
      </c>
      <c r="L111" s="1146" t="s">
        <v>7845</v>
      </c>
      <c r="M111" s="1146" t="s">
        <v>848</v>
      </c>
      <c r="N111" s="1146" t="s">
        <v>6972</v>
      </c>
      <c r="O111" s="1146" t="s">
        <v>7739</v>
      </c>
      <c r="P111" s="1146"/>
      <c r="Q111" s="1136">
        <v>150</v>
      </c>
      <c r="S111" s="1112">
        <f t="shared" si="8"/>
        <v>45789</v>
      </c>
      <c r="T111" s="1112">
        <v>45801</v>
      </c>
      <c r="U111" s="1076" t="s">
        <v>7846</v>
      </c>
      <c r="V111" s="1084">
        <f t="shared" si="9"/>
        <v>45846</v>
      </c>
      <c r="W111" s="1136">
        <v>150</v>
      </c>
      <c r="X111" s="1112">
        <v>45847</v>
      </c>
      <c r="Y111" s="1137">
        <f t="shared" si="10"/>
        <v>0</v>
      </c>
    </row>
    <row r="112" spans="1:25" x14ac:dyDescent="0.45">
      <c r="A112" s="1088">
        <v>112</v>
      </c>
      <c r="B112" s="1088" t="str">
        <f t="shared" si="6"/>
        <v>Missing in D</v>
      </c>
      <c r="C112" s="1088" t="str">
        <f t="shared" si="11"/>
        <v>Missing in E</v>
      </c>
      <c r="E112" s="1146" t="s">
        <v>6965</v>
      </c>
      <c r="F112" s="1146" t="s">
        <v>7736</v>
      </c>
      <c r="G112" s="1146" t="s">
        <v>613</v>
      </c>
      <c r="H112" s="1147" t="s">
        <v>7843</v>
      </c>
      <c r="I112" s="1147" t="s">
        <v>7843</v>
      </c>
      <c r="J112" s="1148" t="s">
        <v>7742</v>
      </c>
      <c r="K112" s="1148" t="s">
        <v>7844</v>
      </c>
      <c r="L112" s="1146" t="s">
        <v>7845</v>
      </c>
      <c r="M112" s="1146" t="s">
        <v>849</v>
      </c>
      <c r="N112" s="1146" t="s">
        <v>6966</v>
      </c>
      <c r="O112" s="1146" t="s">
        <v>7739</v>
      </c>
      <c r="P112" s="1146"/>
      <c r="Q112" s="1136">
        <v>150</v>
      </c>
      <c r="S112" s="1112">
        <f t="shared" si="8"/>
        <v>45789</v>
      </c>
      <c r="T112" s="1112">
        <v>45801</v>
      </c>
      <c r="U112" s="1076" t="s">
        <v>7846</v>
      </c>
      <c r="V112" s="1084">
        <f t="shared" si="9"/>
        <v>45846</v>
      </c>
      <c r="W112" s="1136">
        <v>150</v>
      </c>
      <c r="X112" s="1112">
        <v>45847</v>
      </c>
      <c r="Y112" s="1137">
        <f t="shared" si="10"/>
        <v>0</v>
      </c>
    </row>
    <row r="113" spans="1:25" x14ac:dyDescent="0.45">
      <c r="A113" s="1088">
        <v>113</v>
      </c>
      <c r="B113" s="1088" t="str">
        <f t="shared" si="6"/>
        <v>Missing in D</v>
      </c>
      <c r="C113" s="1088" t="str">
        <f t="shared" si="11"/>
        <v>Missing in E</v>
      </c>
      <c r="E113" s="1146" t="s">
        <v>6974</v>
      </c>
      <c r="F113" s="1146" t="s">
        <v>7736</v>
      </c>
      <c r="G113" s="1146" t="s">
        <v>613</v>
      </c>
      <c r="H113" s="1147" t="s">
        <v>7843</v>
      </c>
      <c r="I113" s="1147" t="s">
        <v>7843</v>
      </c>
      <c r="J113" s="1148" t="s">
        <v>7742</v>
      </c>
      <c r="K113" s="1148" t="s">
        <v>7844</v>
      </c>
      <c r="L113" s="1146" t="s">
        <v>7845</v>
      </c>
      <c r="M113" s="1146" t="s">
        <v>850</v>
      </c>
      <c r="N113" s="1146" t="s">
        <v>6975</v>
      </c>
      <c r="O113" s="1146" t="s">
        <v>7739</v>
      </c>
      <c r="P113" s="1146"/>
      <c r="Q113" s="1083">
        <v>150</v>
      </c>
      <c r="S113" s="1112">
        <f t="shared" si="8"/>
        <v>45789</v>
      </c>
      <c r="T113" s="1112">
        <v>45801</v>
      </c>
      <c r="U113" s="1076" t="s">
        <v>7846</v>
      </c>
      <c r="V113" s="1084">
        <f t="shared" si="9"/>
        <v>45846</v>
      </c>
      <c r="W113" s="1083">
        <v>150</v>
      </c>
      <c r="X113" s="1112">
        <v>45847</v>
      </c>
      <c r="Y113" s="1137">
        <f t="shared" si="10"/>
        <v>0</v>
      </c>
    </row>
    <row r="114" spans="1:25" x14ac:dyDescent="0.45">
      <c r="A114" s="1088">
        <v>114</v>
      </c>
      <c r="B114" s="1088" t="str">
        <f t="shared" si="6"/>
        <v>Missing in D</v>
      </c>
      <c r="C114" s="1088" t="str">
        <f t="shared" si="11"/>
        <v>Missing in E</v>
      </c>
      <c r="E114" s="1172" t="s">
        <v>6991</v>
      </c>
      <c r="F114" s="1172" t="s">
        <v>7736</v>
      </c>
      <c r="G114" s="1172" t="s">
        <v>613</v>
      </c>
      <c r="H114" s="1173" t="s">
        <v>7843</v>
      </c>
      <c r="I114" s="1173" t="s">
        <v>7843</v>
      </c>
      <c r="J114" s="1174" t="s">
        <v>7742</v>
      </c>
      <c r="K114" s="1174" t="s">
        <v>7844</v>
      </c>
      <c r="L114" s="1172" t="s">
        <v>7845</v>
      </c>
      <c r="M114" s="1172" t="s">
        <v>851</v>
      </c>
      <c r="N114" s="1172" t="s">
        <v>6992</v>
      </c>
      <c r="O114" s="1172" t="s">
        <v>7739</v>
      </c>
      <c r="P114" s="1172"/>
      <c r="Q114" s="1083">
        <v>150</v>
      </c>
      <c r="S114" s="1112">
        <f t="shared" si="8"/>
        <v>45789</v>
      </c>
      <c r="T114" s="1112">
        <v>45801</v>
      </c>
      <c r="U114" s="1076" t="s">
        <v>7846</v>
      </c>
      <c r="V114" s="1084">
        <f t="shared" si="9"/>
        <v>45846</v>
      </c>
      <c r="W114" s="1083">
        <v>150</v>
      </c>
      <c r="X114" s="1112">
        <v>45847</v>
      </c>
      <c r="Y114" s="1137">
        <f t="shared" si="10"/>
        <v>0</v>
      </c>
    </row>
    <row r="115" spans="1:25" x14ac:dyDescent="0.45">
      <c r="A115" s="1088">
        <v>115</v>
      </c>
      <c r="B115" s="1088" t="str">
        <f t="shared" si="6"/>
        <v>Missing in D</v>
      </c>
      <c r="C115" s="1088" t="str">
        <f t="shared" si="11"/>
        <v>Missing in E</v>
      </c>
      <c r="E115" s="1146" t="s">
        <v>6983</v>
      </c>
      <c r="F115" s="1146" t="s">
        <v>7736</v>
      </c>
      <c r="G115" s="1146" t="s">
        <v>613</v>
      </c>
      <c r="H115" s="1147" t="s">
        <v>7843</v>
      </c>
      <c r="I115" s="1147" t="s">
        <v>7843</v>
      </c>
      <c r="J115" s="1148" t="s">
        <v>7742</v>
      </c>
      <c r="K115" s="1148" t="s">
        <v>7844</v>
      </c>
      <c r="L115" s="1146" t="s">
        <v>7845</v>
      </c>
      <c r="M115" s="1146" t="s">
        <v>852</v>
      </c>
      <c r="N115" s="1146" t="s">
        <v>6984</v>
      </c>
      <c r="O115" s="1146" t="s">
        <v>7739</v>
      </c>
      <c r="P115" s="1146"/>
      <c r="Q115" s="1083">
        <v>150</v>
      </c>
      <c r="S115" s="1112">
        <f t="shared" si="8"/>
        <v>45789</v>
      </c>
      <c r="T115" s="1112">
        <v>45801</v>
      </c>
      <c r="U115" s="1076" t="s">
        <v>7846</v>
      </c>
      <c r="V115" s="1084">
        <f t="shared" si="9"/>
        <v>45846</v>
      </c>
      <c r="W115" s="1083">
        <v>150</v>
      </c>
      <c r="X115" s="1112">
        <v>45847</v>
      </c>
      <c r="Y115" s="1137">
        <f t="shared" si="10"/>
        <v>0</v>
      </c>
    </row>
    <row r="116" spans="1:25" x14ac:dyDescent="0.45">
      <c r="A116" s="1088">
        <v>116</v>
      </c>
      <c r="B116" s="1088" t="str">
        <f t="shared" si="6"/>
        <v>Missing in D</v>
      </c>
      <c r="C116" s="1088" t="str">
        <f t="shared" si="11"/>
        <v>Missing in E</v>
      </c>
      <c r="E116" s="1146" t="s">
        <v>7847</v>
      </c>
      <c r="F116" s="1146" t="s">
        <v>7736</v>
      </c>
      <c r="G116" s="1146" t="s">
        <v>820</v>
      </c>
      <c r="H116" s="1147">
        <v>45804</v>
      </c>
      <c r="I116" s="1147">
        <v>45804</v>
      </c>
      <c r="J116" s="1148">
        <v>0.66666666666666663</v>
      </c>
      <c r="K116" s="1148">
        <v>0.70833333333333337</v>
      </c>
      <c r="L116" s="1146" t="s">
        <v>7762</v>
      </c>
      <c r="M116" s="1146" t="s">
        <v>837</v>
      </c>
      <c r="N116" s="1146" t="s">
        <v>7848</v>
      </c>
      <c r="O116" s="1146" t="s">
        <v>7739</v>
      </c>
      <c r="P116" s="1146"/>
      <c r="Q116" s="1136">
        <v>65</v>
      </c>
      <c r="S116" s="1112">
        <f t="shared" si="8"/>
        <v>45792</v>
      </c>
      <c r="T116" s="1112">
        <v>45804</v>
      </c>
      <c r="U116" s="1076" t="s">
        <v>7849</v>
      </c>
      <c r="V116" s="1084">
        <f t="shared" si="9"/>
        <v>45849</v>
      </c>
      <c r="W116" s="1136">
        <v>65</v>
      </c>
      <c r="X116" s="1112">
        <v>45849</v>
      </c>
      <c r="Y116" s="1137">
        <f t="shared" si="10"/>
        <v>0</v>
      </c>
    </row>
    <row r="117" spans="1:25" x14ac:dyDescent="0.45">
      <c r="A117" s="1088">
        <v>117</v>
      </c>
      <c r="B117" s="1088" t="str">
        <f t="shared" si="6"/>
        <v>Missing in D</v>
      </c>
      <c r="C117" s="1088" t="str">
        <f t="shared" si="11"/>
        <v>Missing in E</v>
      </c>
      <c r="E117" s="1146" t="s">
        <v>6285</v>
      </c>
      <c r="F117" s="1146" t="s">
        <v>7736</v>
      </c>
      <c r="G117" s="1146" t="s">
        <v>580</v>
      </c>
      <c r="H117" s="1147" t="s">
        <v>7850</v>
      </c>
      <c r="I117" s="1147" t="s">
        <v>7851</v>
      </c>
      <c r="J117" s="1148" t="s">
        <v>7778</v>
      </c>
      <c r="K117" s="1148" t="s">
        <v>7745</v>
      </c>
      <c r="L117" s="1146" t="s">
        <v>7762</v>
      </c>
      <c r="M117" s="1146" t="s">
        <v>825</v>
      </c>
      <c r="N117" s="1146" t="s">
        <v>6287</v>
      </c>
      <c r="O117" s="1146" t="s">
        <v>7739</v>
      </c>
      <c r="P117" s="1146"/>
      <c r="Q117" s="1083">
        <v>150</v>
      </c>
      <c r="S117" s="1112">
        <f t="shared" si="8"/>
        <v>45792</v>
      </c>
      <c r="T117" s="1112">
        <v>45804</v>
      </c>
      <c r="U117" s="1076" t="s">
        <v>7852</v>
      </c>
      <c r="V117" s="1084">
        <f t="shared" si="9"/>
        <v>45849</v>
      </c>
      <c r="W117" s="1083">
        <v>150</v>
      </c>
      <c r="X117" s="1112">
        <v>45849</v>
      </c>
      <c r="Y117" s="1137">
        <f t="shared" si="10"/>
        <v>0</v>
      </c>
    </row>
    <row r="118" spans="1:25" x14ac:dyDescent="0.45">
      <c r="A118" s="1088">
        <v>118</v>
      </c>
      <c r="B118" s="1088" t="str">
        <f t="shared" si="6"/>
        <v>Missing in D</v>
      </c>
      <c r="C118" s="1088" t="str">
        <f t="shared" si="11"/>
        <v>Missing in E</v>
      </c>
      <c r="E118" s="1146" t="s">
        <v>6288</v>
      </c>
      <c r="F118" s="1146" t="s">
        <v>7736</v>
      </c>
      <c r="G118" s="1146" t="s">
        <v>580</v>
      </c>
      <c r="H118" s="1147" t="s">
        <v>7850</v>
      </c>
      <c r="I118" s="1147" t="s">
        <v>7851</v>
      </c>
      <c r="J118" s="1148" t="s">
        <v>7778</v>
      </c>
      <c r="K118" s="1148" t="s">
        <v>7745</v>
      </c>
      <c r="L118" s="1146" t="s">
        <v>7762</v>
      </c>
      <c r="M118" s="1146" t="s">
        <v>826</v>
      </c>
      <c r="N118" s="1146" t="s">
        <v>6291</v>
      </c>
      <c r="O118" s="1146" t="s">
        <v>7739</v>
      </c>
      <c r="P118" s="1146"/>
      <c r="Q118" s="1083">
        <v>150</v>
      </c>
      <c r="S118" s="1112">
        <f t="shared" si="8"/>
        <v>45792</v>
      </c>
      <c r="T118" s="1112">
        <v>45804</v>
      </c>
      <c r="U118" s="1076" t="s">
        <v>7852</v>
      </c>
      <c r="V118" s="1084">
        <f t="shared" si="9"/>
        <v>45849</v>
      </c>
      <c r="W118" s="1083">
        <v>150</v>
      </c>
      <c r="X118" s="1112">
        <v>45849</v>
      </c>
      <c r="Y118" s="1137">
        <f t="shared" si="10"/>
        <v>0</v>
      </c>
    </row>
    <row r="119" spans="1:25" x14ac:dyDescent="0.45">
      <c r="A119" s="1088">
        <v>119</v>
      </c>
      <c r="B119" s="1088" t="str">
        <f t="shared" si="6"/>
        <v>Missing in D</v>
      </c>
      <c r="C119" s="1088" t="str">
        <f t="shared" si="11"/>
        <v>Missing in E</v>
      </c>
      <c r="E119" s="1146" t="s">
        <v>6292</v>
      </c>
      <c r="F119" s="1146" t="s">
        <v>7736</v>
      </c>
      <c r="G119" s="1146" t="s">
        <v>580</v>
      </c>
      <c r="H119" s="1147" t="s">
        <v>7850</v>
      </c>
      <c r="I119" s="1147" t="s">
        <v>7851</v>
      </c>
      <c r="J119" s="1148" t="s">
        <v>7778</v>
      </c>
      <c r="K119" s="1148" t="s">
        <v>7745</v>
      </c>
      <c r="L119" s="1146" t="s">
        <v>7762</v>
      </c>
      <c r="M119" s="1146" t="s">
        <v>213</v>
      </c>
      <c r="N119" s="1146" t="s">
        <v>6293</v>
      </c>
      <c r="O119" s="1146" t="s">
        <v>7739</v>
      </c>
      <c r="P119" s="1146"/>
      <c r="Q119" s="1136">
        <v>150</v>
      </c>
      <c r="S119" s="1112">
        <f t="shared" si="8"/>
        <v>45792</v>
      </c>
      <c r="T119" s="1112">
        <v>45804</v>
      </c>
      <c r="U119" s="1076" t="s">
        <v>7852</v>
      </c>
      <c r="V119" s="1084">
        <f t="shared" si="9"/>
        <v>45849</v>
      </c>
      <c r="W119" s="1136">
        <v>150</v>
      </c>
      <c r="X119" s="1112">
        <v>45849</v>
      </c>
      <c r="Y119" s="1137">
        <f t="shared" si="10"/>
        <v>0</v>
      </c>
    </row>
    <row r="120" spans="1:25" x14ac:dyDescent="0.45">
      <c r="A120" s="1088">
        <v>120</v>
      </c>
      <c r="B120" s="1088" t="str">
        <f t="shared" si="6"/>
        <v>Missing in D</v>
      </c>
      <c r="C120" s="1088" t="str">
        <f t="shared" si="11"/>
        <v>Missing in E</v>
      </c>
      <c r="E120" s="1146" t="s">
        <v>6294</v>
      </c>
      <c r="F120" s="1146" t="s">
        <v>7736</v>
      </c>
      <c r="G120" s="1146" t="s">
        <v>580</v>
      </c>
      <c r="H120" s="1147" t="s">
        <v>7850</v>
      </c>
      <c r="I120" s="1147" t="s">
        <v>7850</v>
      </c>
      <c r="J120" s="1148" t="s">
        <v>7778</v>
      </c>
      <c r="K120" s="1148" t="s">
        <v>7745</v>
      </c>
      <c r="L120" s="1146" t="s">
        <v>7762</v>
      </c>
      <c r="M120" s="1146" t="s">
        <v>827</v>
      </c>
      <c r="N120" s="1146" t="s">
        <v>6295</v>
      </c>
      <c r="O120" s="1146" t="s">
        <v>7739</v>
      </c>
      <c r="P120" s="1146"/>
      <c r="Q120" s="1083">
        <v>150</v>
      </c>
      <c r="S120" s="1112">
        <f t="shared" si="8"/>
        <v>45792</v>
      </c>
      <c r="T120" s="1112">
        <v>45804</v>
      </c>
      <c r="U120" s="1076" t="s">
        <v>7852</v>
      </c>
      <c r="V120" s="1084">
        <f t="shared" si="9"/>
        <v>45849</v>
      </c>
      <c r="W120" s="1083">
        <v>150</v>
      </c>
      <c r="X120" s="1112">
        <v>45849</v>
      </c>
      <c r="Y120" s="1137">
        <f t="shared" si="10"/>
        <v>0</v>
      </c>
    </row>
    <row r="121" spans="1:25" x14ac:dyDescent="0.45">
      <c r="A121" s="1088">
        <v>121</v>
      </c>
      <c r="B121" s="1088" t="str">
        <f t="shared" si="6"/>
        <v>Missing in D</v>
      </c>
      <c r="C121" s="1088" t="str">
        <f t="shared" si="11"/>
        <v>Missing in E</v>
      </c>
      <c r="E121" s="1146" t="s">
        <v>7853</v>
      </c>
      <c r="F121" s="1146" t="s">
        <v>7736</v>
      </c>
      <c r="G121" s="1146" t="s">
        <v>817</v>
      </c>
      <c r="H121" s="1147">
        <v>45805</v>
      </c>
      <c r="I121" s="1147">
        <v>45805</v>
      </c>
      <c r="J121" s="1148">
        <v>0.60416666666666663</v>
      </c>
      <c r="K121" s="1148">
        <v>0.6875</v>
      </c>
      <c r="L121" s="1146" t="s">
        <v>7762</v>
      </c>
      <c r="M121" s="1146" t="s">
        <v>828</v>
      </c>
      <c r="N121" s="1146" t="s">
        <v>7854</v>
      </c>
      <c r="O121" s="1146" t="s">
        <v>7739</v>
      </c>
      <c r="P121" s="1146"/>
      <c r="Q121" s="1136">
        <v>120</v>
      </c>
      <c r="S121" s="1112">
        <f t="shared" si="8"/>
        <v>45793</v>
      </c>
      <c r="T121" s="1112">
        <v>45805</v>
      </c>
      <c r="U121" s="1076" t="s">
        <v>7855</v>
      </c>
      <c r="V121" s="1084">
        <f t="shared" si="9"/>
        <v>45850</v>
      </c>
      <c r="W121" s="1136">
        <v>120</v>
      </c>
      <c r="X121" s="1112">
        <v>45849</v>
      </c>
      <c r="Y121" s="1137">
        <f t="shared" si="10"/>
        <v>0</v>
      </c>
    </row>
    <row r="122" spans="1:25" x14ac:dyDescent="0.45">
      <c r="A122" s="1088">
        <v>122</v>
      </c>
      <c r="B122" s="1088" t="str">
        <f t="shared" si="6"/>
        <v>Missing in D</v>
      </c>
      <c r="C122" s="1088" t="str">
        <f t="shared" si="11"/>
        <v>Missing in E</v>
      </c>
      <c r="E122" s="1146" t="s">
        <v>6994</v>
      </c>
      <c r="F122" s="1146" t="s">
        <v>7736</v>
      </c>
      <c r="G122" s="1146" t="s">
        <v>674</v>
      </c>
      <c r="H122" s="1147" t="s">
        <v>7856</v>
      </c>
      <c r="I122" s="1147" t="s">
        <v>7856</v>
      </c>
      <c r="J122" s="1148" t="s">
        <v>7744</v>
      </c>
      <c r="K122" s="1148" t="s">
        <v>7745</v>
      </c>
      <c r="L122" s="1146" t="s">
        <v>7828</v>
      </c>
      <c r="M122" s="1146" t="s">
        <v>829</v>
      </c>
      <c r="N122" s="1146" t="s">
        <v>6995</v>
      </c>
      <c r="O122" s="1146" t="s">
        <v>7739</v>
      </c>
      <c r="P122" s="1146"/>
      <c r="Q122" s="1083">
        <v>50</v>
      </c>
      <c r="R122" s="1076">
        <v>1</v>
      </c>
      <c r="S122" s="1112">
        <f t="shared" si="8"/>
        <v>45794</v>
      </c>
      <c r="T122" s="1112">
        <v>45806</v>
      </c>
      <c r="U122" s="1076" t="s">
        <v>7857</v>
      </c>
      <c r="V122" s="1084">
        <f t="shared" si="9"/>
        <v>45851</v>
      </c>
      <c r="W122" s="1083">
        <v>50</v>
      </c>
      <c r="X122" s="1112">
        <v>45849</v>
      </c>
      <c r="Y122" s="1137">
        <f t="shared" si="10"/>
        <v>0</v>
      </c>
    </row>
    <row r="123" spans="1:25" x14ac:dyDescent="0.45">
      <c r="A123" s="1088">
        <v>123</v>
      </c>
      <c r="B123" s="1088" t="str">
        <f t="shared" si="6"/>
        <v>Missing in D</v>
      </c>
      <c r="C123" s="1088" t="str">
        <f t="shared" si="11"/>
        <v>Missing in E</v>
      </c>
      <c r="E123" s="1146" t="s">
        <v>6997</v>
      </c>
      <c r="F123" s="1146" t="s">
        <v>7736</v>
      </c>
      <c r="G123" s="1146" t="s">
        <v>674</v>
      </c>
      <c r="H123" s="1147" t="s">
        <v>7856</v>
      </c>
      <c r="I123" s="1147" t="s">
        <v>7856</v>
      </c>
      <c r="J123" s="1148" t="s">
        <v>7744</v>
      </c>
      <c r="K123" s="1148" t="s">
        <v>7745</v>
      </c>
      <c r="L123" s="1146" t="s">
        <v>7828</v>
      </c>
      <c r="M123" s="1146" t="s">
        <v>680</v>
      </c>
      <c r="N123" s="1146" t="s">
        <v>6998</v>
      </c>
      <c r="O123" s="1146" t="s">
        <v>7739</v>
      </c>
      <c r="P123" s="1146"/>
      <c r="Q123" s="1083">
        <v>50</v>
      </c>
      <c r="S123" s="1112">
        <f t="shared" si="8"/>
        <v>45794</v>
      </c>
      <c r="T123" s="1112">
        <v>45806</v>
      </c>
      <c r="U123" s="1076" t="s">
        <v>7857</v>
      </c>
      <c r="V123" s="1084">
        <f t="shared" si="9"/>
        <v>45851</v>
      </c>
      <c r="W123" s="1083">
        <v>50</v>
      </c>
      <c r="X123" s="1112">
        <v>45849</v>
      </c>
      <c r="Y123" s="1137">
        <f t="shared" si="10"/>
        <v>0</v>
      </c>
    </row>
    <row r="124" spans="1:25" x14ac:dyDescent="0.45">
      <c r="A124" s="1088">
        <v>124</v>
      </c>
      <c r="B124" s="1088" t="str">
        <f t="shared" si="6"/>
        <v>Missing in D</v>
      </c>
      <c r="C124" s="1088" t="str">
        <f t="shared" si="11"/>
        <v>Missing in E</v>
      </c>
      <c r="E124" s="1146" t="s">
        <v>7000</v>
      </c>
      <c r="F124" s="1146" t="s">
        <v>7736</v>
      </c>
      <c r="G124" s="1146" t="s">
        <v>674</v>
      </c>
      <c r="H124" s="1147" t="s">
        <v>7856</v>
      </c>
      <c r="I124" s="1147" t="s">
        <v>7856</v>
      </c>
      <c r="J124" s="1148" t="s">
        <v>7744</v>
      </c>
      <c r="K124" s="1148" t="s">
        <v>7745</v>
      </c>
      <c r="L124" s="1146" t="s">
        <v>7828</v>
      </c>
      <c r="M124" s="1146" t="s">
        <v>830</v>
      </c>
      <c r="N124" s="1146" t="s">
        <v>7001</v>
      </c>
      <c r="O124" s="1146" t="s">
        <v>7739</v>
      </c>
      <c r="P124" s="1146"/>
      <c r="Q124" s="1136">
        <v>50</v>
      </c>
      <c r="S124" s="1112">
        <f t="shared" si="8"/>
        <v>45794</v>
      </c>
      <c r="T124" s="1112">
        <v>45806</v>
      </c>
      <c r="U124" s="1076" t="s">
        <v>7857</v>
      </c>
      <c r="V124" s="1084">
        <f t="shared" si="9"/>
        <v>45851</v>
      </c>
      <c r="W124" s="1136">
        <v>50</v>
      </c>
      <c r="X124" s="1112">
        <v>45849</v>
      </c>
      <c r="Y124" s="1137">
        <f t="shared" si="10"/>
        <v>0</v>
      </c>
    </row>
    <row r="125" spans="1:25" x14ac:dyDescent="0.45">
      <c r="A125" s="1088">
        <v>125</v>
      </c>
      <c r="B125" s="1088" t="str">
        <f t="shared" si="6"/>
        <v>Missing in D</v>
      </c>
      <c r="C125" s="1088" t="str">
        <f t="shared" si="11"/>
        <v>Missing in E</v>
      </c>
      <c r="E125" s="1146" t="s">
        <v>7003</v>
      </c>
      <c r="F125" s="1146" t="s">
        <v>7736</v>
      </c>
      <c r="G125" s="1146" t="s">
        <v>674</v>
      </c>
      <c r="H125" s="1147" t="s">
        <v>7856</v>
      </c>
      <c r="I125" s="1147" t="s">
        <v>7856</v>
      </c>
      <c r="J125" s="1148" t="s">
        <v>7744</v>
      </c>
      <c r="K125" s="1148" t="s">
        <v>7745</v>
      </c>
      <c r="L125" s="1146" t="s">
        <v>7828</v>
      </c>
      <c r="M125" s="1146" t="s">
        <v>386</v>
      </c>
      <c r="N125" s="1146" t="s">
        <v>7004</v>
      </c>
      <c r="O125" s="1146" t="s">
        <v>7739</v>
      </c>
      <c r="P125" s="1146"/>
      <c r="Q125" s="1136">
        <v>50</v>
      </c>
      <c r="S125" s="1112">
        <f t="shared" si="8"/>
        <v>45794</v>
      </c>
      <c r="T125" s="1112">
        <v>45806</v>
      </c>
      <c r="U125" s="1076" t="s">
        <v>7857</v>
      </c>
      <c r="V125" s="1084">
        <f t="shared" si="9"/>
        <v>45851</v>
      </c>
      <c r="W125" s="1136">
        <v>50</v>
      </c>
      <c r="X125" s="1112">
        <v>45849</v>
      </c>
      <c r="Y125" s="1137">
        <f t="shared" si="10"/>
        <v>0</v>
      </c>
    </row>
    <row r="126" spans="1:25" x14ac:dyDescent="0.45">
      <c r="A126" s="1088">
        <v>126</v>
      </c>
      <c r="B126" s="1088" t="str">
        <f t="shared" si="6"/>
        <v>Missing in D</v>
      </c>
      <c r="C126" s="1088" t="str">
        <f t="shared" si="11"/>
        <v>Missing in E</v>
      </c>
      <c r="E126" s="1146" t="s">
        <v>7007</v>
      </c>
      <c r="F126" s="1146" t="s">
        <v>7736</v>
      </c>
      <c r="G126" s="1146" t="s">
        <v>674</v>
      </c>
      <c r="H126" s="1147" t="s">
        <v>7856</v>
      </c>
      <c r="I126" s="1147" t="s">
        <v>7856</v>
      </c>
      <c r="J126" s="1148" t="s">
        <v>7744</v>
      </c>
      <c r="K126" s="1148" t="s">
        <v>7745</v>
      </c>
      <c r="L126" s="1146" t="s">
        <v>7828</v>
      </c>
      <c r="M126" s="1146" t="s">
        <v>643</v>
      </c>
      <c r="N126" s="1146" t="s">
        <v>7008</v>
      </c>
      <c r="O126" s="1146" t="s">
        <v>7739</v>
      </c>
      <c r="P126" s="1146"/>
      <c r="Q126" s="1136">
        <v>50</v>
      </c>
      <c r="S126" s="1112">
        <f t="shared" si="8"/>
        <v>45794</v>
      </c>
      <c r="T126" s="1112">
        <v>45806</v>
      </c>
      <c r="U126" s="1076" t="s">
        <v>7857</v>
      </c>
      <c r="V126" s="1084">
        <f t="shared" si="9"/>
        <v>45851</v>
      </c>
      <c r="W126" s="1136">
        <v>50</v>
      </c>
      <c r="X126" s="1112">
        <v>45849</v>
      </c>
      <c r="Y126" s="1137">
        <f t="shared" si="10"/>
        <v>0</v>
      </c>
    </row>
    <row r="127" spans="1:25" x14ac:dyDescent="0.45">
      <c r="A127" s="1088">
        <v>127</v>
      </c>
      <c r="B127" s="1088" t="str">
        <f t="shared" si="6"/>
        <v>Missing in D</v>
      </c>
      <c r="C127" s="1088" t="str">
        <f t="shared" si="11"/>
        <v>Missing in E</v>
      </c>
      <c r="E127" s="1146" t="s">
        <v>7009</v>
      </c>
      <c r="F127" s="1146" t="s">
        <v>7736</v>
      </c>
      <c r="G127" s="1146" t="s">
        <v>674</v>
      </c>
      <c r="H127" s="1147" t="s">
        <v>7856</v>
      </c>
      <c r="I127" s="1147" t="s">
        <v>7856</v>
      </c>
      <c r="J127" s="1148" t="s">
        <v>7744</v>
      </c>
      <c r="K127" s="1148" t="s">
        <v>7745</v>
      </c>
      <c r="L127" s="1146" t="s">
        <v>7828</v>
      </c>
      <c r="M127" s="1146" t="s">
        <v>831</v>
      </c>
      <c r="N127" s="1146" t="s">
        <v>7010</v>
      </c>
      <c r="O127" s="1146" t="s">
        <v>7739</v>
      </c>
      <c r="P127" s="1146"/>
      <c r="Q127" s="1083">
        <v>50</v>
      </c>
      <c r="S127" s="1112">
        <f t="shared" si="8"/>
        <v>45794</v>
      </c>
      <c r="T127" s="1112">
        <v>45806</v>
      </c>
      <c r="U127" s="1076" t="s">
        <v>7857</v>
      </c>
      <c r="V127" s="1084">
        <f t="shared" si="9"/>
        <v>45851</v>
      </c>
      <c r="W127" s="1083">
        <v>50</v>
      </c>
      <c r="X127" s="1112">
        <v>45849</v>
      </c>
      <c r="Y127" s="1137">
        <f t="shared" si="10"/>
        <v>0</v>
      </c>
    </row>
    <row r="128" spans="1:25" x14ac:dyDescent="0.45">
      <c r="A128" s="1088">
        <v>128</v>
      </c>
      <c r="B128" s="1088" t="str">
        <f t="shared" si="6"/>
        <v>Missing in D</v>
      </c>
      <c r="C128" s="1088" t="str">
        <f t="shared" si="11"/>
        <v>Missing in E</v>
      </c>
      <c r="E128" s="1146" t="s">
        <v>7012</v>
      </c>
      <c r="F128" s="1146" t="s">
        <v>7736</v>
      </c>
      <c r="G128" s="1146" t="s">
        <v>674</v>
      </c>
      <c r="H128" s="1147" t="s">
        <v>7856</v>
      </c>
      <c r="I128" s="1147" t="s">
        <v>7856</v>
      </c>
      <c r="J128" s="1148" t="s">
        <v>7744</v>
      </c>
      <c r="K128" s="1148" t="s">
        <v>7745</v>
      </c>
      <c r="L128" s="1146" t="s">
        <v>7828</v>
      </c>
      <c r="M128" s="1146" t="s">
        <v>832</v>
      </c>
      <c r="N128" s="1146" t="s">
        <v>7013</v>
      </c>
      <c r="O128" s="1146" t="s">
        <v>7739</v>
      </c>
      <c r="P128" s="1146"/>
      <c r="Q128" s="1083">
        <v>50</v>
      </c>
      <c r="S128" s="1112">
        <f t="shared" si="8"/>
        <v>45794</v>
      </c>
      <c r="T128" s="1112">
        <v>45806</v>
      </c>
      <c r="U128" s="1076" t="s">
        <v>7857</v>
      </c>
      <c r="V128" s="1084">
        <f t="shared" si="9"/>
        <v>45851</v>
      </c>
      <c r="W128" s="1083">
        <v>50</v>
      </c>
      <c r="X128" s="1112">
        <v>45849</v>
      </c>
      <c r="Y128" s="1137">
        <f t="shared" si="10"/>
        <v>0</v>
      </c>
    </row>
    <row r="129" spans="1:25" x14ac:dyDescent="0.45">
      <c r="A129" s="1088">
        <v>129</v>
      </c>
      <c r="B129" s="1088" t="str">
        <f t="shared" si="6"/>
        <v>Missing in D</v>
      </c>
      <c r="C129" s="1088" t="str">
        <f t="shared" si="11"/>
        <v>Missing in E</v>
      </c>
      <c r="E129" s="1146" t="s">
        <v>7016</v>
      </c>
      <c r="F129" s="1146" t="s">
        <v>7736</v>
      </c>
      <c r="G129" s="1146" t="s">
        <v>833</v>
      </c>
      <c r="H129" s="1147" t="s">
        <v>7858</v>
      </c>
      <c r="I129" s="1147" t="s">
        <v>7858</v>
      </c>
      <c r="J129" s="1148" t="s">
        <v>7783</v>
      </c>
      <c r="K129" s="1148" t="s">
        <v>7747</v>
      </c>
      <c r="L129" s="1146" t="s">
        <v>7762</v>
      </c>
      <c r="M129" s="1146" t="s">
        <v>386</v>
      </c>
      <c r="N129" s="1146" t="s">
        <v>7004</v>
      </c>
      <c r="O129" s="1146" t="s">
        <v>7739</v>
      </c>
      <c r="P129" s="1146"/>
      <c r="Q129" s="1083">
        <v>60</v>
      </c>
      <c r="S129" s="1112">
        <f t="shared" si="8"/>
        <v>45795</v>
      </c>
      <c r="T129" s="1112">
        <v>45807</v>
      </c>
      <c r="U129" s="1076" t="s">
        <v>7859</v>
      </c>
      <c r="V129" s="1084">
        <f t="shared" si="9"/>
        <v>45852</v>
      </c>
      <c r="W129" s="1083">
        <v>60</v>
      </c>
      <c r="X129" s="1112">
        <v>45849</v>
      </c>
      <c r="Y129" s="1137">
        <f t="shared" si="10"/>
        <v>0</v>
      </c>
    </row>
    <row r="130" spans="1:25" x14ac:dyDescent="0.45">
      <c r="A130" s="1088">
        <v>130</v>
      </c>
      <c r="B130" s="1088" t="str">
        <f t="shared" ref="B130:B193" si="12">IF(COUNTIF(E$2:E$273, D130)=0, "Missing in D", "")</f>
        <v>Missing in D</v>
      </c>
      <c r="C130" s="1088" t="str">
        <f t="shared" ref="C130:C161" si="13">IF(COUNTIF(D$2:D$273, E130)=0, "Missing in E", "")</f>
        <v>Missing in E</v>
      </c>
      <c r="E130" s="1146" t="s">
        <v>7019</v>
      </c>
      <c r="F130" s="1146" t="s">
        <v>7736</v>
      </c>
      <c r="G130" s="1146" t="s">
        <v>833</v>
      </c>
      <c r="H130" s="1147" t="s">
        <v>7858</v>
      </c>
      <c r="I130" s="1147" t="s">
        <v>7858</v>
      </c>
      <c r="J130" s="1148" t="s">
        <v>7783</v>
      </c>
      <c r="K130" s="1148" t="s">
        <v>7747</v>
      </c>
      <c r="L130" s="1146" t="s">
        <v>7860</v>
      </c>
      <c r="M130" s="1146" t="s">
        <v>835</v>
      </c>
      <c r="N130" s="1146" t="s">
        <v>7020</v>
      </c>
      <c r="O130" s="1146" t="s">
        <v>7739</v>
      </c>
      <c r="P130" s="1146"/>
      <c r="Q130" s="1083">
        <v>60</v>
      </c>
      <c r="S130" s="1112">
        <f t="shared" ref="S130:S193" si="14">H130-12</f>
        <v>45795</v>
      </c>
      <c r="T130" s="1112">
        <v>45807</v>
      </c>
      <c r="U130" s="1076" t="s">
        <v>7859</v>
      </c>
      <c r="V130" s="1084">
        <f t="shared" ref="V130:V193" si="15">H130+45</f>
        <v>45852</v>
      </c>
      <c r="W130" s="1083">
        <v>60</v>
      </c>
      <c r="X130" s="1112">
        <v>45849</v>
      </c>
      <c r="Y130" s="1137">
        <f t="shared" ref="Y130:Y193" si="16">Q130-W130</f>
        <v>0</v>
      </c>
    </row>
    <row r="131" spans="1:25" x14ac:dyDescent="0.45">
      <c r="A131" s="1088">
        <v>131</v>
      </c>
      <c r="B131" s="1088" t="str">
        <f t="shared" si="12"/>
        <v>Missing in D</v>
      </c>
      <c r="C131" s="1088" t="str">
        <f t="shared" si="13"/>
        <v>Missing in E</v>
      </c>
      <c r="E131" s="1146" t="s">
        <v>7022</v>
      </c>
      <c r="F131" s="1146" t="s">
        <v>7736</v>
      </c>
      <c r="G131" s="1146" t="s">
        <v>833</v>
      </c>
      <c r="H131" s="1147" t="s">
        <v>7858</v>
      </c>
      <c r="I131" s="1147" t="s">
        <v>7858</v>
      </c>
      <c r="J131" s="1148" t="s">
        <v>7783</v>
      </c>
      <c r="K131" s="1148" t="s">
        <v>7747</v>
      </c>
      <c r="L131" s="1146" t="s">
        <v>7860</v>
      </c>
      <c r="M131" s="1146" t="s">
        <v>836</v>
      </c>
      <c r="N131" s="1146" t="s">
        <v>7023</v>
      </c>
      <c r="O131" s="1146" t="s">
        <v>7739</v>
      </c>
      <c r="P131" s="1146"/>
      <c r="Q131" s="1136">
        <v>60</v>
      </c>
      <c r="S131" s="1112">
        <f t="shared" si="14"/>
        <v>45795</v>
      </c>
      <c r="T131" s="1112">
        <v>45807</v>
      </c>
      <c r="U131" s="1076" t="s">
        <v>7859</v>
      </c>
      <c r="V131" s="1084">
        <f t="shared" si="15"/>
        <v>45852</v>
      </c>
      <c r="W131" s="1136">
        <v>60</v>
      </c>
      <c r="X131" s="1112">
        <v>45849</v>
      </c>
      <c r="Y131" s="1137">
        <f t="shared" si="16"/>
        <v>0</v>
      </c>
    </row>
    <row r="132" spans="1:25" x14ac:dyDescent="0.45">
      <c r="A132" s="1088">
        <v>132</v>
      </c>
      <c r="B132" s="1088" t="str">
        <f t="shared" si="12"/>
        <v>Missing in D</v>
      </c>
      <c r="C132" s="1088" t="str">
        <f t="shared" si="13"/>
        <v>Missing in E</v>
      </c>
      <c r="E132" s="1146" t="s">
        <v>7861</v>
      </c>
      <c r="F132" s="1146" t="s">
        <v>7736</v>
      </c>
      <c r="G132" s="1146" t="s">
        <v>820</v>
      </c>
      <c r="H132" s="1147">
        <v>45814</v>
      </c>
      <c r="I132" s="1147">
        <v>45814</v>
      </c>
      <c r="J132" s="1148">
        <v>0.66666666666666663</v>
      </c>
      <c r="K132" s="1148">
        <v>0.70833333333333337</v>
      </c>
      <c r="L132" s="1146" t="s">
        <v>7762</v>
      </c>
      <c r="M132" s="1146" t="s">
        <v>819</v>
      </c>
      <c r="N132" s="1146" t="s">
        <v>7862</v>
      </c>
      <c r="O132" s="1146" t="s">
        <v>7739</v>
      </c>
      <c r="P132" s="1146"/>
      <c r="Q132" s="1136">
        <v>65</v>
      </c>
      <c r="S132" s="1112">
        <f t="shared" si="14"/>
        <v>45802</v>
      </c>
      <c r="T132" s="1112">
        <v>45814</v>
      </c>
      <c r="U132" s="1076" t="s">
        <v>7863</v>
      </c>
      <c r="V132" s="1084">
        <f t="shared" si="15"/>
        <v>45859</v>
      </c>
      <c r="W132" s="1136">
        <v>65</v>
      </c>
      <c r="X132" s="1112">
        <v>45856</v>
      </c>
      <c r="Y132" s="1137">
        <f t="shared" si="16"/>
        <v>0</v>
      </c>
    </row>
    <row r="133" spans="1:25" x14ac:dyDescent="0.45">
      <c r="A133" s="1088">
        <v>133</v>
      </c>
      <c r="B133" s="1088" t="str">
        <f t="shared" si="12"/>
        <v>Missing in D</v>
      </c>
      <c r="C133" s="1088" t="str">
        <f t="shared" si="13"/>
        <v>Missing in E</v>
      </c>
      <c r="E133" s="1146" t="s">
        <v>6296</v>
      </c>
      <c r="F133" s="1146" t="s">
        <v>7736</v>
      </c>
      <c r="G133" s="1146" t="s">
        <v>580</v>
      </c>
      <c r="H133" s="1147" t="s">
        <v>7864</v>
      </c>
      <c r="I133" s="1147">
        <v>45834</v>
      </c>
      <c r="J133" s="1148" t="s">
        <v>7778</v>
      </c>
      <c r="K133" s="1148" t="s">
        <v>7745</v>
      </c>
      <c r="L133" s="1146" t="s">
        <v>7762</v>
      </c>
      <c r="M133" s="1146" t="s">
        <v>814</v>
      </c>
      <c r="N133" s="1146" t="s">
        <v>6297</v>
      </c>
      <c r="O133" s="1146" t="s">
        <v>7739</v>
      </c>
      <c r="P133" s="1146"/>
      <c r="Q133" s="1136">
        <v>150</v>
      </c>
      <c r="S133" s="1112">
        <f t="shared" si="14"/>
        <v>45808</v>
      </c>
      <c r="T133" s="1112">
        <v>45820</v>
      </c>
      <c r="U133" s="1076" t="s">
        <v>7865</v>
      </c>
      <c r="V133" s="1084">
        <f t="shared" si="15"/>
        <v>45865</v>
      </c>
      <c r="W133" s="1136">
        <v>150</v>
      </c>
      <c r="X133" s="1112">
        <v>45862</v>
      </c>
      <c r="Y133" s="1137">
        <f t="shared" si="16"/>
        <v>0</v>
      </c>
    </row>
    <row r="134" spans="1:25" x14ac:dyDescent="0.45">
      <c r="A134" s="1088">
        <v>134</v>
      </c>
      <c r="B134" s="1088" t="str">
        <f t="shared" si="12"/>
        <v>Missing in D</v>
      </c>
      <c r="C134" s="1088" t="str">
        <f t="shared" si="13"/>
        <v>Missing in E</v>
      </c>
      <c r="E134" s="1146" t="s">
        <v>6299</v>
      </c>
      <c r="F134" s="1146" t="s">
        <v>7736</v>
      </c>
      <c r="G134" s="1146" t="s">
        <v>580</v>
      </c>
      <c r="H134" s="1147" t="s">
        <v>7864</v>
      </c>
      <c r="I134" s="1147">
        <v>45834</v>
      </c>
      <c r="J134" s="1148" t="s">
        <v>7778</v>
      </c>
      <c r="K134" s="1148" t="s">
        <v>7745</v>
      </c>
      <c r="L134" s="1146" t="s">
        <v>7762</v>
      </c>
      <c r="M134" s="1146" t="s">
        <v>815</v>
      </c>
      <c r="N134" s="1146" t="s">
        <v>6300</v>
      </c>
      <c r="O134" s="1146" t="s">
        <v>7739</v>
      </c>
      <c r="P134" s="1146"/>
      <c r="Q134" s="1136">
        <v>150</v>
      </c>
      <c r="S134" s="1112">
        <f t="shared" si="14"/>
        <v>45808</v>
      </c>
      <c r="T134" s="1112">
        <v>45820</v>
      </c>
      <c r="U134" s="1076" t="s">
        <v>7865</v>
      </c>
      <c r="V134" s="1084">
        <f t="shared" si="15"/>
        <v>45865</v>
      </c>
      <c r="W134" s="1136">
        <v>150</v>
      </c>
      <c r="X134" s="1112">
        <v>45862</v>
      </c>
      <c r="Y134" s="1137">
        <f t="shared" si="16"/>
        <v>0</v>
      </c>
    </row>
    <row r="135" spans="1:25" x14ac:dyDescent="0.45">
      <c r="A135" s="1088">
        <v>135</v>
      </c>
      <c r="B135" s="1088" t="str">
        <f t="shared" si="12"/>
        <v>Missing in D</v>
      </c>
      <c r="C135" s="1088" t="str">
        <f t="shared" si="13"/>
        <v>Missing in E</v>
      </c>
      <c r="E135" s="1146" t="s">
        <v>7866</v>
      </c>
      <c r="F135" s="1146" t="s">
        <v>7736</v>
      </c>
      <c r="G135" s="1146" t="s">
        <v>817</v>
      </c>
      <c r="H135" s="1147">
        <v>45821</v>
      </c>
      <c r="I135" s="1147">
        <v>45821</v>
      </c>
      <c r="J135" s="1148">
        <v>0.58333333333333337</v>
      </c>
      <c r="K135" s="1148">
        <v>0.66666666666666663</v>
      </c>
      <c r="L135" s="1146" t="s">
        <v>7762</v>
      </c>
      <c r="M135" s="1146" t="s">
        <v>816</v>
      </c>
      <c r="N135" s="1146" t="s">
        <v>7867</v>
      </c>
      <c r="O135" s="1146" t="s">
        <v>7739</v>
      </c>
      <c r="P135" s="1146"/>
      <c r="Q135" s="1136">
        <v>120</v>
      </c>
      <c r="S135" s="1112">
        <f t="shared" si="14"/>
        <v>45809</v>
      </c>
      <c r="T135" s="1112">
        <v>45821</v>
      </c>
      <c r="U135" s="1076" t="s">
        <v>7868</v>
      </c>
      <c r="V135" s="1084">
        <f t="shared" si="15"/>
        <v>45866</v>
      </c>
      <c r="W135" s="1136">
        <v>120</v>
      </c>
      <c r="X135" s="1112">
        <v>45862</v>
      </c>
      <c r="Y135" s="1137">
        <f t="shared" si="16"/>
        <v>0</v>
      </c>
    </row>
    <row r="136" spans="1:25" x14ac:dyDescent="0.45">
      <c r="A136" s="1088">
        <v>136</v>
      </c>
      <c r="B136" s="1088" t="str">
        <f t="shared" si="12"/>
        <v>Missing in D</v>
      </c>
      <c r="C136" s="1088" t="str">
        <f t="shared" si="13"/>
        <v>Missing in E</v>
      </c>
      <c r="E136" s="1146" t="s">
        <v>6307</v>
      </c>
      <c r="F136" s="1146" t="s">
        <v>7736</v>
      </c>
      <c r="G136" s="1146" t="s">
        <v>580</v>
      </c>
      <c r="H136" s="1147" t="s">
        <v>7869</v>
      </c>
      <c r="I136" s="1147" t="s">
        <v>7870</v>
      </c>
      <c r="J136" s="1148" t="s">
        <v>7778</v>
      </c>
      <c r="K136" s="1148" t="s">
        <v>7745</v>
      </c>
      <c r="L136" s="1146" t="s">
        <v>7762</v>
      </c>
      <c r="M136" s="1146" t="s">
        <v>796</v>
      </c>
      <c r="N136" s="1146" t="s">
        <v>6308</v>
      </c>
      <c r="O136" s="1146" t="s">
        <v>7739</v>
      </c>
      <c r="P136" s="1146"/>
      <c r="Q136" s="1083">
        <v>150</v>
      </c>
      <c r="S136" s="1112">
        <f t="shared" si="14"/>
        <v>45828</v>
      </c>
      <c r="T136" s="1112">
        <v>45840</v>
      </c>
      <c r="U136" s="1076" t="s">
        <v>7871</v>
      </c>
      <c r="V136" s="1084">
        <f t="shared" si="15"/>
        <v>45885</v>
      </c>
      <c r="W136" s="1136">
        <v>150</v>
      </c>
      <c r="X136" s="1112">
        <v>45884</v>
      </c>
      <c r="Y136" s="1137">
        <f t="shared" si="16"/>
        <v>0</v>
      </c>
    </row>
    <row r="137" spans="1:25" x14ac:dyDescent="0.45">
      <c r="A137" s="1088">
        <v>137</v>
      </c>
      <c r="B137" s="1088" t="str">
        <f t="shared" si="12"/>
        <v>Missing in D</v>
      </c>
      <c r="C137" s="1088" t="str">
        <f t="shared" si="13"/>
        <v>Missing in E</v>
      </c>
      <c r="E137" s="1146" t="s">
        <v>6309</v>
      </c>
      <c r="F137" s="1146" t="s">
        <v>7736</v>
      </c>
      <c r="G137" s="1146" t="s">
        <v>580</v>
      </c>
      <c r="H137" s="1147" t="s">
        <v>7869</v>
      </c>
      <c r="I137" s="1147" t="s">
        <v>7870</v>
      </c>
      <c r="J137" s="1148" t="s">
        <v>7778</v>
      </c>
      <c r="K137" s="1148" t="s">
        <v>7745</v>
      </c>
      <c r="L137" s="1146" t="s">
        <v>7762</v>
      </c>
      <c r="M137" s="1146" t="s">
        <v>797</v>
      </c>
      <c r="N137" s="1146" t="s">
        <v>6310</v>
      </c>
      <c r="O137" s="1146" t="s">
        <v>7739</v>
      </c>
      <c r="P137" s="1146"/>
      <c r="Q137" s="1083">
        <v>150</v>
      </c>
      <c r="S137" s="1112">
        <f t="shared" si="14"/>
        <v>45828</v>
      </c>
      <c r="T137" s="1112">
        <v>45840</v>
      </c>
      <c r="U137" s="1076" t="s">
        <v>7871</v>
      </c>
      <c r="V137" s="1084">
        <f t="shared" si="15"/>
        <v>45885</v>
      </c>
      <c r="W137" s="1136">
        <v>150</v>
      </c>
      <c r="X137" s="1112">
        <v>45884</v>
      </c>
      <c r="Y137" s="1137">
        <f t="shared" si="16"/>
        <v>0</v>
      </c>
    </row>
    <row r="138" spans="1:25" x14ac:dyDescent="0.45">
      <c r="A138" s="1088">
        <v>138</v>
      </c>
      <c r="B138" s="1088" t="str">
        <f t="shared" si="12"/>
        <v>Missing in D</v>
      </c>
      <c r="C138" s="1088" t="str">
        <f t="shared" si="13"/>
        <v>Missing in E</v>
      </c>
      <c r="E138" s="1146" t="s">
        <v>6311</v>
      </c>
      <c r="F138" s="1146" t="s">
        <v>7736</v>
      </c>
      <c r="G138" s="1146" t="s">
        <v>580</v>
      </c>
      <c r="H138" s="1147" t="s">
        <v>7869</v>
      </c>
      <c r="I138" s="1147" t="s">
        <v>7870</v>
      </c>
      <c r="J138" s="1148" t="s">
        <v>7778</v>
      </c>
      <c r="K138" s="1148" t="s">
        <v>7745</v>
      </c>
      <c r="L138" s="1146" t="s">
        <v>7762</v>
      </c>
      <c r="M138" s="1146" t="s">
        <v>798</v>
      </c>
      <c r="N138" s="1146" t="s">
        <v>6312</v>
      </c>
      <c r="O138" s="1146" t="s">
        <v>7739</v>
      </c>
      <c r="P138" s="1146"/>
      <c r="Q138" s="1083">
        <v>150</v>
      </c>
      <c r="S138" s="1112">
        <f t="shared" si="14"/>
        <v>45828</v>
      </c>
      <c r="T138" s="1112">
        <v>45840</v>
      </c>
      <c r="U138" s="1076" t="s">
        <v>7871</v>
      </c>
      <c r="V138" s="1084">
        <f t="shared" si="15"/>
        <v>45885</v>
      </c>
      <c r="W138" s="1136">
        <v>150</v>
      </c>
      <c r="X138" s="1112">
        <v>45884</v>
      </c>
      <c r="Y138" s="1137">
        <f t="shared" si="16"/>
        <v>0</v>
      </c>
    </row>
    <row r="139" spans="1:25" x14ac:dyDescent="0.45">
      <c r="A139" s="1088">
        <v>139</v>
      </c>
      <c r="B139" s="1088" t="str">
        <f t="shared" si="12"/>
        <v>Missing in D</v>
      </c>
      <c r="C139" s="1088" t="str">
        <f t="shared" si="13"/>
        <v>Missing in E</v>
      </c>
      <c r="D139" s="1088" t="s">
        <v>7820</v>
      </c>
      <c r="E139" s="1146" t="s">
        <v>6313</v>
      </c>
      <c r="F139" s="1146" t="s">
        <v>7736</v>
      </c>
      <c r="G139" s="1146" t="s">
        <v>580</v>
      </c>
      <c r="H139" s="1147" t="s">
        <v>7869</v>
      </c>
      <c r="I139" s="1147" t="s">
        <v>7870</v>
      </c>
      <c r="J139" s="1148" t="s">
        <v>7778</v>
      </c>
      <c r="K139" s="1148" t="s">
        <v>7745</v>
      </c>
      <c r="L139" s="1146" t="s">
        <v>7762</v>
      </c>
      <c r="M139" s="1146" t="s">
        <v>799</v>
      </c>
      <c r="N139" s="1146" t="s">
        <v>6314</v>
      </c>
      <c r="O139" s="1146" t="s">
        <v>7739</v>
      </c>
      <c r="P139" s="1146"/>
      <c r="Q139" s="1083">
        <v>150</v>
      </c>
      <c r="R139" s="1076">
        <v>1</v>
      </c>
      <c r="S139" s="1112">
        <f t="shared" si="14"/>
        <v>45828</v>
      </c>
      <c r="T139" s="1112">
        <v>45840</v>
      </c>
      <c r="U139" s="1076" t="s">
        <v>7871</v>
      </c>
      <c r="V139" s="1084">
        <f t="shared" si="15"/>
        <v>45885</v>
      </c>
      <c r="W139" s="1136">
        <v>150</v>
      </c>
      <c r="X139" s="1112">
        <v>45884</v>
      </c>
      <c r="Y139" s="1137">
        <f t="shared" si="16"/>
        <v>0</v>
      </c>
    </row>
    <row r="140" spans="1:25" x14ac:dyDescent="0.45">
      <c r="A140" s="1088">
        <v>140</v>
      </c>
      <c r="B140" s="1088" t="str">
        <f t="shared" si="12"/>
        <v>Missing in D</v>
      </c>
      <c r="C140" s="1088" t="str">
        <f t="shared" si="13"/>
        <v>Missing in E</v>
      </c>
      <c r="E140" s="1146" t="s">
        <v>7046</v>
      </c>
      <c r="F140" s="1146" t="s">
        <v>7736</v>
      </c>
      <c r="G140" s="1146" t="s">
        <v>801</v>
      </c>
      <c r="H140" s="1147" t="s">
        <v>7872</v>
      </c>
      <c r="I140" s="1147" t="s">
        <v>7872</v>
      </c>
      <c r="J140" s="1148" t="s">
        <v>7804</v>
      </c>
      <c r="K140" s="1148" t="s">
        <v>7825</v>
      </c>
      <c r="L140" s="1146" t="s">
        <v>7762</v>
      </c>
      <c r="M140" s="1146" t="s">
        <v>800</v>
      </c>
      <c r="N140" s="1146" t="s">
        <v>6823</v>
      </c>
      <c r="O140" s="1146" t="s">
        <v>7739</v>
      </c>
      <c r="P140" s="1146"/>
      <c r="Q140" s="1083">
        <v>35</v>
      </c>
      <c r="R140" s="1076">
        <v>1</v>
      </c>
      <c r="S140" s="1112">
        <f t="shared" si="14"/>
        <v>45832</v>
      </c>
      <c r="T140" s="1112">
        <v>45844</v>
      </c>
      <c r="U140" s="1076" t="s">
        <v>7873</v>
      </c>
      <c r="V140" s="1084">
        <f t="shared" si="15"/>
        <v>45889</v>
      </c>
      <c r="W140" s="1136">
        <v>35</v>
      </c>
      <c r="X140" s="1112">
        <v>45884</v>
      </c>
      <c r="Y140" s="1137">
        <f t="shared" si="16"/>
        <v>0</v>
      </c>
    </row>
    <row r="141" spans="1:25" x14ac:dyDescent="0.45">
      <c r="A141" s="1088">
        <v>141</v>
      </c>
      <c r="B141" s="1088" t="str">
        <f t="shared" si="12"/>
        <v>Missing in D</v>
      </c>
      <c r="C141" s="1088" t="str">
        <f t="shared" si="13"/>
        <v>Missing in E</v>
      </c>
      <c r="E141" s="1146" t="s">
        <v>7047</v>
      </c>
      <c r="F141" s="1146" t="s">
        <v>7736</v>
      </c>
      <c r="G141" s="1146" t="s">
        <v>801</v>
      </c>
      <c r="H141" s="1147" t="s">
        <v>7872</v>
      </c>
      <c r="I141" s="1147" t="s">
        <v>7872</v>
      </c>
      <c r="J141" s="1148" t="s">
        <v>7804</v>
      </c>
      <c r="K141" s="1148" t="s">
        <v>7825</v>
      </c>
      <c r="L141" s="1146" t="s">
        <v>7762</v>
      </c>
      <c r="M141" s="1146" t="s">
        <v>802</v>
      </c>
      <c r="N141" s="1146" t="s">
        <v>7050</v>
      </c>
      <c r="O141" s="1146" t="s">
        <v>7739</v>
      </c>
      <c r="P141" s="1146"/>
      <c r="Q141" s="1083">
        <v>35</v>
      </c>
      <c r="S141" s="1112">
        <f t="shared" si="14"/>
        <v>45832</v>
      </c>
      <c r="T141" s="1112">
        <v>45844</v>
      </c>
      <c r="U141" s="1076" t="s">
        <v>7873</v>
      </c>
      <c r="V141" s="1084">
        <f t="shared" si="15"/>
        <v>45889</v>
      </c>
      <c r="W141" s="1136">
        <v>35</v>
      </c>
      <c r="X141" s="1112">
        <v>45884</v>
      </c>
      <c r="Y141" s="1137">
        <f t="shared" si="16"/>
        <v>0</v>
      </c>
    </row>
    <row r="142" spans="1:25" x14ac:dyDescent="0.45">
      <c r="A142" s="1088">
        <v>142</v>
      </c>
      <c r="B142" s="1088" t="str">
        <f t="shared" si="12"/>
        <v>Missing in D</v>
      </c>
      <c r="C142" s="1088" t="str">
        <f t="shared" si="13"/>
        <v>Missing in E</v>
      </c>
      <c r="E142" s="1146" t="s">
        <v>7055</v>
      </c>
      <c r="F142" s="1146" t="s">
        <v>7736</v>
      </c>
      <c r="G142" s="1146" t="s">
        <v>801</v>
      </c>
      <c r="H142" s="1147" t="s">
        <v>7872</v>
      </c>
      <c r="I142" s="1147" t="s">
        <v>7872</v>
      </c>
      <c r="J142" s="1148" t="s">
        <v>7804</v>
      </c>
      <c r="K142" s="1148" t="s">
        <v>7825</v>
      </c>
      <c r="L142" s="1146" t="s">
        <v>7762</v>
      </c>
      <c r="M142" s="1146" t="s">
        <v>803</v>
      </c>
      <c r="N142" s="1146" t="s">
        <v>6910</v>
      </c>
      <c r="O142" s="1146" t="s">
        <v>7739</v>
      </c>
      <c r="P142" s="1146"/>
      <c r="Q142" s="1083">
        <v>35</v>
      </c>
      <c r="S142" s="1112">
        <f t="shared" si="14"/>
        <v>45832</v>
      </c>
      <c r="T142" s="1112">
        <v>45844</v>
      </c>
      <c r="U142" s="1076" t="s">
        <v>7873</v>
      </c>
      <c r="V142" s="1084">
        <f t="shared" si="15"/>
        <v>45889</v>
      </c>
      <c r="W142" s="1136">
        <v>35</v>
      </c>
      <c r="X142" s="1112">
        <v>45884</v>
      </c>
      <c r="Y142" s="1137">
        <f t="shared" si="16"/>
        <v>0</v>
      </c>
    </row>
    <row r="143" spans="1:25" x14ac:dyDescent="0.45">
      <c r="A143" s="1088">
        <v>143</v>
      </c>
      <c r="B143" s="1088" t="str">
        <f t="shared" si="12"/>
        <v>Missing in D</v>
      </c>
      <c r="C143" s="1088" t="str">
        <f t="shared" si="13"/>
        <v>Missing in E</v>
      </c>
      <c r="E143" s="1146" t="s">
        <v>7058</v>
      </c>
      <c r="F143" s="1146" t="s">
        <v>7736</v>
      </c>
      <c r="G143" s="1146" t="s">
        <v>788</v>
      </c>
      <c r="H143" s="1147" t="s">
        <v>7874</v>
      </c>
      <c r="I143" s="1147" t="s">
        <v>7874</v>
      </c>
      <c r="J143" s="1148" t="s">
        <v>7875</v>
      </c>
      <c r="K143" s="1148" t="s">
        <v>7876</v>
      </c>
      <c r="L143" s="1146" t="s">
        <v>7877</v>
      </c>
      <c r="M143" s="1146" t="s">
        <v>787</v>
      </c>
      <c r="N143" s="1146" t="s">
        <v>6591</v>
      </c>
      <c r="O143" s="1146" t="s">
        <v>7739</v>
      </c>
      <c r="P143" s="1146"/>
      <c r="Q143" s="1083">
        <v>95</v>
      </c>
      <c r="S143" s="1112">
        <f t="shared" si="14"/>
        <v>45838</v>
      </c>
      <c r="T143" s="1112">
        <v>45850</v>
      </c>
      <c r="U143" s="1076" t="s">
        <v>7878</v>
      </c>
      <c r="V143" s="1084">
        <f t="shared" si="15"/>
        <v>45895</v>
      </c>
      <c r="W143" s="1136">
        <v>95</v>
      </c>
      <c r="X143" s="1112">
        <v>45891</v>
      </c>
      <c r="Y143" s="1137">
        <f t="shared" si="16"/>
        <v>0</v>
      </c>
    </row>
    <row r="144" spans="1:25" x14ac:dyDescent="0.45">
      <c r="A144" s="1088">
        <v>144</v>
      </c>
      <c r="B144" s="1088" t="str">
        <f t="shared" si="12"/>
        <v>Missing in D</v>
      </c>
      <c r="C144" s="1088" t="str">
        <f t="shared" si="13"/>
        <v>Missing in E</v>
      </c>
      <c r="E144" s="1146" t="s">
        <v>7036</v>
      </c>
      <c r="F144" s="1146" t="s">
        <v>7736</v>
      </c>
      <c r="G144" s="1146" t="s">
        <v>762</v>
      </c>
      <c r="H144" s="1147" t="s">
        <v>7879</v>
      </c>
      <c r="I144" s="1147" t="s">
        <v>7879</v>
      </c>
      <c r="J144" s="1148" t="s">
        <v>7880</v>
      </c>
      <c r="K144" s="1148" t="s">
        <v>7881</v>
      </c>
      <c r="L144" s="1146" t="s">
        <v>7860</v>
      </c>
      <c r="M144" s="1146" t="s">
        <v>761</v>
      </c>
      <c r="N144" s="1146" t="s">
        <v>7037</v>
      </c>
      <c r="O144" s="1146" t="s">
        <v>7739</v>
      </c>
      <c r="P144" s="1146"/>
      <c r="Q144" s="1083">
        <v>150</v>
      </c>
      <c r="S144" s="1112">
        <f t="shared" si="14"/>
        <v>45852</v>
      </c>
      <c r="T144" s="1112">
        <v>45864</v>
      </c>
      <c r="U144" s="1076" t="s">
        <v>7882</v>
      </c>
      <c r="V144" s="1084">
        <f t="shared" si="15"/>
        <v>45909</v>
      </c>
      <c r="W144" s="1136">
        <v>150</v>
      </c>
      <c r="X144" s="1112">
        <v>45906</v>
      </c>
      <c r="Y144" s="1137">
        <f t="shared" si="16"/>
        <v>0</v>
      </c>
    </row>
    <row r="145" spans="1:25" x14ac:dyDescent="0.45">
      <c r="A145" s="1088">
        <v>145</v>
      </c>
      <c r="B145" s="1088" t="str">
        <f t="shared" si="12"/>
        <v>Missing in D</v>
      </c>
      <c r="C145" s="1088" t="str">
        <f t="shared" si="13"/>
        <v>Missing in E</v>
      </c>
      <c r="E145" s="1146" t="s">
        <v>7027</v>
      </c>
      <c r="F145" s="1146" t="s">
        <v>7736</v>
      </c>
      <c r="G145" s="1146" t="s">
        <v>762</v>
      </c>
      <c r="H145" s="1147" t="s">
        <v>7879</v>
      </c>
      <c r="I145" s="1147" t="s">
        <v>7879</v>
      </c>
      <c r="J145" s="1148" t="s">
        <v>7883</v>
      </c>
      <c r="K145" s="1148" t="s">
        <v>7881</v>
      </c>
      <c r="L145" s="1146" t="s">
        <v>7860</v>
      </c>
      <c r="M145" s="1146" t="s">
        <v>763</v>
      </c>
      <c r="N145" s="1146" t="s">
        <v>7029</v>
      </c>
      <c r="O145" s="1146" t="s">
        <v>7739</v>
      </c>
      <c r="P145" s="1146"/>
      <c r="Q145" s="1083">
        <v>150</v>
      </c>
      <c r="R145" s="1076">
        <v>1</v>
      </c>
      <c r="S145" s="1112">
        <f t="shared" si="14"/>
        <v>45852</v>
      </c>
      <c r="T145" s="1112">
        <v>45864</v>
      </c>
      <c r="U145" s="1076" t="s">
        <v>7882</v>
      </c>
      <c r="V145" s="1084">
        <f t="shared" si="15"/>
        <v>45909</v>
      </c>
      <c r="W145" s="1136">
        <v>150</v>
      </c>
      <c r="X145" s="1112">
        <v>45906</v>
      </c>
      <c r="Y145" s="1137">
        <f t="shared" si="16"/>
        <v>0</v>
      </c>
    </row>
    <row r="146" spans="1:25" x14ac:dyDescent="0.45">
      <c r="A146" s="1088">
        <v>146</v>
      </c>
      <c r="B146" s="1088" t="str">
        <f t="shared" si="12"/>
        <v>Missing in D</v>
      </c>
      <c r="C146" s="1088" t="str">
        <f t="shared" si="13"/>
        <v>Missing in E</v>
      </c>
      <c r="E146" s="1146" t="s">
        <v>7031</v>
      </c>
      <c r="F146" s="1146" t="s">
        <v>7736</v>
      </c>
      <c r="G146" s="1146" t="s">
        <v>762</v>
      </c>
      <c r="H146" s="1147" t="s">
        <v>7879</v>
      </c>
      <c r="I146" s="1147" t="s">
        <v>7879</v>
      </c>
      <c r="J146" s="1148" t="s">
        <v>7883</v>
      </c>
      <c r="K146" s="1148" t="s">
        <v>7881</v>
      </c>
      <c r="L146" s="1146" t="s">
        <v>7860</v>
      </c>
      <c r="M146" s="1146" t="s">
        <v>764</v>
      </c>
      <c r="N146" s="1146" t="s">
        <v>7034</v>
      </c>
      <c r="O146" s="1146" t="s">
        <v>7739</v>
      </c>
      <c r="P146" s="1146"/>
      <c r="Q146" s="1083">
        <v>150</v>
      </c>
      <c r="S146" s="1112">
        <f t="shared" si="14"/>
        <v>45852</v>
      </c>
      <c r="T146" s="1112">
        <v>45864</v>
      </c>
      <c r="U146" s="1076" t="s">
        <v>7882</v>
      </c>
      <c r="V146" s="1084">
        <f t="shared" si="15"/>
        <v>45909</v>
      </c>
      <c r="W146" s="1136">
        <v>150</v>
      </c>
      <c r="X146" s="1112">
        <v>45906</v>
      </c>
      <c r="Y146" s="1137">
        <f t="shared" si="16"/>
        <v>0</v>
      </c>
    </row>
    <row r="147" spans="1:25" x14ac:dyDescent="0.45">
      <c r="A147" s="1088">
        <v>147</v>
      </c>
      <c r="B147" s="1088" t="str">
        <f t="shared" si="12"/>
        <v>Missing in D</v>
      </c>
      <c r="C147" s="1088" t="str">
        <f t="shared" si="13"/>
        <v>Missing in E</v>
      </c>
      <c r="E147" s="1146" t="s">
        <v>7039</v>
      </c>
      <c r="F147" s="1146" t="s">
        <v>7736</v>
      </c>
      <c r="G147" s="1146" t="s">
        <v>762</v>
      </c>
      <c r="H147" s="1147" t="s">
        <v>7879</v>
      </c>
      <c r="I147" s="1147" t="s">
        <v>7879</v>
      </c>
      <c r="J147" s="1148" t="s">
        <v>7883</v>
      </c>
      <c r="K147" s="1148" t="s">
        <v>7881</v>
      </c>
      <c r="L147" s="1146" t="s">
        <v>7860</v>
      </c>
      <c r="M147" s="1146" t="s">
        <v>765</v>
      </c>
      <c r="N147" s="1146" t="s">
        <v>7040</v>
      </c>
      <c r="O147" s="1146" t="s">
        <v>7739</v>
      </c>
      <c r="P147" s="1146"/>
      <c r="Q147" s="1083">
        <v>150</v>
      </c>
      <c r="R147" s="1076">
        <v>1</v>
      </c>
      <c r="S147" s="1112">
        <f t="shared" si="14"/>
        <v>45852</v>
      </c>
      <c r="T147" s="1112">
        <v>45864</v>
      </c>
      <c r="U147" s="1076" t="s">
        <v>7882</v>
      </c>
      <c r="V147" s="1084">
        <f t="shared" si="15"/>
        <v>45909</v>
      </c>
      <c r="W147" s="1136">
        <v>150</v>
      </c>
      <c r="X147" s="1112">
        <v>45906</v>
      </c>
      <c r="Y147" s="1137">
        <f t="shared" si="16"/>
        <v>0</v>
      </c>
    </row>
    <row r="148" spans="1:25" x14ac:dyDescent="0.45">
      <c r="A148" s="1088">
        <v>148</v>
      </c>
      <c r="B148" s="1088" t="str">
        <f t="shared" si="12"/>
        <v>Missing in D</v>
      </c>
      <c r="C148" s="1088" t="str">
        <f t="shared" si="13"/>
        <v>Missing in E</v>
      </c>
      <c r="E148" s="1146" t="s">
        <v>7064</v>
      </c>
      <c r="F148" s="1146" t="s">
        <v>7736</v>
      </c>
      <c r="G148" s="1146" t="s">
        <v>762</v>
      </c>
      <c r="H148" s="1147" t="s">
        <v>7879</v>
      </c>
      <c r="I148" s="1147" t="s">
        <v>7879</v>
      </c>
      <c r="J148" s="1148" t="s">
        <v>7883</v>
      </c>
      <c r="K148" s="1148" t="s">
        <v>7881</v>
      </c>
      <c r="L148" s="1146" t="s">
        <v>7860</v>
      </c>
      <c r="M148" s="1146" t="s">
        <v>766</v>
      </c>
      <c r="N148" s="1146" t="s">
        <v>7065</v>
      </c>
      <c r="O148" s="1146" t="s">
        <v>7739</v>
      </c>
      <c r="P148" s="1146"/>
      <c r="Q148" s="1083">
        <v>150</v>
      </c>
      <c r="S148" s="1112">
        <f t="shared" si="14"/>
        <v>45852</v>
      </c>
      <c r="T148" s="1112">
        <v>45864</v>
      </c>
      <c r="U148" s="1076" t="s">
        <v>7882</v>
      </c>
      <c r="V148" s="1084">
        <f t="shared" si="15"/>
        <v>45909</v>
      </c>
      <c r="W148" s="1136">
        <v>150</v>
      </c>
      <c r="X148" s="1112">
        <v>45906</v>
      </c>
      <c r="Y148" s="1137">
        <f t="shared" si="16"/>
        <v>0</v>
      </c>
    </row>
    <row r="149" spans="1:25" x14ac:dyDescent="0.45">
      <c r="A149" s="1088">
        <v>149</v>
      </c>
      <c r="B149" s="1088" t="str">
        <f t="shared" si="12"/>
        <v>Missing in D</v>
      </c>
      <c r="C149" s="1088" t="str">
        <f t="shared" si="13"/>
        <v>Missing in E</v>
      </c>
      <c r="E149" s="1146" t="s">
        <v>7042</v>
      </c>
      <c r="F149" s="1146" t="s">
        <v>7736</v>
      </c>
      <c r="G149" s="1146" t="s">
        <v>762</v>
      </c>
      <c r="H149" s="1147" t="s">
        <v>7879</v>
      </c>
      <c r="I149" s="1147" t="s">
        <v>7879</v>
      </c>
      <c r="J149" s="1148" t="s">
        <v>7883</v>
      </c>
      <c r="K149" s="1148" t="s">
        <v>7881</v>
      </c>
      <c r="L149" s="1146" t="s">
        <v>7860</v>
      </c>
      <c r="M149" s="1146" t="s">
        <v>767</v>
      </c>
      <c r="N149" s="1146" t="s">
        <v>7043</v>
      </c>
      <c r="O149" s="1146" t="s">
        <v>7739</v>
      </c>
      <c r="P149" s="1146"/>
      <c r="Q149" s="1083">
        <v>150</v>
      </c>
      <c r="S149" s="1112">
        <f t="shared" si="14"/>
        <v>45852</v>
      </c>
      <c r="T149" s="1112">
        <v>45864</v>
      </c>
      <c r="U149" s="1076" t="s">
        <v>7882</v>
      </c>
      <c r="V149" s="1084">
        <f t="shared" si="15"/>
        <v>45909</v>
      </c>
      <c r="W149" s="1136">
        <v>150</v>
      </c>
      <c r="X149" s="1112">
        <v>45906</v>
      </c>
      <c r="Y149" s="1137">
        <f t="shared" si="16"/>
        <v>0</v>
      </c>
    </row>
    <row r="150" spans="1:25" x14ac:dyDescent="0.45">
      <c r="A150" s="1088">
        <v>150</v>
      </c>
      <c r="B150" s="1088" t="str">
        <f t="shared" si="12"/>
        <v>Missing in D</v>
      </c>
      <c r="C150" s="1088" t="str">
        <f t="shared" si="13"/>
        <v>Missing in E</v>
      </c>
      <c r="E150" s="1146" t="s">
        <v>7060</v>
      </c>
      <c r="F150" s="1146" t="s">
        <v>7736</v>
      </c>
      <c r="G150" s="1146" t="s">
        <v>762</v>
      </c>
      <c r="H150" s="1147" t="s">
        <v>7879</v>
      </c>
      <c r="I150" s="1147" t="s">
        <v>7879</v>
      </c>
      <c r="J150" s="1148" t="s">
        <v>7883</v>
      </c>
      <c r="K150" s="1148" t="s">
        <v>7881</v>
      </c>
      <c r="L150" s="1146" t="s">
        <v>7860</v>
      </c>
      <c r="M150" s="1146" t="s">
        <v>768</v>
      </c>
      <c r="N150" s="1146" t="s">
        <v>7061</v>
      </c>
      <c r="O150" s="1146" t="s">
        <v>7739</v>
      </c>
      <c r="P150" s="1146"/>
      <c r="Q150" s="1136">
        <v>150</v>
      </c>
      <c r="S150" s="1112">
        <f t="shared" si="14"/>
        <v>45852</v>
      </c>
      <c r="T150" s="1112">
        <v>45864</v>
      </c>
      <c r="U150" s="1076" t="s">
        <v>7882</v>
      </c>
      <c r="V150" s="1084">
        <f t="shared" si="15"/>
        <v>45909</v>
      </c>
      <c r="W150" s="1136">
        <v>150</v>
      </c>
      <c r="X150" s="1112">
        <v>45906</v>
      </c>
      <c r="Y150" s="1137">
        <f t="shared" si="16"/>
        <v>0</v>
      </c>
    </row>
    <row r="151" spans="1:25" x14ac:dyDescent="0.45">
      <c r="A151" s="1088">
        <v>151</v>
      </c>
      <c r="B151" s="1088" t="str">
        <f t="shared" si="12"/>
        <v>Missing in D</v>
      </c>
      <c r="C151" s="1088" t="str">
        <f t="shared" si="13"/>
        <v>Missing in E</v>
      </c>
      <c r="E151" s="1146" t="s">
        <v>7067</v>
      </c>
      <c r="F151" s="1146" t="s">
        <v>7736</v>
      </c>
      <c r="G151" s="1146" t="s">
        <v>738</v>
      </c>
      <c r="H151" s="1147" t="s">
        <v>7884</v>
      </c>
      <c r="I151" s="1147" t="s">
        <v>7884</v>
      </c>
      <c r="J151" s="1148" t="s">
        <v>7787</v>
      </c>
      <c r="K151" s="1148" t="s">
        <v>7832</v>
      </c>
      <c r="L151" s="1146" t="s">
        <v>7845</v>
      </c>
      <c r="M151" s="1146" t="s">
        <v>737</v>
      </c>
      <c r="N151" s="1146" t="s">
        <v>7068</v>
      </c>
      <c r="O151" s="1146" t="s">
        <v>7739</v>
      </c>
      <c r="P151" s="1146"/>
      <c r="Q151" s="1136">
        <v>125</v>
      </c>
      <c r="S151" s="1112">
        <f t="shared" si="14"/>
        <v>45873</v>
      </c>
      <c r="T151" s="1112">
        <v>45886</v>
      </c>
      <c r="U151" s="1076" t="s">
        <v>7885</v>
      </c>
      <c r="V151" s="1084">
        <f t="shared" si="15"/>
        <v>45930</v>
      </c>
      <c r="W151" s="1083">
        <v>125</v>
      </c>
      <c r="X151" s="1112">
        <v>45926</v>
      </c>
      <c r="Y151" s="1137">
        <f t="shared" si="16"/>
        <v>0</v>
      </c>
    </row>
    <row r="152" spans="1:25" x14ac:dyDescent="0.45">
      <c r="A152" s="1088">
        <v>152</v>
      </c>
      <c r="B152" s="1088" t="str">
        <f t="shared" si="12"/>
        <v>Missing in D</v>
      </c>
      <c r="C152" s="1088" t="str">
        <f t="shared" si="13"/>
        <v>Missing in E</v>
      </c>
      <c r="E152" s="1146" t="s">
        <v>7085</v>
      </c>
      <c r="F152" s="1146" t="s">
        <v>7736</v>
      </c>
      <c r="G152" s="1146" t="s">
        <v>738</v>
      </c>
      <c r="H152" s="1147" t="s">
        <v>7886</v>
      </c>
      <c r="I152" s="1147" t="s">
        <v>7886</v>
      </c>
      <c r="J152" s="1148" t="s">
        <v>7887</v>
      </c>
      <c r="K152" s="1148" t="s">
        <v>7742</v>
      </c>
      <c r="L152" s="1146" t="s">
        <v>7845</v>
      </c>
      <c r="M152" s="1146" t="s">
        <v>740</v>
      </c>
      <c r="N152" s="1146" t="s">
        <v>7086</v>
      </c>
      <c r="O152" s="1146" t="s">
        <v>7739</v>
      </c>
      <c r="P152" s="1146"/>
      <c r="Q152" s="1136">
        <v>125</v>
      </c>
      <c r="S152" s="1112">
        <f t="shared" si="14"/>
        <v>45874</v>
      </c>
      <c r="T152" s="1112">
        <v>45886</v>
      </c>
      <c r="U152" s="1076" t="s">
        <v>7885</v>
      </c>
      <c r="V152" s="1084">
        <f t="shared" si="15"/>
        <v>45931</v>
      </c>
      <c r="W152" s="1083">
        <v>125</v>
      </c>
      <c r="X152" s="1112">
        <v>45926</v>
      </c>
      <c r="Y152" s="1137">
        <f t="shared" si="16"/>
        <v>0</v>
      </c>
    </row>
    <row r="153" spans="1:25" x14ac:dyDescent="0.45">
      <c r="A153" s="1088">
        <v>153</v>
      </c>
      <c r="B153" s="1088" t="str">
        <f t="shared" si="12"/>
        <v>Missing in D</v>
      </c>
      <c r="C153" s="1088" t="str">
        <f t="shared" si="13"/>
        <v>Missing in E</v>
      </c>
      <c r="E153" s="1146" t="s">
        <v>7087</v>
      </c>
      <c r="F153" s="1146" t="s">
        <v>7736</v>
      </c>
      <c r="G153" s="1146" t="s">
        <v>729</v>
      </c>
      <c r="H153" s="1147" t="s">
        <v>7888</v>
      </c>
      <c r="I153" s="1147" t="s">
        <v>7888</v>
      </c>
      <c r="J153" s="1148" t="s">
        <v>7875</v>
      </c>
      <c r="K153" s="1148" t="s">
        <v>7876</v>
      </c>
      <c r="L153" s="1146" t="s">
        <v>7833</v>
      </c>
      <c r="M153" s="1146" t="s">
        <v>728</v>
      </c>
      <c r="N153" s="1146" t="s">
        <v>7088</v>
      </c>
      <c r="O153" s="1146" t="s">
        <v>7739</v>
      </c>
      <c r="P153" s="1146"/>
      <c r="Q153" s="1136">
        <v>50</v>
      </c>
      <c r="S153" s="1112">
        <f t="shared" si="14"/>
        <v>45885</v>
      </c>
      <c r="T153" s="1112">
        <v>45897</v>
      </c>
      <c r="U153" s="1076" t="s">
        <v>7889</v>
      </c>
      <c r="V153" s="1084">
        <f t="shared" si="15"/>
        <v>45942</v>
      </c>
      <c r="W153" s="1083">
        <v>50</v>
      </c>
      <c r="X153" s="1112">
        <v>45933</v>
      </c>
      <c r="Y153" s="1137">
        <f t="shared" si="16"/>
        <v>0</v>
      </c>
    </row>
    <row r="154" spans="1:25" x14ac:dyDescent="0.45">
      <c r="A154" s="1088">
        <v>154</v>
      </c>
      <c r="B154" s="1088" t="str">
        <f t="shared" si="12"/>
        <v>Missing in D</v>
      </c>
      <c r="C154" s="1088" t="str">
        <f t="shared" si="13"/>
        <v>Missing in E</v>
      </c>
      <c r="E154" s="1146" t="s">
        <v>7089</v>
      </c>
      <c r="F154" s="1146" t="s">
        <v>7736</v>
      </c>
      <c r="G154" s="1146" t="s">
        <v>729</v>
      </c>
      <c r="H154" s="1147">
        <v>45897</v>
      </c>
      <c r="I154" s="1147">
        <v>45897</v>
      </c>
      <c r="J154" s="1148">
        <v>0.76041666666666663</v>
      </c>
      <c r="K154" s="1148">
        <v>0.86458333333333337</v>
      </c>
      <c r="L154" s="1146" t="s">
        <v>7833</v>
      </c>
      <c r="M154" s="1146" t="s">
        <v>730</v>
      </c>
      <c r="N154" s="1146" t="s">
        <v>6840</v>
      </c>
      <c r="O154" s="1146" t="s">
        <v>7739</v>
      </c>
      <c r="P154" s="1146"/>
      <c r="Q154" s="1136">
        <v>50</v>
      </c>
      <c r="S154" s="1112">
        <f t="shared" si="14"/>
        <v>45885</v>
      </c>
      <c r="T154" s="1112">
        <v>45897</v>
      </c>
      <c r="U154" s="1076" t="s">
        <v>7889</v>
      </c>
      <c r="V154" s="1084">
        <f t="shared" si="15"/>
        <v>45942</v>
      </c>
      <c r="W154" s="1083">
        <v>50</v>
      </c>
      <c r="X154" s="1112">
        <v>45933</v>
      </c>
      <c r="Y154" s="1137">
        <f t="shared" si="16"/>
        <v>0</v>
      </c>
    </row>
    <row r="155" spans="1:25" x14ac:dyDescent="0.45">
      <c r="A155" s="1088">
        <v>155</v>
      </c>
      <c r="B155" s="1088" t="str">
        <f t="shared" si="12"/>
        <v>Missing in D</v>
      </c>
      <c r="C155" s="1088" t="str">
        <f t="shared" si="13"/>
        <v>Missing in E</v>
      </c>
      <c r="E155" s="1146" t="s">
        <v>7090</v>
      </c>
      <c r="F155" s="1146" t="s">
        <v>7736</v>
      </c>
      <c r="G155" s="1146" t="s">
        <v>729</v>
      </c>
      <c r="H155" s="1147">
        <v>45897</v>
      </c>
      <c r="I155" s="1147">
        <v>45897</v>
      </c>
      <c r="J155" s="1148">
        <v>0.77083333333333337</v>
      </c>
      <c r="K155" s="1148">
        <v>0.875</v>
      </c>
      <c r="L155" s="1146" t="s">
        <v>7833</v>
      </c>
      <c r="M155" s="1146" t="s">
        <v>390</v>
      </c>
      <c r="N155" s="1146" t="s">
        <v>6664</v>
      </c>
      <c r="O155" s="1146" t="s">
        <v>7739</v>
      </c>
      <c r="P155" s="1146"/>
      <c r="Q155" s="1136">
        <v>50</v>
      </c>
      <c r="S155" s="1112">
        <f t="shared" si="14"/>
        <v>45885</v>
      </c>
      <c r="T155" s="1112">
        <v>45897</v>
      </c>
      <c r="U155" s="1076" t="s">
        <v>7889</v>
      </c>
      <c r="V155" s="1084">
        <f t="shared" si="15"/>
        <v>45942</v>
      </c>
      <c r="W155" s="1083">
        <v>50</v>
      </c>
      <c r="X155" s="1112">
        <v>45933</v>
      </c>
      <c r="Y155" s="1137">
        <f t="shared" si="16"/>
        <v>0</v>
      </c>
    </row>
    <row r="156" spans="1:25" x14ac:dyDescent="0.45">
      <c r="A156" s="1088">
        <v>156</v>
      </c>
      <c r="B156" s="1088" t="str">
        <f t="shared" si="12"/>
        <v>Missing in D</v>
      </c>
      <c r="C156" s="1088" t="str">
        <f t="shared" si="13"/>
        <v>Missing in E</v>
      </c>
      <c r="E156" s="1146" t="s">
        <v>7103</v>
      </c>
      <c r="F156" s="1146" t="s">
        <v>7736</v>
      </c>
      <c r="G156" s="1146" t="s">
        <v>664</v>
      </c>
      <c r="H156" s="1147" t="s">
        <v>7890</v>
      </c>
      <c r="I156" s="1147" t="s">
        <v>7890</v>
      </c>
      <c r="J156" s="1148" t="s">
        <v>7737</v>
      </c>
      <c r="K156" s="1148" t="s">
        <v>7770</v>
      </c>
      <c r="L156" s="1146" t="s">
        <v>7762</v>
      </c>
      <c r="M156" s="1146" t="s">
        <v>663</v>
      </c>
      <c r="N156" s="1146" t="s">
        <v>7104</v>
      </c>
      <c r="O156" s="1146" t="s">
        <v>7739</v>
      </c>
      <c r="P156" s="1146"/>
      <c r="Q156" s="1136">
        <v>125</v>
      </c>
      <c r="S156" s="1112">
        <f t="shared" si="14"/>
        <v>45888</v>
      </c>
      <c r="T156" s="1112">
        <v>45900</v>
      </c>
      <c r="U156" s="1076" t="s">
        <v>7891</v>
      </c>
      <c r="V156" s="1084">
        <f t="shared" si="15"/>
        <v>45945</v>
      </c>
      <c r="W156" s="1083">
        <v>125</v>
      </c>
      <c r="X156" s="1112">
        <v>45974</v>
      </c>
      <c r="Y156" s="1137">
        <f t="shared" si="16"/>
        <v>0</v>
      </c>
    </row>
    <row r="157" spans="1:25" x14ac:dyDescent="0.45">
      <c r="A157" s="1088">
        <v>157</v>
      </c>
      <c r="B157" s="1088" t="str">
        <f t="shared" si="12"/>
        <v>Missing in D</v>
      </c>
      <c r="C157" s="1088" t="str">
        <f t="shared" si="13"/>
        <v>Missing in E</v>
      </c>
      <c r="E157" s="1146" t="s">
        <v>6316</v>
      </c>
      <c r="F157" s="1146" t="s">
        <v>7736</v>
      </c>
      <c r="G157" s="1146" t="s">
        <v>666</v>
      </c>
      <c r="H157" s="1147" t="s">
        <v>7892</v>
      </c>
      <c r="I157" s="1147" t="s">
        <v>7893</v>
      </c>
      <c r="J157" s="1148" t="s">
        <v>7778</v>
      </c>
      <c r="K157" s="1148" t="s">
        <v>7745</v>
      </c>
      <c r="L157" s="1146" t="s">
        <v>7762</v>
      </c>
      <c r="M157" s="1146" t="s">
        <v>665</v>
      </c>
      <c r="N157" s="1146" t="s">
        <v>6317</v>
      </c>
      <c r="O157" s="1146" t="s">
        <v>7739</v>
      </c>
      <c r="P157" s="1146"/>
      <c r="Q157" s="1083">
        <v>150</v>
      </c>
      <c r="S157" s="1112">
        <f t="shared" si="14"/>
        <v>45891</v>
      </c>
      <c r="T157" s="1112">
        <v>45903</v>
      </c>
      <c r="U157" s="1076" t="s">
        <v>7894</v>
      </c>
      <c r="V157" s="1084">
        <f t="shared" si="15"/>
        <v>45948</v>
      </c>
      <c r="W157" s="1083">
        <v>150</v>
      </c>
      <c r="X157" s="1112">
        <v>45974</v>
      </c>
      <c r="Y157" s="1137">
        <f t="shared" si="16"/>
        <v>0</v>
      </c>
    </row>
    <row r="158" spans="1:25" x14ac:dyDescent="0.45">
      <c r="A158" s="1088">
        <v>158</v>
      </c>
      <c r="B158" s="1088" t="str">
        <f t="shared" si="12"/>
        <v>Missing in D</v>
      </c>
      <c r="C158" s="1088" t="str">
        <f t="shared" si="13"/>
        <v>Missing in E</v>
      </c>
      <c r="E158" s="1146" t="s">
        <v>6318</v>
      </c>
      <c r="F158" s="1146" t="s">
        <v>7736</v>
      </c>
      <c r="G158" s="1146" t="s">
        <v>666</v>
      </c>
      <c r="H158" s="1147" t="s">
        <v>7892</v>
      </c>
      <c r="I158" s="1147" t="s">
        <v>7893</v>
      </c>
      <c r="J158" s="1148" t="s">
        <v>7778</v>
      </c>
      <c r="K158" s="1148" t="s">
        <v>7745</v>
      </c>
      <c r="L158" s="1146" t="s">
        <v>7762</v>
      </c>
      <c r="M158" s="1146" t="s">
        <v>591</v>
      </c>
      <c r="N158" s="1146" t="s">
        <v>6319</v>
      </c>
      <c r="O158" s="1146" t="s">
        <v>7739</v>
      </c>
      <c r="P158" s="1146"/>
      <c r="Q158" s="1136">
        <v>150</v>
      </c>
      <c r="S158" s="1112">
        <f t="shared" si="14"/>
        <v>45891</v>
      </c>
      <c r="T158" s="1112">
        <v>45903</v>
      </c>
      <c r="U158" s="1076" t="s">
        <v>7894</v>
      </c>
      <c r="V158" s="1084">
        <f t="shared" si="15"/>
        <v>45948</v>
      </c>
      <c r="W158" s="1083">
        <v>150</v>
      </c>
      <c r="X158" s="1112">
        <v>45974</v>
      </c>
      <c r="Y158" s="1137">
        <f t="shared" si="16"/>
        <v>0</v>
      </c>
    </row>
    <row r="159" spans="1:25" x14ac:dyDescent="0.45">
      <c r="A159" s="1088">
        <v>159</v>
      </c>
      <c r="B159" s="1088" t="str">
        <f t="shared" si="12"/>
        <v>Missing in D</v>
      </c>
      <c r="C159" s="1088" t="str">
        <f t="shared" si="13"/>
        <v>Missing in E</v>
      </c>
      <c r="E159" s="1146" t="s">
        <v>6320</v>
      </c>
      <c r="F159" s="1146" t="s">
        <v>7736</v>
      </c>
      <c r="G159" s="1146" t="s">
        <v>580</v>
      </c>
      <c r="H159" s="1147" t="s">
        <v>7895</v>
      </c>
      <c r="I159" s="1147" t="s">
        <v>7895</v>
      </c>
      <c r="J159" s="1148" t="s">
        <v>7778</v>
      </c>
      <c r="K159" s="1148" t="s">
        <v>7745</v>
      </c>
      <c r="L159" s="1146" t="s">
        <v>7762</v>
      </c>
      <c r="M159" s="1146" t="s">
        <v>667</v>
      </c>
      <c r="N159" s="1146" t="s">
        <v>6321</v>
      </c>
      <c r="O159" s="1146" t="s">
        <v>7739</v>
      </c>
      <c r="P159" s="1146"/>
      <c r="Q159" s="1083">
        <v>150</v>
      </c>
      <c r="S159" s="1112">
        <f t="shared" si="14"/>
        <v>45896</v>
      </c>
      <c r="T159" s="1112">
        <v>45908</v>
      </c>
      <c r="U159" s="1076" t="s">
        <v>7896</v>
      </c>
      <c r="V159" s="1084">
        <f t="shared" si="15"/>
        <v>45953</v>
      </c>
      <c r="W159" s="1083">
        <v>150</v>
      </c>
      <c r="X159" s="1112">
        <v>45974</v>
      </c>
      <c r="Y159" s="1137">
        <f t="shared" si="16"/>
        <v>0</v>
      </c>
    </row>
    <row r="160" spans="1:25" x14ac:dyDescent="0.45">
      <c r="A160" s="1088">
        <v>160</v>
      </c>
      <c r="B160" s="1088" t="str">
        <f t="shared" si="12"/>
        <v>Missing in D</v>
      </c>
      <c r="C160" s="1088" t="str">
        <f t="shared" si="13"/>
        <v>Missing in E</v>
      </c>
      <c r="E160" s="1146" t="s">
        <v>6323</v>
      </c>
      <c r="F160" s="1146" t="s">
        <v>7736</v>
      </c>
      <c r="G160" s="1146" t="s">
        <v>580</v>
      </c>
      <c r="H160" s="1147" t="s">
        <v>7895</v>
      </c>
      <c r="I160" s="1147" t="s">
        <v>7897</v>
      </c>
      <c r="J160" s="1148" t="s">
        <v>7778</v>
      </c>
      <c r="K160" s="1148" t="s">
        <v>7745</v>
      </c>
      <c r="L160" s="1146" t="s">
        <v>7762</v>
      </c>
      <c r="M160" s="1146" t="s">
        <v>668</v>
      </c>
      <c r="N160" s="1146" t="s">
        <v>6324</v>
      </c>
      <c r="O160" s="1146" t="s">
        <v>7739</v>
      </c>
      <c r="P160" s="1146"/>
      <c r="Q160" s="1083">
        <v>150</v>
      </c>
      <c r="S160" s="1112">
        <f t="shared" si="14"/>
        <v>45896</v>
      </c>
      <c r="T160" s="1112">
        <v>45908</v>
      </c>
      <c r="U160" s="1076" t="s">
        <v>7896</v>
      </c>
      <c r="V160" s="1084">
        <f t="shared" si="15"/>
        <v>45953</v>
      </c>
      <c r="W160" s="1083">
        <v>150</v>
      </c>
      <c r="X160" s="1112">
        <v>45974</v>
      </c>
      <c r="Y160" s="1137">
        <f t="shared" si="16"/>
        <v>0</v>
      </c>
    </row>
    <row r="161" spans="1:25" x14ac:dyDescent="0.45">
      <c r="A161" s="1088">
        <v>161</v>
      </c>
      <c r="B161" s="1088" t="str">
        <f t="shared" si="12"/>
        <v>Missing in D</v>
      </c>
      <c r="C161" s="1088" t="str">
        <f t="shared" si="13"/>
        <v>Missing in E</v>
      </c>
      <c r="E161" s="1146" t="s">
        <v>6328</v>
      </c>
      <c r="F161" s="1146" t="s">
        <v>7736</v>
      </c>
      <c r="G161" s="1146" t="s">
        <v>580</v>
      </c>
      <c r="H161" s="1147" t="s">
        <v>7895</v>
      </c>
      <c r="I161" s="1147" t="s">
        <v>7895</v>
      </c>
      <c r="J161" s="1148" t="s">
        <v>7778</v>
      </c>
      <c r="K161" s="1148" t="s">
        <v>7745</v>
      </c>
      <c r="L161" s="1146" t="s">
        <v>7762</v>
      </c>
      <c r="M161" s="1146" t="s">
        <v>669</v>
      </c>
      <c r="N161" s="1146" t="s">
        <v>6329</v>
      </c>
      <c r="O161" s="1146" t="s">
        <v>7739</v>
      </c>
      <c r="P161" s="1146"/>
      <c r="Q161" s="1136">
        <v>150</v>
      </c>
      <c r="S161" s="1112">
        <f t="shared" si="14"/>
        <v>45896</v>
      </c>
      <c r="T161" s="1112">
        <v>45908</v>
      </c>
      <c r="U161" s="1076" t="s">
        <v>7896</v>
      </c>
      <c r="V161" s="1084">
        <f t="shared" si="15"/>
        <v>45953</v>
      </c>
      <c r="W161" s="1083">
        <v>150</v>
      </c>
      <c r="X161" s="1112">
        <v>45974</v>
      </c>
      <c r="Y161" s="1137">
        <f t="shared" si="16"/>
        <v>0</v>
      </c>
    </row>
    <row r="162" spans="1:25" x14ac:dyDescent="0.45">
      <c r="A162" s="1088">
        <v>162</v>
      </c>
      <c r="B162" s="1088" t="str">
        <f t="shared" si="12"/>
        <v>Missing in D</v>
      </c>
      <c r="C162" s="1088" t="str">
        <f t="shared" ref="C162:C193" si="17">IF(COUNTIF(D$2:D$273, E162)=0, "Missing in E", "")</f>
        <v>Missing in E</v>
      </c>
      <c r="E162" s="1146" t="s">
        <v>6325</v>
      </c>
      <c r="F162" s="1146" t="s">
        <v>7736</v>
      </c>
      <c r="G162" s="1146" t="s">
        <v>580</v>
      </c>
      <c r="H162" s="1147" t="s">
        <v>7895</v>
      </c>
      <c r="I162" s="1147" t="s">
        <v>7895</v>
      </c>
      <c r="J162" s="1148" t="s">
        <v>7778</v>
      </c>
      <c r="K162" s="1148" t="s">
        <v>7745</v>
      </c>
      <c r="L162" s="1146" t="s">
        <v>7762</v>
      </c>
      <c r="M162" s="1146" t="s">
        <v>670</v>
      </c>
      <c r="N162" s="1146" t="s">
        <v>6326</v>
      </c>
      <c r="O162" s="1146" t="s">
        <v>7739</v>
      </c>
      <c r="P162" s="1146"/>
      <c r="Q162" s="1136">
        <v>150</v>
      </c>
      <c r="S162" s="1112">
        <f t="shared" si="14"/>
        <v>45896</v>
      </c>
      <c r="T162" s="1112">
        <v>45908</v>
      </c>
      <c r="U162" s="1076" t="s">
        <v>7896</v>
      </c>
      <c r="V162" s="1084">
        <f t="shared" si="15"/>
        <v>45953</v>
      </c>
      <c r="W162" s="1083">
        <v>150</v>
      </c>
      <c r="X162" s="1112">
        <v>45974</v>
      </c>
      <c r="Y162" s="1137">
        <f t="shared" si="16"/>
        <v>0</v>
      </c>
    </row>
    <row r="163" spans="1:25" x14ac:dyDescent="0.45">
      <c r="A163" s="1088">
        <v>163</v>
      </c>
      <c r="B163" s="1088" t="str">
        <f t="shared" si="12"/>
        <v>Missing in D</v>
      </c>
      <c r="C163" s="1088" t="str">
        <f t="shared" si="17"/>
        <v>Missing in E</v>
      </c>
      <c r="E163" s="1146" t="s">
        <v>6330</v>
      </c>
      <c r="F163" s="1146" t="s">
        <v>7736</v>
      </c>
      <c r="G163" s="1146" t="s">
        <v>580</v>
      </c>
      <c r="H163" s="1147">
        <v>45911</v>
      </c>
      <c r="I163" s="1147">
        <v>45925</v>
      </c>
      <c r="J163" s="1148">
        <v>0.79166666666666663</v>
      </c>
      <c r="K163" s="1148">
        <v>0.875</v>
      </c>
      <c r="L163" s="1146" t="s">
        <v>7762</v>
      </c>
      <c r="M163" s="1146" t="s">
        <v>671</v>
      </c>
      <c r="N163" s="1146" t="s">
        <v>6331</v>
      </c>
      <c r="O163" s="1146" t="s">
        <v>7739</v>
      </c>
      <c r="P163" s="1146"/>
      <c r="Q163" s="1136">
        <v>150</v>
      </c>
      <c r="S163" s="1112">
        <f t="shared" si="14"/>
        <v>45899</v>
      </c>
      <c r="T163" s="1112">
        <v>45911</v>
      </c>
      <c r="U163" s="1076" t="s">
        <v>7898</v>
      </c>
      <c r="V163" s="1084">
        <f t="shared" si="15"/>
        <v>45956</v>
      </c>
      <c r="W163" s="1083">
        <v>150</v>
      </c>
      <c r="X163" s="1112">
        <v>45974</v>
      </c>
      <c r="Y163" s="1137">
        <f t="shared" si="16"/>
        <v>0</v>
      </c>
    </row>
    <row r="164" spans="1:25" x14ac:dyDescent="0.45">
      <c r="A164" s="1088">
        <v>164</v>
      </c>
      <c r="B164" s="1088" t="str">
        <f t="shared" si="12"/>
        <v>Missing in D</v>
      </c>
      <c r="C164" s="1088" t="str">
        <f t="shared" si="17"/>
        <v>Missing in E</v>
      </c>
      <c r="E164" s="1146" t="s">
        <v>6332</v>
      </c>
      <c r="F164" s="1146" t="s">
        <v>7736</v>
      </c>
      <c r="G164" s="1146" t="s">
        <v>580</v>
      </c>
      <c r="H164" s="1147">
        <v>45911</v>
      </c>
      <c r="I164" s="1147">
        <v>45925</v>
      </c>
      <c r="J164" s="1148">
        <v>0.79166666666666663</v>
      </c>
      <c r="K164" s="1148">
        <v>0.875</v>
      </c>
      <c r="L164" s="1146" t="s">
        <v>7762</v>
      </c>
      <c r="M164" s="1146" t="s">
        <v>672</v>
      </c>
      <c r="N164" s="1146" t="s">
        <v>6333</v>
      </c>
      <c r="O164" s="1146" t="s">
        <v>7739</v>
      </c>
      <c r="P164" s="1146"/>
      <c r="Q164" s="1136">
        <v>150</v>
      </c>
      <c r="S164" s="1112">
        <f t="shared" si="14"/>
        <v>45899</v>
      </c>
      <c r="T164" s="1112">
        <v>45911</v>
      </c>
      <c r="U164" s="1076" t="s">
        <v>7898</v>
      </c>
      <c r="V164" s="1084">
        <f t="shared" si="15"/>
        <v>45956</v>
      </c>
      <c r="W164" s="1083">
        <v>150</v>
      </c>
      <c r="X164" s="1112">
        <v>45974</v>
      </c>
      <c r="Y164" s="1137">
        <f t="shared" si="16"/>
        <v>0</v>
      </c>
    </row>
    <row r="165" spans="1:25" x14ac:dyDescent="0.45">
      <c r="A165" s="1088">
        <v>165</v>
      </c>
      <c r="B165" s="1088" t="str">
        <f t="shared" si="12"/>
        <v>Missing in D</v>
      </c>
      <c r="C165" s="1088" t="str">
        <f t="shared" si="17"/>
        <v>Missing in E</v>
      </c>
      <c r="E165" s="1146" t="s">
        <v>7113</v>
      </c>
      <c r="F165" s="1146" t="s">
        <v>7736</v>
      </c>
      <c r="G165" s="1146" t="s">
        <v>674</v>
      </c>
      <c r="H165" s="1147" t="s">
        <v>7899</v>
      </c>
      <c r="I165" s="1147" t="s">
        <v>7899</v>
      </c>
      <c r="J165" s="1148" t="s">
        <v>7744</v>
      </c>
      <c r="K165" s="1148" t="s">
        <v>7745</v>
      </c>
      <c r="L165" s="1146" t="s">
        <v>7828</v>
      </c>
      <c r="M165" s="1146" t="s">
        <v>673</v>
      </c>
      <c r="N165" s="1146" t="s">
        <v>6934</v>
      </c>
      <c r="O165" s="1146" t="s">
        <v>7739</v>
      </c>
      <c r="P165" s="1146"/>
      <c r="Q165" s="1083">
        <v>50</v>
      </c>
      <c r="S165" s="1112">
        <f t="shared" si="14"/>
        <v>45904</v>
      </c>
      <c r="T165" s="1112">
        <v>45916</v>
      </c>
      <c r="U165" s="1076" t="s">
        <v>7900</v>
      </c>
      <c r="V165" s="1084">
        <f t="shared" si="15"/>
        <v>45961</v>
      </c>
      <c r="W165" s="1083">
        <v>50</v>
      </c>
      <c r="X165" s="1112">
        <v>45974</v>
      </c>
      <c r="Y165" s="1137">
        <f t="shared" si="16"/>
        <v>0</v>
      </c>
    </row>
    <row r="166" spans="1:25" x14ac:dyDescent="0.45">
      <c r="A166" s="1088">
        <v>166</v>
      </c>
      <c r="B166" s="1088" t="str">
        <f t="shared" si="12"/>
        <v>Missing in D</v>
      </c>
      <c r="C166" s="1088" t="str">
        <f t="shared" si="17"/>
        <v>Missing in E</v>
      </c>
      <c r="E166" s="1146" t="s">
        <v>7110</v>
      </c>
      <c r="F166" s="1146" t="s">
        <v>7736</v>
      </c>
      <c r="G166" s="1146" t="s">
        <v>674</v>
      </c>
      <c r="H166" s="1147" t="s">
        <v>7899</v>
      </c>
      <c r="I166" s="1147" t="s">
        <v>7899</v>
      </c>
      <c r="J166" s="1148" t="s">
        <v>7744</v>
      </c>
      <c r="K166" s="1148" t="s">
        <v>7745</v>
      </c>
      <c r="L166" s="1146" t="s">
        <v>7828</v>
      </c>
      <c r="M166" s="1146" t="s">
        <v>675</v>
      </c>
      <c r="N166" s="1146" t="s">
        <v>7111</v>
      </c>
      <c r="O166" s="1146" t="s">
        <v>7739</v>
      </c>
      <c r="P166" s="1146"/>
      <c r="Q166" s="1083">
        <v>50</v>
      </c>
      <c r="S166" s="1112">
        <f t="shared" si="14"/>
        <v>45904</v>
      </c>
      <c r="T166" s="1112">
        <v>45916</v>
      </c>
      <c r="U166" s="1076" t="s">
        <v>7900</v>
      </c>
      <c r="V166" s="1084">
        <f t="shared" si="15"/>
        <v>45961</v>
      </c>
      <c r="W166" s="1083">
        <v>50</v>
      </c>
      <c r="X166" s="1112">
        <v>45974</v>
      </c>
      <c r="Y166" s="1137">
        <f t="shared" si="16"/>
        <v>0</v>
      </c>
    </row>
    <row r="167" spans="1:25" x14ac:dyDescent="0.45">
      <c r="A167" s="1088">
        <v>167</v>
      </c>
      <c r="B167" s="1088" t="str">
        <f t="shared" si="12"/>
        <v>Missing in D</v>
      </c>
      <c r="C167" s="1088" t="str">
        <f t="shared" si="17"/>
        <v>Missing in E</v>
      </c>
      <c r="E167" s="1146" t="s">
        <v>7901</v>
      </c>
      <c r="F167" s="1146" t="s">
        <v>7736</v>
      </c>
      <c r="G167" s="1146" t="s">
        <v>677</v>
      </c>
      <c r="H167" s="1147">
        <v>45924</v>
      </c>
      <c r="I167" s="1147">
        <v>45959</v>
      </c>
      <c r="J167" s="1148">
        <v>0.33333333333333331</v>
      </c>
      <c r="K167" s="1148">
        <v>0.83333333333333337</v>
      </c>
      <c r="L167" s="1146" t="s">
        <v>7756</v>
      </c>
      <c r="M167" s="1146" t="s">
        <v>676</v>
      </c>
      <c r="N167" s="1146" t="s">
        <v>7092</v>
      </c>
      <c r="O167" s="1146" t="s">
        <v>7739</v>
      </c>
      <c r="P167" s="1146">
        <v>0</v>
      </c>
      <c r="Q167" s="1136">
        <v>150</v>
      </c>
      <c r="S167" s="1112">
        <f t="shared" si="14"/>
        <v>45912</v>
      </c>
      <c r="T167" s="1112">
        <v>45924</v>
      </c>
      <c r="U167" s="1076" t="s">
        <v>7902</v>
      </c>
      <c r="V167" s="1084">
        <f t="shared" si="15"/>
        <v>45969</v>
      </c>
      <c r="W167" s="1083">
        <v>150</v>
      </c>
      <c r="X167" s="1112">
        <v>45974</v>
      </c>
      <c r="Y167" s="1137">
        <f t="shared" si="16"/>
        <v>0</v>
      </c>
    </row>
    <row r="168" spans="1:25" x14ac:dyDescent="0.45">
      <c r="A168" s="1088">
        <v>169</v>
      </c>
      <c r="B168" s="1088" t="str">
        <f t="shared" si="12"/>
        <v>Missing in D</v>
      </c>
      <c r="C168" s="1088" t="str">
        <f t="shared" si="17"/>
        <v>Missing in E</v>
      </c>
      <c r="E168" s="1146" t="s">
        <v>7141</v>
      </c>
      <c r="F168" s="1146" t="s">
        <v>7736</v>
      </c>
      <c r="G168" s="1146" t="s">
        <v>681</v>
      </c>
      <c r="H168" s="1147">
        <v>45924</v>
      </c>
      <c r="I168" s="1147">
        <v>45924</v>
      </c>
      <c r="J168" s="1148">
        <v>0.75</v>
      </c>
      <c r="K168" s="1148">
        <v>0.83333333333333337</v>
      </c>
      <c r="L168" s="1146" t="s">
        <v>7762</v>
      </c>
      <c r="M168" s="1146" t="s">
        <v>680</v>
      </c>
      <c r="N168" s="1146" t="s">
        <v>6998</v>
      </c>
      <c r="O168" s="1146" t="s">
        <v>7739</v>
      </c>
      <c r="P168" s="1146"/>
      <c r="Q168" s="1136">
        <v>50</v>
      </c>
      <c r="S168" s="1112">
        <f t="shared" si="14"/>
        <v>45912</v>
      </c>
      <c r="T168" s="1112">
        <v>45924</v>
      </c>
      <c r="U168" s="1076" t="s">
        <v>7903</v>
      </c>
      <c r="V168" s="1084">
        <f t="shared" si="15"/>
        <v>45969</v>
      </c>
      <c r="W168" s="1083">
        <v>50</v>
      </c>
      <c r="X168" s="1112">
        <v>45974</v>
      </c>
      <c r="Y168" s="1137">
        <f t="shared" si="16"/>
        <v>0</v>
      </c>
    </row>
    <row r="169" spans="1:25" x14ac:dyDescent="0.45">
      <c r="A169" s="1088">
        <v>170</v>
      </c>
      <c r="B169" s="1088" t="str">
        <f t="shared" si="12"/>
        <v>Missing in D</v>
      </c>
      <c r="C169" s="1088" t="str">
        <f t="shared" si="17"/>
        <v>Missing in E</v>
      </c>
      <c r="E169" s="1146" t="s">
        <v>7176</v>
      </c>
      <c r="F169" s="1146" t="s">
        <v>7736</v>
      </c>
      <c r="G169" s="1146" t="s">
        <v>674</v>
      </c>
      <c r="H169" s="1147" t="s">
        <v>7904</v>
      </c>
      <c r="I169" s="1147" t="s">
        <v>7904</v>
      </c>
      <c r="J169" s="1148" t="s">
        <v>7787</v>
      </c>
      <c r="K169" s="1148" t="s">
        <v>7881</v>
      </c>
      <c r="L169" s="1146" t="s">
        <v>7828</v>
      </c>
      <c r="M169" s="1146" t="s">
        <v>682</v>
      </c>
      <c r="N169" s="1146" t="s">
        <v>7177</v>
      </c>
      <c r="O169" s="1146" t="s">
        <v>7739</v>
      </c>
      <c r="P169" s="1146"/>
      <c r="Q169" s="1136">
        <v>50</v>
      </c>
      <c r="S169" s="1112">
        <f t="shared" si="14"/>
        <v>45919</v>
      </c>
      <c r="T169" s="1112">
        <v>45931</v>
      </c>
      <c r="U169" s="1076" t="s">
        <v>7905</v>
      </c>
      <c r="V169" s="1084">
        <f t="shared" si="15"/>
        <v>45976</v>
      </c>
      <c r="W169" s="1083">
        <v>50</v>
      </c>
      <c r="X169" s="1112">
        <v>45974</v>
      </c>
      <c r="Y169" s="1137">
        <f t="shared" si="16"/>
        <v>0</v>
      </c>
    </row>
    <row r="170" spans="1:25" x14ac:dyDescent="0.45">
      <c r="A170" s="1088">
        <v>171</v>
      </c>
      <c r="B170" s="1088" t="str">
        <f t="shared" si="12"/>
        <v>Missing in D</v>
      </c>
      <c r="C170" s="1088" t="str">
        <f t="shared" si="17"/>
        <v>Missing in E</v>
      </c>
      <c r="E170" s="1146" t="s">
        <v>7180</v>
      </c>
      <c r="F170" s="1146" t="s">
        <v>7736</v>
      </c>
      <c r="G170" s="1146" t="s">
        <v>674</v>
      </c>
      <c r="H170" s="1147">
        <v>45931</v>
      </c>
      <c r="I170" s="1147">
        <v>45931</v>
      </c>
      <c r="J170" s="1148">
        <v>0.75</v>
      </c>
      <c r="K170" s="1148">
        <v>0.85416666666666663</v>
      </c>
      <c r="L170" s="1146" t="s">
        <v>7828</v>
      </c>
      <c r="M170" s="1146" t="s">
        <v>683</v>
      </c>
      <c r="N170" s="1146" t="s">
        <v>7182</v>
      </c>
      <c r="O170" s="1146" t="s">
        <v>7739</v>
      </c>
      <c r="P170" s="1146"/>
      <c r="Q170" s="1136">
        <v>50</v>
      </c>
      <c r="S170" s="1112">
        <f t="shared" si="14"/>
        <v>45919</v>
      </c>
      <c r="T170" s="1112">
        <v>45931</v>
      </c>
      <c r="U170" s="1076" t="s">
        <v>7905</v>
      </c>
      <c r="V170" s="1084">
        <f t="shared" si="15"/>
        <v>45976</v>
      </c>
      <c r="W170" s="1083">
        <v>50</v>
      </c>
      <c r="X170" s="1112">
        <v>45974</v>
      </c>
      <c r="Y170" s="1137">
        <f t="shared" si="16"/>
        <v>0</v>
      </c>
    </row>
    <row r="171" spans="1:25" x14ac:dyDescent="0.45">
      <c r="A171" s="1088">
        <v>172</v>
      </c>
      <c r="B171" s="1088" t="str">
        <f t="shared" si="12"/>
        <v>Missing in D</v>
      </c>
      <c r="C171" s="1088" t="str">
        <f t="shared" si="17"/>
        <v>Missing in E</v>
      </c>
      <c r="E171" s="1172" t="s">
        <v>7179</v>
      </c>
      <c r="F171" s="1146" t="s">
        <v>7736</v>
      </c>
      <c r="G171" s="1146" t="s">
        <v>674</v>
      </c>
      <c r="H171" s="1147">
        <v>45931</v>
      </c>
      <c r="I171" s="1147">
        <v>45916</v>
      </c>
      <c r="J171" s="1148">
        <v>0.77083333333333337</v>
      </c>
      <c r="K171" s="1148">
        <v>0.875</v>
      </c>
      <c r="L171" s="1146" t="s">
        <v>7828</v>
      </c>
      <c r="M171" s="1146" t="s">
        <v>684</v>
      </c>
      <c r="N171" s="1146" t="s">
        <v>6958</v>
      </c>
      <c r="O171" s="1146" t="s">
        <v>7739</v>
      </c>
      <c r="P171" s="1146"/>
      <c r="Q171" s="1136">
        <v>50</v>
      </c>
      <c r="S171" s="1112">
        <f t="shared" si="14"/>
        <v>45919</v>
      </c>
      <c r="T171" s="1112">
        <v>45931</v>
      </c>
      <c r="U171" s="1076" t="s">
        <v>7905</v>
      </c>
      <c r="V171" s="1084">
        <f t="shared" si="15"/>
        <v>45976</v>
      </c>
      <c r="W171" s="1083">
        <v>50</v>
      </c>
      <c r="X171" s="1112">
        <v>45974</v>
      </c>
      <c r="Y171" s="1137">
        <f t="shared" si="16"/>
        <v>0</v>
      </c>
    </row>
    <row r="172" spans="1:25" x14ac:dyDescent="0.45">
      <c r="A172" s="1088">
        <v>173</v>
      </c>
      <c r="B172" s="1088" t="str">
        <f t="shared" si="12"/>
        <v>Missing in D</v>
      </c>
      <c r="C172" s="1088" t="str">
        <f t="shared" si="17"/>
        <v>Missing in E</v>
      </c>
      <c r="E172" s="1146" t="s">
        <v>6343</v>
      </c>
      <c r="F172" s="1146" t="s">
        <v>7736</v>
      </c>
      <c r="G172" s="1146" t="s">
        <v>580</v>
      </c>
      <c r="H172" s="1147" t="s">
        <v>7906</v>
      </c>
      <c r="I172" s="1147" t="s">
        <v>7906</v>
      </c>
      <c r="J172" s="1148" t="s">
        <v>7778</v>
      </c>
      <c r="K172" s="1148" t="s">
        <v>7745</v>
      </c>
      <c r="L172" s="1146" t="s">
        <v>7762</v>
      </c>
      <c r="M172" s="1146" t="s">
        <v>685</v>
      </c>
      <c r="N172" s="1146" t="s">
        <v>6344</v>
      </c>
      <c r="O172" s="1146" t="s">
        <v>7739</v>
      </c>
      <c r="P172" s="1146"/>
      <c r="Q172" s="1083">
        <v>150</v>
      </c>
      <c r="S172" s="1112">
        <f t="shared" si="14"/>
        <v>45920</v>
      </c>
      <c r="T172" s="1112">
        <v>45932</v>
      </c>
      <c r="U172" s="1076" t="s">
        <v>7907</v>
      </c>
      <c r="V172" s="1084">
        <f t="shared" si="15"/>
        <v>45977</v>
      </c>
      <c r="W172" s="1083">
        <v>150</v>
      </c>
      <c r="X172" s="1112">
        <v>45974</v>
      </c>
      <c r="Y172" s="1137">
        <f t="shared" si="16"/>
        <v>0</v>
      </c>
    </row>
    <row r="173" spans="1:25" x14ac:dyDescent="0.45">
      <c r="A173" s="1088">
        <v>174</v>
      </c>
      <c r="B173" s="1088" t="str">
        <f t="shared" si="12"/>
        <v>Missing in D</v>
      </c>
      <c r="C173" s="1088" t="str">
        <f t="shared" si="17"/>
        <v>Missing in E</v>
      </c>
      <c r="E173" s="1146" t="s">
        <v>6346</v>
      </c>
      <c r="F173" s="1146" t="s">
        <v>7736</v>
      </c>
      <c r="G173" s="1146" t="s">
        <v>580</v>
      </c>
      <c r="H173" s="1147" t="s">
        <v>7906</v>
      </c>
      <c r="I173" s="1147" t="s">
        <v>7906</v>
      </c>
      <c r="J173" s="1148" t="s">
        <v>7778</v>
      </c>
      <c r="K173" s="1148" t="s">
        <v>7745</v>
      </c>
      <c r="L173" s="1146" t="s">
        <v>7762</v>
      </c>
      <c r="M173" s="1146" t="s">
        <v>686</v>
      </c>
      <c r="N173" s="1146" t="s">
        <v>6347</v>
      </c>
      <c r="O173" s="1146" t="s">
        <v>7739</v>
      </c>
      <c r="P173" s="1146"/>
      <c r="Q173" s="1083">
        <v>150</v>
      </c>
      <c r="S173" s="1112">
        <f t="shared" si="14"/>
        <v>45920</v>
      </c>
      <c r="T173" s="1112">
        <v>45932</v>
      </c>
      <c r="U173" s="1076" t="s">
        <v>7907</v>
      </c>
      <c r="V173" s="1084">
        <f t="shared" si="15"/>
        <v>45977</v>
      </c>
      <c r="W173" s="1083">
        <v>150</v>
      </c>
      <c r="X173" s="1112">
        <v>45974</v>
      </c>
      <c r="Y173" s="1137">
        <f t="shared" si="16"/>
        <v>0</v>
      </c>
    </row>
    <row r="174" spans="1:25" x14ac:dyDescent="0.45">
      <c r="A174" s="1088">
        <v>175</v>
      </c>
      <c r="B174" s="1088" t="str">
        <f t="shared" si="12"/>
        <v>Missing in D</v>
      </c>
      <c r="C174" s="1088" t="str">
        <f t="shared" si="17"/>
        <v>Missing in E</v>
      </c>
      <c r="E174" s="1146" t="s">
        <v>6348</v>
      </c>
      <c r="F174" s="1146" t="s">
        <v>7736</v>
      </c>
      <c r="G174" s="1146" t="s">
        <v>580</v>
      </c>
      <c r="H174" s="1147" t="s">
        <v>7906</v>
      </c>
      <c r="I174" s="1147" t="s">
        <v>7906</v>
      </c>
      <c r="J174" s="1148" t="s">
        <v>7778</v>
      </c>
      <c r="K174" s="1148" t="s">
        <v>7745</v>
      </c>
      <c r="L174" s="1146" t="s">
        <v>7762</v>
      </c>
      <c r="M174" s="1146" t="s">
        <v>687</v>
      </c>
      <c r="N174" s="1146" t="s">
        <v>6349</v>
      </c>
      <c r="O174" s="1146" t="s">
        <v>7739</v>
      </c>
      <c r="P174" s="1146"/>
      <c r="Q174" s="1136">
        <v>150</v>
      </c>
      <c r="S174" s="1112">
        <f t="shared" si="14"/>
        <v>45920</v>
      </c>
      <c r="T174" s="1112">
        <v>45932</v>
      </c>
      <c r="U174" s="1076" t="s">
        <v>7907</v>
      </c>
      <c r="V174" s="1084">
        <f t="shared" si="15"/>
        <v>45977</v>
      </c>
      <c r="W174" s="1083">
        <v>150</v>
      </c>
      <c r="X174" s="1112">
        <v>45974</v>
      </c>
      <c r="Y174" s="1137">
        <f t="shared" si="16"/>
        <v>0</v>
      </c>
    </row>
    <row r="175" spans="1:25" x14ac:dyDescent="0.45">
      <c r="A175" s="1088">
        <v>177</v>
      </c>
      <c r="B175" s="1088" t="str">
        <f t="shared" si="12"/>
        <v>Missing in D</v>
      </c>
      <c r="C175" s="1088" t="str">
        <f t="shared" si="17"/>
        <v>Missing in E</v>
      </c>
      <c r="E175" s="1146" t="s">
        <v>6350</v>
      </c>
      <c r="F175" s="1146" t="s">
        <v>7736</v>
      </c>
      <c r="G175" s="1146" t="s">
        <v>580</v>
      </c>
      <c r="H175" s="1147" t="s">
        <v>7906</v>
      </c>
      <c r="I175" s="1147" t="s">
        <v>7906</v>
      </c>
      <c r="J175" s="1148" t="s">
        <v>7778</v>
      </c>
      <c r="K175" s="1148" t="s">
        <v>7745</v>
      </c>
      <c r="L175" s="1146" t="s">
        <v>7762</v>
      </c>
      <c r="M175" s="1146" t="s">
        <v>688</v>
      </c>
      <c r="N175" s="1146" t="s">
        <v>6351</v>
      </c>
      <c r="O175" s="1146" t="s">
        <v>7739</v>
      </c>
      <c r="P175" s="1146"/>
      <c r="Q175" s="1083">
        <v>150</v>
      </c>
      <c r="S175" s="1112">
        <f t="shared" si="14"/>
        <v>45920</v>
      </c>
      <c r="T175" s="1112">
        <v>45932</v>
      </c>
      <c r="U175" s="1076" t="s">
        <v>7907</v>
      </c>
      <c r="V175" s="1084">
        <f t="shared" si="15"/>
        <v>45977</v>
      </c>
      <c r="W175" s="1083">
        <v>150</v>
      </c>
      <c r="X175" s="1112">
        <v>45974</v>
      </c>
      <c r="Y175" s="1137">
        <f t="shared" si="16"/>
        <v>0</v>
      </c>
    </row>
    <row r="176" spans="1:25" x14ac:dyDescent="0.45">
      <c r="A176" s="1088">
        <v>178</v>
      </c>
      <c r="B176" s="1088" t="str">
        <f t="shared" si="12"/>
        <v>Missing in D</v>
      </c>
      <c r="C176" s="1088" t="str">
        <f t="shared" si="17"/>
        <v>Missing in E</v>
      </c>
      <c r="E176" s="1146" t="s">
        <v>6368</v>
      </c>
      <c r="F176" s="1146"/>
      <c r="G176" s="1146" t="s">
        <v>580</v>
      </c>
      <c r="H176" s="1182">
        <v>45936</v>
      </c>
      <c r="I176" s="1182">
        <v>45950</v>
      </c>
      <c r="J176" s="1148">
        <v>0.79166666666666663</v>
      </c>
      <c r="K176" s="1148">
        <v>0.875</v>
      </c>
      <c r="L176" s="1146" t="s">
        <v>7762</v>
      </c>
      <c r="M176" s="1146" t="s">
        <v>689</v>
      </c>
      <c r="N176" s="1146" t="s">
        <v>6369</v>
      </c>
      <c r="O176" s="1146" t="s">
        <v>7739</v>
      </c>
      <c r="P176" s="1146"/>
      <c r="Q176" s="1136">
        <v>150</v>
      </c>
      <c r="S176" s="1112">
        <f t="shared" si="14"/>
        <v>45924</v>
      </c>
      <c r="T176" s="1112">
        <v>45936</v>
      </c>
      <c r="U176" s="1076" t="s">
        <v>7908</v>
      </c>
      <c r="V176" s="1084">
        <f t="shared" si="15"/>
        <v>45981</v>
      </c>
      <c r="W176" s="1083">
        <v>150</v>
      </c>
      <c r="X176" s="1112">
        <v>45974</v>
      </c>
      <c r="Y176" s="1137">
        <f t="shared" si="16"/>
        <v>0</v>
      </c>
    </row>
    <row r="177" spans="1:25" x14ac:dyDescent="0.45">
      <c r="A177" s="1088">
        <v>179</v>
      </c>
      <c r="B177" s="1088" t="str">
        <f t="shared" si="12"/>
        <v>Missing in D</v>
      </c>
      <c r="C177" s="1088" t="str">
        <f t="shared" si="17"/>
        <v>Missing in E</v>
      </c>
      <c r="E177" s="1146" t="s">
        <v>7185</v>
      </c>
      <c r="F177" s="1146" t="s">
        <v>7736</v>
      </c>
      <c r="G177" s="1146" t="s">
        <v>362</v>
      </c>
      <c r="H177" s="1147" t="s">
        <v>7909</v>
      </c>
      <c r="I177" s="1147" t="s">
        <v>7909</v>
      </c>
      <c r="J177" s="1148" t="s">
        <v>7742</v>
      </c>
      <c r="K177" s="1148" t="s">
        <v>7743</v>
      </c>
      <c r="L177" s="1146" t="s">
        <v>7824</v>
      </c>
      <c r="M177" s="1146" t="s">
        <v>627</v>
      </c>
      <c r="N177" s="1146" t="s">
        <v>7186</v>
      </c>
      <c r="O177" s="1146" t="s">
        <v>7739</v>
      </c>
      <c r="P177" s="1146"/>
      <c r="Q177" s="1083">
        <v>12</v>
      </c>
      <c r="S177" s="1112">
        <f t="shared" si="14"/>
        <v>45935</v>
      </c>
      <c r="T177" s="1112">
        <v>45947</v>
      </c>
      <c r="U177" s="1076" t="s">
        <v>7910</v>
      </c>
      <c r="V177" s="1084">
        <f t="shared" si="15"/>
        <v>45992</v>
      </c>
      <c r="W177" s="1083">
        <v>12</v>
      </c>
      <c r="X177" s="1112">
        <v>45996</v>
      </c>
      <c r="Y177" s="1137">
        <f t="shared" si="16"/>
        <v>0</v>
      </c>
    </row>
    <row r="178" spans="1:25" x14ac:dyDescent="0.45">
      <c r="A178" s="1088">
        <v>180</v>
      </c>
      <c r="B178" s="1088" t="str">
        <f t="shared" si="12"/>
        <v>Missing in D</v>
      </c>
      <c r="C178" s="1088" t="str">
        <f t="shared" si="17"/>
        <v>Missing in E</v>
      </c>
      <c r="E178" s="1146" t="s">
        <v>7194</v>
      </c>
      <c r="F178" s="1146" t="s">
        <v>7736</v>
      </c>
      <c r="G178" s="1146" t="s">
        <v>362</v>
      </c>
      <c r="H178" s="1147" t="s">
        <v>7909</v>
      </c>
      <c r="I178" s="1147" t="s">
        <v>7909</v>
      </c>
      <c r="J178" s="1148" t="s">
        <v>7742</v>
      </c>
      <c r="K178" s="1148" t="s">
        <v>7743</v>
      </c>
      <c r="L178" s="1146" t="s">
        <v>7824</v>
      </c>
      <c r="M178" s="1146" t="s">
        <v>628</v>
      </c>
      <c r="N178" s="1146" t="s">
        <v>7195</v>
      </c>
      <c r="O178" s="1146" t="s">
        <v>7739</v>
      </c>
      <c r="P178" s="1146"/>
      <c r="Q178" s="1083">
        <v>12</v>
      </c>
      <c r="S178" s="1112">
        <f t="shared" si="14"/>
        <v>45935</v>
      </c>
      <c r="T178" s="1112">
        <v>45947</v>
      </c>
      <c r="U178" s="1076" t="s">
        <v>7910</v>
      </c>
      <c r="V178" s="1084">
        <f t="shared" si="15"/>
        <v>45992</v>
      </c>
      <c r="W178" s="1083">
        <v>12</v>
      </c>
      <c r="X178" s="1112">
        <v>45996</v>
      </c>
      <c r="Y178" s="1137">
        <f t="shared" si="16"/>
        <v>0</v>
      </c>
    </row>
    <row r="179" spans="1:25" x14ac:dyDescent="0.45">
      <c r="A179" s="1088">
        <v>182</v>
      </c>
      <c r="B179" s="1088" t="str">
        <f t="shared" si="12"/>
        <v>Missing in D</v>
      </c>
      <c r="C179" s="1088" t="str">
        <f t="shared" si="17"/>
        <v>Missing in E</v>
      </c>
      <c r="E179" s="1172" t="s">
        <v>7187</v>
      </c>
      <c r="F179" s="1146" t="s">
        <v>7736</v>
      </c>
      <c r="G179" s="1146" t="s">
        <v>362</v>
      </c>
      <c r="H179" s="1147" t="s">
        <v>7909</v>
      </c>
      <c r="I179" s="1147" t="s">
        <v>7909</v>
      </c>
      <c r="J179" s="1148" t="s">
        <v>7742</v>
      </c>
      <c r="K179" s="1148" t="s">
        <v>7743</v>
      </c>
      <c r="L179" s="1146" t="s">
        <v>7824</v>
      </c>
      <c r="M179" s="1146" t="s">
        <v>629</v>
      </c>
      <c r="N179" s="1146" t="s">
        <v>7188</v>
      </c>
      <c r="O179" s="1146" t="s">
        <v>7739</v>
      </c>
      <c r="P179" s="1146"/>
      <c r="Q179" s="1083">
        <v>12</v>
      </c>
      <c r="S179" s="1112">
        <f t="shared" si="14"/>
        <v>45935</v>
      </c>
      <c r="T179" s="1112">
        <v>45947</v>
      </c>
      <c r="U179" s="1076" t="s">
        <v>7910</v>
      </c>
      <c r="V179" s="1084">
        <f t="shared" si="15"/>
        <v>45992</v>
      </c>
      <c r="W179" s="1083">
        <v>12</v>
      </c>
      <c r="X179" s="1112">
        <v>45996</v>
      </c>
      <c r="Y179" s="1137">
        <f t="shared" si="16"/>
        <v>0</v>
      </c>
    </row>
    <row r="180" spans="1:25" x14ac:dyDescent="0.45">
      <c r="A180" s="1088">
        <v>183</v>
      </c>
      <c r="B180" s="1088" t="str">
        <f t="shared" si="12"/>
        <v>Missing in D</v>
      </c>
      <c r="C180" s="1088" t="str">
        <f t="shared" si="17"/>
        <v>Missing in E</v>
      </c>
      <c r="E180" s="1146" t="s">
        <v>7189</v>
      </c>
      <c r="F180" s="1146" t="s">
        <v>7736</v>
      </c>
      <c r="G180" s="1146" t="s">
        <v>362</v>
      </c>
      <c r="H180" s="1147" t="s">
        <v>7909</v>
      </c>
      <c r="I180" s="1147" t="s">
        <v>7909</v>
      </c>
      <c r="J180" s="1148" t="s">
        <v>7742</v>
      </c>
      <c r="K180" s="1148" t="s">
        <v>7743</v>
      </c>
      <c r="L180" s="1146" t="s">
        <v>7824</v>
      </c>
      <c r="M180" s="1146" t="s">
        <v>630</v>
      </c>
      <c r="N180" s="1146" t="s">
        <v>7190</v>
      </c>
      <c r="O180" s="1146" t="s">
        <v>7739</v>
      </c>
      <c r="P180" s="1146"/>
      <c r="Q180" s="1083">
        <v>12</v>
      </c>
      <c r="S180" s="1112">
        <f t="shared" si="14"/>
        <v>45935</v>
      </c>
      <c r="T180" s="1112">
        <v>45947</v>
      </c>
      <c r="U180" s="1076" t="s">
        <v>7910</v>
      </c>
      <c r="V180" s="1084">
        <f t="shared" si="15"/>
        <v>45992</v>
      </c>
      <c r="W180" s="1083">
        <v>12</v>
      </c>
      <c r="X180" s="1112">
        <v>45996</v>
      </c>
      <c r="Y180" s="1137">
        <f t="shared" si="16"/>
        <v>0</v>
      </c>
    </row>
    <row r="181" spans="1:25" x14ac:dyDescent="0.45">
      <c r="A181" s="1088">
        <v>184</v>
      </c>
      <c r="B181" s="1088" t="str">
        <f t="shared" si="12"/>
        <v>Missing in D</v>
      </c>
      <c r="C181" s="1088" t="str">
        <f t="shared" si="17"/>
        <v>Missing in E</v>
      </c>
      <c r="E181" s="1172" t="s">
        <v>7197</v>
      </c>
      <c r="F181" s="1146" t="s">
        <v>7736</v>
      </c>
      <c r="G181" s="1146" t="s">
        <v>362</v>
      </c>
      <c r="H181" s="1147" t="s">
        <v>7909</v>
      </c>
      <c r="I181" s="1147" t="s">
        <v>7909</v>
      </c>
      <c r="J181" s="1148" t="s">
        <v>7742</v>
      </c>
      <c r="K181" s="1148" t="s">
        <v>7743</v>
      </c>
      <c r="L181" s="1146" t="s">
        <v>7824</v>
      </c>
      <c r="M181" s="1146" t="s">
        <v>631</v>
      </c>
      <c r="N181" s="1146" t="s">
        <v>7198</v>
      </c>
      <c r="O181" s="1146" t="s">
        <v>7739</v>
      </c>
      <c r="P181" s="1146"/>
      <c r="Q181" s="1083">
        <v>15</v>
      </c>
      <c r="S181" s="1112">
        <f t="shared" si="14"/>
        <v>45935</v>
      </c>
      <c r="T181" s="1112">
        <v>45947</v>
      </c>
      <c r="U181" s="1076" t="s">
        <v>7910</v>
      </c>
      <c r="V181" s="1084">
        <f t="shared" si="15"/>
        <v>45992</v>
      </c>
      <c r="W181" s="1083">
        <v>15</v>
      </c>
      <c r="X181" s="1112">
        <v>45996</v>
      </c>
      <c r="Y181" s="1137">
        <f t="shared" si="16"/>
        <v>0</v>
      </c>
    </row>
    <row r="182" spans="1:25" x14ac:dyDescent="0.45">
      <c r="A182" s="1088">
        <v>185</v>
      </c>
      <c r="B182" s="1088" t="str">
        <f t="shared" si="12"/>
        <v>Missing in D</v>
      </c>
      <c r="C182" s="1088" t="str">
        <f t="shared" si="17"/>
        <v>Missing in E</v>
      </c>
      <c r="E182" s="1146" t="s">
        <v>7192</v>
      </c>
      <c r="F182" s="1146" t="s">
        <v>7736</v>
      </c>
      <c r="G182" s="1146" t="s">
        <v>362</v>
      </c>
      <c r="H182" s="1147" t="s">
        <v>7909</v>
      </c>
      <c r="I182" s="1147" t="s">
        <v>7909</v>
      </c>
      <c r="J182" s="1148" t="s">
        <v>7742</v>
      </c>
      <c r="K182" s="1148" t="s">
        <v>7743</v>
      </c>
      <c r="L182" s="1146" t="s">
        <v>7824</v>
      </c>
      <c r="M182" s="1146" t="s">
        <v>632</v>
      </c>
      <c r="N182" s="1146" t="s">
        <v>7193</v>
      </c>
      <c r="O182" s="1146" t="s">
        <v>7739</v>
      </c>
      <c r="P182" s="1146"/>
      <c r="Q182" s="1083">
        <v>15</v>
      </c>
      <c r="S182" s="1112">
        <f t="shared" si="14"/>
        <v>45935</v>
      </c>
      <c r="T182" s="1112">
        <v>45947</v>
      </c>
      <c r="U182" s="1076" t="s">
        <v>7910</v>
      </c>
      <c r="V182" s="1084">
        <f t="shared" si="15"/>
        <v>45992</v>
      </c>
      <c r="W182" s="1083">
        <v>15</v>
      </c>
      <c r="X182" s="1112">
        <v>45996</v>
      </c>
      <c r="Y182" s="1137">
        <f t="shared" si="16"/>
        <v>0</v>
      </c>
    </row>
    <row r="183" spans="1:25" x14ac:dyDescent="0.45">
      <c r="A183" s="1088">
        <v>186</v>
      </c>
      <c r="B183" s="1088" t="str">
        <f t="shared" si="12"/>
        <v>Missing in D</v>
      </c>
      <c r="C183" s="1088" t="str">
        <f t="shared" si="17"/>
        <v>Missing in E</v>
      </c>
      <c r="E183" s="1146" t="s">
        <v>7200</v>
      </c>
      <c r="F183" s="1146" t="s">
        <v>7736</v>
      </c>
      <c r="G183" s="1146" t="s">
        <v>613</v>
      </c>
      <c r="H183" s="1147" t="s">
        <v>7911</v>
      </c>
      <c r="I183" s="1147" t="s">
        <v>7911</v>
      </c>
      <c r="J183" s="1148" t="s">
        <v>7742</v>
      </c>
      <c r="K183" s="1148" t="s">
        <v>7770</v>
      </c>
      <c r="L183" s="1146" t="s">
        <v>7845</v>
      </c>
      <c r="M183" s="1146" t="s">
        <v>633</v>
      </c>
      <c r="N183" s="1146" t="s">
        <v>7201</v>
      </c>
      <c r="O183" s="1146" t="s">
        <v>7739</v>
      </c>
      <c r="P183" s="1146"/>
      <c r="Q183" s="1083">
        <v>150</v>
      </c>
      <c r="S183" s="1112">
        <f t="shared" si="14"/>
        <v>45936</v>
      </c>
      <c r="T183" s="1112">
        <v>45948</v>
      </c>
      <c r="U183" s="1076" t="s">
        <v>7912</v>
      </c>
      <c r="V183" s="1084">
        <f t="shared" si="15"/>
        <v>45993</v>
      </c>
      <c r="W183" s="1083">
        <v>150</v>
      </c>
      <c r="X183" s="1112">
        <v>45996</v>
      </c>
      <c r="Y183" s="1137">
        <f t="shared" si="16"/>
        <v>0</v>
      </c>
    </row>
    <row r="184" spans="1:25" x14ac:dyDescent="0.45">
      <c r="A184" s="1088">
        <v>187</v>
      </c>
      <c r="B184" s="1088" t="str">
        <f t="shared" si="12"/>
        <v>Missing in D</v>
      </c>
      <c r="C184" s="1088" t="str">
        <f t="shared" si="17"/>
        <v>Missing in E</v>
      </c>
      <c r="E184" s="1158" t="s">
        <v>7913</v>
      </c>
      <c r="F184" s="1158"/>
      <c r="G184" s="1158" t="s">
        <v>613</v>
      </c>
      <c r="H184" s="1183">
        <v>45948</v>
      </c>
      <c r="I184" s="1183">
        <v>45948</v>
      </c>
      <c r="J184" s="1160">
        <v>0.39583333333333331</v>
      </c>
      <c r="K184" s="1160">
        <v>0.67708333333333337</v>
      </c>
      <c r="L184" s="1158" t="s">
        <v>7845</v>
      </c>
      <c r="M184" s="1158" t="s">
        <v>634</v>
      </c>
      <c r="N184" s="1158" t="s">
        <v>7215</v>
      </c>
      <c r="O184" s="1146" t="s">
        <v>7739</v>
      </c>
      <c r="P184" s="1146"/>
      <c r="Q184" s="1136">
        <v>150</v>
      </c>
      <c r="S184" s="1112">
        <f t="shared" si="14"/>
        <v>45936</v>
      </c>
      <c r="T184" s="1112">
        <v>45948</v>
      </c>
      <c r="U184" s="1076" t="s">
        <v>7912</v>
      </c>
      <c r="V184" s="1084">
        <f t="shared" si="15"/>
        <v>45993</v>
      </c>
      <c r="W184" s="1136">
        <v>150</v>
      </c>
      <c r="X184" s="1112">
        <v>45996</v>
      </c>
      <c r="Y184" s="1137">
        <f t="shared" si="16"/>
        <v>0</v>
      </c>
    </row>
    <row r="185" spans="1:25" x14ac:dyDescent="0.45">
      <c r="A185" s="1088">
        <v>189</v>
      </c>
      <c r="B185" s="1088" t="str">
        <f t="shared" si="12"/>
        <v>Missing in D</v>
      </c>
      <c r="C185" s="1088" t="str">
        <f t="shared" si="17"/>
        <v>Missing in E</v>
      </c>
      <c r="E185" s="1146" t="s">
        <v>7227</v>
      </c>
      <c r="F185" s="1146" t="s">
        <v>7736</v>
      </c>
      <c r="G185" s="1146" t="s">
        <v>636</v>
      </c>
      <c r="H185" s="1147" t="s">
        <v>7914</v>
      </c>
      <c r="I185" s="1147" t="s">
        <v>7914</v>
      </c>
      <c r="J185" s="1148" t="s">
        <v>7816</v>
      </c>
      <c r="K185" s="1148" t="s">
        <v>7915</v>
      </c>
      <c r="L185" s="1146" t="s">
        <v>7916</v>
      </c>
      <c r="M185" s="1146" t="s">
        <v>635</v>
      </c>
      <c r="N185" s="1146" t="s">
        <v>7228</v>
      </c>
      <c r="O185" s="1146" t="s">
        <v>7739</v>
      </c>
      <c r="P185" s="1146"/>
      <c r="Q185" s="1136">
        <v>150</v>
      </c>
      <c r="S185" s="1112">
        <f t="shared" si="14"/>
        <v>45942</v>
      </c>
      <c r="T185" s="1112">
        <v>45954</v>
      </c>
      <c r="U185" s="1076" t="s">
        <v>7917</v>
      </c>
      <c r="V185" s="1084">
        <f t="shared" si="15"/>
        <v>45999</v>
      </c>
      <c r="W185" s="1136">
        <v>150</v>
      </c>
      <c r="X185" s="1112">
        <v>45996</v>
      </c>
      <c r="Y185" s="1137">
        <f t="shared" si="16"/>
        <v>0</v>
      </c>
    </row>
    <row r="186" spans="1:25" x14ac:dyDescent="0.45">
      <c r="A186" s="1088">
        <v>190</v>
      </c>
      <c r="B186" s="1088" t="str">
        <f t="shared" si="12"/>
        <v>Missing in D</v>
      </c>
      <c r="C186" s="1088" t="str">
        <f t="shared" si="17"/>
        <v>Missing in E</v>
      </c>
      <c r="E186" s="1146" t="s">
        <v>7229</v>
      </c>
      <c r="F186" s="1146" t="s">
        <v>7736</v>
      </c>
      <c r="G186" s="1146" t="s">
        <v>636</v>
      </c>
      <c r="H186" s="1147" t="s">
        <v>7914</v>
      </c>
      <c r="I186" s="1147" t="s">
        <v>7914</v>
      </c>
      <c r="J186" s="1148" t="s">
        <v>7816</v>
      </c>
      <c r="K186" s="1148" t="s">
        <v>7915</v>
      </c>
      <c r="L186" s="1146" t="s">
        <v>7916</v>
      </c>
      <c r="M186" s="1146" t="s">
        <v>637</v>
      </c>
      <c r="N186" s="1146" t="s">
        <v>7230</v>
      </c>
      <c r="O186" s="1146" t="s">
        <v>7739</v>
      </c>
      <c r="P186" s="1146"/>
      <c r="Q186" s="1083">
        <v>150</v>
      </c>
      <c r="S186" s="1112">
        <f t="shared" si="14"/>
        <v>45942</v>
      </c>
      <c r="T186" s="1112">
        <v>45954</v>
      </c>
      <c r="U186" s="1076" t="s">
        <v>7917</v>
      </c>
      <c r="V186" s="1084">
        <f t="shared" si="15"/>
        <v>45999</v>
      </c>
      <c r="W186" s="1083">
        <v>150</v>
      </c>
      <c r="X186" s="1112">
        <v>45996</v>
      </c>
      <c r="Y186" s="1137">
        <f t="shared" si="16"/>
        <v>0</v>
      </c>
    </row>
    <row r="187" spans="1:25" x14ac:dyDescent="0.45">
      <c r="A187" s="1088">
        <v>191</v>
      </c>
      <c r="B187" s="1088" t="str">
        <f t="shared" si="12"/>
        <v>Missing in D</v>
      </c>
      <c r="C187" s="1088" t="str">
        <f t="shared" si="17"/>
        <v>Missing in E</v>
      </c>
      <c r="E187" s="1146" t="s">
        <v>7238</v>
      </c>
      <c r="F187" s="1146" t="s">
        <v>7736</v>
      </c>
      <c r="G187" s="1146" t="s">
        <v>616</v>
      </c>
      <c r="H187" s="1147" t="s">
        <v>7914</v>
      </c>
      <c r="I187" s="1147" t="s">
        <v>7914</v>
      </c>
      <c r="J187" s="1148" t="s">
        <v>7816</v>
      </c>
      <c r="K187" s="1148" t="s">
        <v>7743</v>
      </c>
      <c r="L187" s="1146" t="s">
        <v>7860</v>
      </c>
      <c r="M187" s="1146" t="s">
        <v>638</v>
      </c>
      <c r="N187" s="1146" t="s">
        <v>7239</v>
      </c>
      <c r="O187" s="1146" t="s">
        <v>7739</v>
      </c>
      <c r="P187" s="1146"/>
      <c r="Q187" s="1136">
        <v>99</v>
      </c>
      <c r="S187" s="1112">
        <f t="shared" si="14"/>
        <v>45942</v>
      </c>
      <c r="T187" s="1112">
        <v>45954</v>
      </c>
      <c r="U187" s="1076" t="s">
        <v>7917</v>
      </c>
      <c r="V187" s="1084">
        <f t="shared" si="15"/>
        <v>45999</v>
      </c>
      <c r="W187" s="1136">
        <v>99</v>
      </c>
      <c r="X187" s="1112">
        <v>45996</v>
      </c>
      <c r="Y187" s="1137">
        <f t="shared" si="16"/>
        <v>0</v>
      </c>
    </row>
    <row r="188" spans="1:25" x14ac:dyDescent="0.45">
      <c r="A188" s="1088">
        <v>192</v>
      </c>
      <c r="B188" s="1088" t="str">
        <f t="shared" si="12"/>
        <v>Missing in D</v>
      </c>
      <c r="C188" s="1088" t="str">
        <f t="shared" si="17"/>
        <v>Missing in E</v>
      </c>
      <c r="E188" s="1146" t="s">
        <v>7265</v>
      </c>
      <c r="F188" s="1146" t="s">
        <v>7736</v>
      </c>
      <c r="G188" s="1146" t="s">
        <v>636</v>
      </c>
      <c r="H188" s="1147" t="s">
        <v>7918</v>
      </c>
      <c r="I188" s="1147" t="s">
        <v>7918</v>
      </c>
      <c r="J188" s="1148" t="s">
        <v>7816</v>
      </c>
      <c r="K188" s="1148" t="s">
        <v>7776</v>
      </c>
      <c r="L188" s="1146" t="s">
        <v>7916</v>
      </c>
      <c r="M188" s="1146" t="s">
        <v>639</v>
      </c>
      <c r="N188" s="1146" t="s">
        <v>7266</v>
      </c>
      <c r="O188" s="1146" t="s">
        <v>7739</v>
      </c>
      <c r="P188" s="1146"/>
      <c r="Q188" s="1083">
        <v>150</v>
      </c>
      <c r="S188" s="1112">
        <f t="shared" si="14"/>
        <v>45943</v>
      </c>
      <c r="T188" s="1112">
        <v>45955</v>
      </c>
      <c r="U188" s="1076" t="s">
        <v>7919</v>
      </c>
      <c r="V188" s="1084">
        <f t="shared" si="15"/>
        <v>46000</v>
      </c>
      <c r="W188" s="1083">
        <v>150</v>
      </c>
      <c r="X188" s="1112">
        <v>45996</v>
      </c>
      <c r="Y188" s="1137">
        <f t="shared" si="16"/>
        <v>0</v>
      </c>
    </row>
    <row r="189" spans="1:25" x14ac:dyDescent="0.45">
      <c r="A189" s="1088">
        <v>193</v>
      </c>
      <c r="B189" s="1088" t="str">
        <f t="shared" si="12"/>
        <v>Missing in D</v>
      </c>
      <c r="C189" s="1088" t="str">
        <f t="shared" si="17"/>
        <v>Missing in E</v>
      </c>
      <c r="E189" s="1146" t="s">
        <v>7261</v>
      </c>
      <c r="F189" s="1146" t="s">
        <v>7736</v>
      </c>
      <c r="G189" s="1146" t="s">
        <v>636</v>
      </c>
      <c r="H189" s="1147" t="s">
        <v>7918</v>
      </c>
      <c r="I189" s="1147" t="s">
        <v>7918</v>
      </c>
      <c r="J189" s="1148" t="s">
        <v>7816</v>
      </c>
      <c r="K189" s="1148" t="s">
        <v>7920</v>
      </c>
      <c r="L189" s="1146" t="s">
        <v>7916</v>
      </c>
      <c r="M189" s="1146" t="s">
        <v>640</v>
      </c>
      <c r="N189" s="1146" t="s">
        <v>7262</v>
      </c>
      <c r="O189" s="1146" t="s">
        <v>7739</v>
      </c>
      <c r="P189" s="1146"/>
      <c r="Q189" s="1083">
        <v>150</v>
      </c>
      <c r="S189" s="1112">
        <f t="shared" si="14"/>
        <v>45943</v>
      </c>
      <c r="T189" s="1112">
        <v>45955</v>
      </c>
      <c r="U189" s="1076" t="s">
        <v>7919</v>
      </c>
      <c r="V189" s="1084">
        <f t="shared" si="15"/>
        <v>46000</v>
      </c>
      <c r="W189" s="1083">
        <v>150</v>
      </c>
      <c r="X189" s="1112">
        <v>45996</v>
      </c>
      <c r="Y189" s="1137">
        <f t="shared" si="16"/>
        <v>0</v>
      </c>
    </row>
    <row r="190" spans="1:25" x14ac:dyDescent="0.45">
      <c r="A190" s="1088">
        <v>194</v>
      </c>
      <c r="B190" s="1088" t="str">
        <f t="shared" si="12"/>
        <v>Missing in D</v>
      </c>
      <c r="C190" s="1088" t="str">
        <f t="shared" si="17"/>
        <v>Missing in E</v>
      </c>
      <c r="E190" s="1146" t="s">
        <v>7269</v>
      </c>
      <c r="F190" s="1146" t="s">
        <v>7736</v>
      </c>
      <c r="G190" s="1146" t="s">
        <v>636</v>
      </c>
      <c r="H190" s="1147" t="s">
        <v>7918</v>
      </c>
      <c r="I190" s="1147" t="s">
        <v>7918</v>
      </c>
      <c r="J190" s="1148" t="s">
        <v>7816</v>
      </c>
      <c r="K190" s="1148" t="s">
        <v>7915</v>
      </c>
      <c r="L190" s="1146" t="s">
        <v>7916</v>
      </c>
      <c r="M190" s="1146" t="s">
        <v>641</v>
      </c>
      <c r="N190" s="1146" t="s">
        <v>7270</v>
      </c>
      <c r="O190" s="1146" t="s">
        <v>7739</v>
      </c>
      <c r="P190" s="1146"/>
      <c r="Q190" s="1083">
        <v>150</v>
      </c>
      <c r="S190" s="1112">
        <f t="shared" si="14"/>
        <v>45943</v>
      </c>
      <c r="T190" s="1112">
        <v>45955</v>
      </c>
      <c r="U190" s="1076" t="s">
        <v>7919</v>
      </c>
      <c r="V190" s="1084">
        <f t="shared" si="15"/>
        <v>46000</v>
      </c>
      <c r="W190" s="1083">
        <v>150</v>
      </c>
      <c r="X190" s="1112">
        <v>45996</v>
      </c>
      <c r="Y190" s="1137">
        <f t="shared" si="16"/>
        <v>0</v>
      </c>
    </row>
    <row r="191" spans="1:25" x14ac:dyDescent="0.45">
      <c r="A191" s="1088">
        <v>195</v>
      </c>
      <c r="B191" s="1088" t="str">
        <f t="shared" si="12"/>
        <v>Missing in D</v>
      </c>
      <c r="C191" s="1088" t="str">
        <f t="shared" si="17"/>
        <v>Missing in E</v>
      </c>
      <c r="E191" s="1146" t="s">
        <v>7273</v>
      </c>
      <c r="F191" s="1146" t="s">
        <v>7736</v>
      </c>
      <c r="G191" s="1146" t="s">
        <v>636</v>
      </c>
      <c r="H191" s="1147" t="s">
        <v>7918</v>
      </c>
      <c r="I191" s="1147" t="s">
        <v>7918</v>
      </c>
      <c r="J191" s="1148" t="s">
        <v>7816</v>
      </c>
      <c r="K191" s="1148" t="s">
        <v>7915</v>
      </c>
      <c r="L191" s="1146" t="s">
        <v>7916</v>
      </c>
      <c r="M191" s="1146" t="s">
        <v>642</v>
      </c>
      <c r="N191" s="1146" t="s">
        <v>7274</v>
      </c>
      <c r="O191" s="1146" t="s">
        <v>7739</v>
      </c>
      <c r="P191" s="1146"/>
      <c r="Q191" s="1083">
        <v>150</v>
      </c>
      <c r="S191" s="1112">
        <f t="shared" si="14"/>
        <v>45943</v>
      </c>
      <c r="T191" s="1112">
        <v>45955</v>
      </c>
      <c r="U191" s="1076" t="s">
        <v>7919</v>
      </c>
      <c r="V191" s="1084">
        <f t="shared" si="15"/>
        <v>46000</v>
      </c>
      <c r="W191" s="1083">
        <v>150</v>
      </c>
      <c r="X191" s="1112">
        <v>45996</v>
      </c>
      <c r="Y191" s="1137">
        <f t="shared" si="16"/>
        <v>0</v>
      </c>
    </row>
    <row r="192" spans="1:25" x14ac:dyDescent="0.45">
      <c r="A192" s="1088">
        <v>196</v>
      </c>
      <c r="B192" s="1088" t="str">
        <f t="shared" si="12"/>
        <v>Missing in D</v>
      </c>
      <c r="C192" s="1088" t="str">
        <f t="shared" si="17"/>
        <v>Missing in E</v>
      </c>
      <c r="E192" s="1146" t="s">
        <v>7278</v>
      </c>
      <c r="F192" s="1146" t="s">
        <v>7736</v>
      </c>
      <c r="G192" s="1146" t="s">
        <v>616</v>
      </c>
      <c r="H192" s="1147" t="s">
        <v>7918</v>
      </c>
      <c r="I192" s="1147" t="s">
        <v>7918</v>
      </c>
      <c r="J192" s="1148" t="s">
        <v>7816</v>
      </c>
      <c r="K192" s="1148" t="s">
        <v>7743</v>
      </c>
      <c r="L192" s="1146" t="s">
        <v>7860</v>
      </c>
      <c r="M192" s="1146" t="s">
        <v>643</v>
      </c>
      <c r="N192" s="1146" t="s">
        <v>7008</v>
      </c>
      <c r="O192" s="1146" t="s">
        <v>7739</v>
      </c>
      <c r="P192" s="1146"/>
      <c r="Q192" s="1136">
        <v>99</v>
      </c>
      <c r="S192" s="1112">
        <f t="shared" si="14"/>
        <v>45943</v>
      </c>
      <c r="T192" s="1112">
        <v>45955</v>
      </c>
      <c r="U192" s="1076" t="s">
        <v>7919</v>
      </c>
      <c r="V192" s="1084">
        <f t="shared" si="15"/>
        <v>46000</v>
      </c>
      <c r="W192" s="1136">
        <v>99</v>
      </c>
      <c r="X192" s="1112">
        <v>45996</v>
      </c>
      <c r="Y192" s="1137">
        <f t="shared" si="16"/>
        <v>0</v>
      </c>
    </row>
    <row r="193" spans="1:25" x14ac:dyDescent="0.45">
      <c r="A193" s="1088">
        <v>197</v>
      </c>
      <c r="B193" s="1088" t="str">
        <f t="shared" si="12"/>
        <v>Missing in D</v>
      </c>
      <c r="C193" s="1088" t="str">
        <f t="shared" si="17"/>
        <v>Missing in E</v>
      </c>
      <c r="E193" s="1146" t="s">
        <v>7277</v>
      </c>
      <c r="F193" s="1146" t="s">
        <v>7736</v>
      </c>
      <c r="G193" s="1146" t="s">
        <v>636</v>
      </c>
      <c r="H193" s="1147" t="s">
        <v>7918</v>
      </c>
      <c r="I193" s="1147" t="s">
        <v>7918</v>
      </c>
      <c r="J193" s="1148">
        <v>0.33333333333333331</v>
      </c>
      <c r="K193" s="1148">
        <v>0.64583333333333337</v>
      </c>
      <c r="L193" s="1146" t="s">
        <v>7916</v>
      </c>
      <c r="M193" s="1146" t="s">
        <v>386</v>
      </c>
      <c r="N193" s="1146" t="s">
        <v>7004</v>
      </c>
      <c r="O193" s="1146" t="s">
        <v>7739</v>
      </c>
      <c r="P193" s="1146"/>
      <c r="Q193" s="1136">
        <v>150</v>
      </c>
      <c r="S193" s="1112">
        <f t="shared" si="14"/>
        <v>45943</v>
      </c>
      <c r="T193" s="1112">
        <v>45955</v>
      </c>
      <c r="U193" s="1076" t="s">
        <v>7919</v>
      </c>
      <c r="V193" s="1084">
        <f t="shared" si="15"/>
        <v>46000</v>
      </c>
      <c r="W193" s="1136">
        <v>150</v>
      </c>
      <c r="X193" s="1112">
        <v>45996</v>
      </c>
      <c r="Y193" s="1137">
        <f t="shared" si="16"/>
        <v>0</v>
      </c>
    </row>
    <row r="194" spans="1:25" x14ac:dyDescent="0.45">
      <c r="A194" s="1088">
        <v>198</v>
      </c>
      <c r="B194" s="1088" t="str">
        <f t="shared" ref="B194:B226" si="18">IF(COUNTIF(E$2:E$273, D194)=0, "Missing in D", "")</f>
        <v>Missing in D</v>
      </c>
      <c r="C194" s="1088" t="str">
        <f t="shared" ref="C194:C200" si="19">IF(COUNTIF(D$2:D$273, E194)=0, "Missing in E", "")</f>
        <v>Missing in E</v>
      </c>
      <c r="E194" s="1146" t="s">
        <v>7258</v>
      </c>
      <c r="F194" s="1146"/>
      <c r="G194" s="1146" t="s">
        <v>636</v>
      </c>
      <c r="H194" s="1147" t="s">
        <v>7918</v>
      </c>
      <c r="I194" s="1147" t="s">
        <v>7918</v>
      </c>
      <c r="J194" s="1148">
        <v>0.33333333333333331</v>
      </c>
      <c r="K194" s="1148">
        <v>0.64583333333333337</v>
      </c>
      <c r="L194" s="1146" t="s">
        <v>7916</v>
      </c>
      <c r="M194" s="1146" t="s">
        <v>644</v>
      </c>
      <c r="N194" s="1146" t="s">
        <v>7259</v>
      </c>
      <c r="O194" s="1146" t="s">
        <v>7739</v>
      </c>
      <c r="P194" s="1146"/>
      <c r="Q194" s="1136">
        <v>150</v>
      </c>
      <c r="S194" s="1112">
        <f t="shared" ref="S194:S257" si="20">H194-12</f>
        <v>45943</v>
      </c>
      <c r="T194" s="1112">
        <v>45955</v>
      </c>
      <c r="U194" s="1076" t="s">
        <v>7919</v>
      </c>
      <c r="V194" s="1084">
        <f t="shared" ref="V194:V257" si="21">H194+45</f>
        <v>46000</v>
      </c>
      <c r="W194" s="1136">
        <v>150</v>
      </c>
      <c r="X194" s="1112">
        <v>45996</v>
      </c>
      <c r="Y194" s="1137">
        <f t="shared" ref="Y194:Y257" si="22">Q194-W194</f>
        <v>0</v>
      </c>
    </row>
    <row r="195" spans="1:25" x14ac:dyDescent="0.45">
      <c r="A195" s="1088">
        <v>199</v>
      </c>
      <c r="B195" s="1088" t="str">
        <f t="shared" si="18"/>
        <v>Missing in D</v>
      </c>
      <c r="C195" s="1088" t="str">
        <f t="shared" si="19"/>
        <v>Missing in E</v>
      </c>
      <c r="E195" s="1146" t="s">
        <v>7285</v>
      </c>
      <c r="F195" s="1146" t="s">
        <v>7736</v>
      </c>
      <c r="G195" s="1146" t="s">
        <v>616</v>
      </c>
      <c r="H195" s="1186" t="s">
        <v>7918</v>
      </c>
      <c r="I195" s="1147" t="s">
        <v>7918</v>
      </c>
      <c r="J195" s="1148" t="s">
        <v>7791</v>
      </c>
      <c r="K195" s="1148" t="s">
        <v>7915</v>
      </c>
      <c r="L195" s="1146" t="s">
        <v>7860</v>
      </c>
      <c r="M195" s="1146" t="s">
        <v>645</v>
      </c>
      <c r="N195" s="1146" t="s">
        <v>7286</v>
      </c>
      <c r="O195" s="1146" t="s">
        <v>7739</v>
      </c>
      <c r="P195" s="1146"/>
      <c r="Q195" s="1136">
        <v>99</v>
      </c>
      <c r="S195" s="1112">
        <f t="shared" si="20"/>
        <v>45943</v>
      </c>
      <c r="T195" s="1112">
        <v>45955</v>
      </c>
      <c r="U195" s="1076" t="s">
        <v>7919</v>
      </c>
      <c r="V195" s="1084">
        <f t="shared" si="21"/>
        <v>46000</v>
      </c>
      <c r="W195" s="1136">
        <v>99</v>
      </c>
      <c r="X195" s="1112">
        <v>45996</v>
      </c>
      <c r="Y195" s="1137">
        <f t="shared" si="22"/>
        <v>0</v>
      </c>
    </row>
    <row r="196" spans="1:25" x14ac:dyDescent="0.45">
      <c r="A196" s="1088">
        <v>200</v>
      </c>
      <c r="B196" s="1088" t="str">
        <f t="shared" si="18"/>
        <v>Missing in D</v>
      </c>
      <c r="C196" s="1088" t="str">
        <f t="shared" si="19"/>
        <v>Missing in E</v>
      </c>
      <c r="E196" s="1146" t="s">
        <v>7296</v>
      </c>
      <c r="F196" s="1146"/>
      <c r="G196" s="1146" t="s">
        <v>636</v>
      </c>
      <c r="H196" s="1182">
        <v>45956</v>
      </c>
      <c r="I196" s="1182">
        <v>45956</v>
      </c>
      <c r="J196" s="1148">
        <v>0.33333333333333331</v>
      </c>
      <c r="K196" s="1148">
        <v>0.64583333333333337</v>
      </c>
      <c r="L196" s="1146" t="s">
        <v>7916</v>
      </c>
      <c r="M196" s="1146" t="s">
        <v>646</v>
      </c>
      <c r="N196" s="1146" t="s">
        <v>7297</v>
      </c>
      <c r="O196" s="1146" t="s">
        <v>7739</v>
      </c>
      <c r="P196" s="1146"/>
      <c r="Q196" s="1136">
        <v>150</v>
      </c>
      <c r="S196" s="1112">
        <f t="shared" si="20"/>
        <v>45944</v>
      </c>
      <c r="T196" s="1112">
        <v>45956</v>
      </c>
      <c r="U196" s="1076" t="s">
        <v>7921</v>
      </c>
      <c r="V196" s="1084">
        <f t="shared" si="21"/>
        <v>46001</v>
      </c>
      <c r="W196" s="1136">
        <v>150</v>
      </c>
      <c r="X196" s="1112">
        <v>45996</v>
      </c>
      <c r="Y196" s="1137">
        <f t="shared" si="22"/>
        <v>0</v>
      </c>
    </row>
    <row r="197" spans="1:25" x14ac:dyDescent="0.45">
      <c r="A197" s="1088">
        <v>201</v>
      </c>
      <c r="B197" s="1088" t="str">
        <f t="shared" si="18"/>
        <v>Missing in D</v>
      </c>
      <c r="C197" s="1088" t="str">
        <f t="shared" si="19"/>
        <v>Missing in E</v>
      </c>
      <c r="E197" s="1146" t="s">
        <v>7299</v>
      </c>
      <c r="F197" s="1146"/>
      <c r="G197" s="1146" t="s">
        <v>636</v>
      </c>
      <c r="H197" s="1182">
        <v>45956</v>
      </c>
      <c r="I197" s="1182">
        <v>45956</v>
      </c>
      <c r="J197" s="1148">
        <v>0.33333333333333331</v>
      </c>
      <c r="K197" s="1148">
        <v>0.64583333333333337</v>
      </c>
      <c r="L197" s="1146" t="s">
        <v>7916</v>
      </c>
      <c r="M197" s="1146" t="s">
        <v>647</v>
      </c>
      <c r="N197" s="1146" t="s">
        <v>7300</v>
      </c>
      <c r="O197" s="1146" t="s">
        <v>7739</v>
      </c>
      <c r="P197" s="1146"/>
      <c r="Q197" s="1136">
        <v>150</v>
      </c>
      <c r="S197" s="1112">
        <f t="shared" si="20"/>
        <v>45944</v>
      </c>
      <c r="T197" s="1112">
        <v>45956</v>
      </c>
      <c r="U197" s="1076" t="s">
        <v>7921</v>
      </c>
      <c r="V197" s="1084">
        <f t="shared" si="21"/>
        <v>46001</v>
      </c>
      <c r="W197" s="1136">
        <v>150</v>
      </c>
      <c r="X197" s="1112">
        <v>45996</v>
      </c>
      <c r="Y197" s="1137">
        <f t="shared" si="22"/>
        <v>0</v>
      </c>
    </row>
    <row r="198" spans="1:25" x14ac:dyDescent="0.45">
      <c r="A198" s="1088">
        <v>202</v>
      </c>
      <c r="B198" s="1088" t="str">
        <f t="shared" si="18"/>
        <v>Missing in D</v>
      </c>
      <c r="C198" s="1088" t="str">
        <f t="shared" si="19"/>
        <v>Missing in E</v>
      </c>
      <c r="E198" s="1172" t="s">
        <v>7301</v>
      </c>
      <c r="F198" s="1146" t="s">
        <v>7736</v>
      </c>
      <c r="G198" s="1146" t="s">
        <v>636</v>
      </c>
      <c r="H198" s="1182">
        <v>45956</v>
      </c>
      <c r="I198" s="1182">
        <v>45956</v>
      </c>
      <c r="J198" s="1148">
        <v>0.33333333333333331</v>
      </c>
      <c r="K198" s="1148">
        <v>0.64583333333333337</v>
      </c>
      <c r="L198" s="1146" t="s">
        <v>7916</v>
      </c>
      <c r="M198" s="1146" t="s">
        <v>648</v>
      </c>
      <c r="N198" s="1146" t="s">
        <v>7302</v>
      </c>
      <c r="O198" s="1146" t="s">
        <v>7739</v>
      </c>
      <c r="P198" s="1146">
        <v>0</v>
      </c>
      <c r="Q198" s="1136">
        <v>150</v>
      </c>
      <c r="S198" s="1112">
        <f t="shared" si="20"/>
        <v>45944</v>
      </c>
      <c r="T198" s="1112">
        <v>45956</v>
      </c>
      <c r="U198" s="1076" t="s">
        <v>7921</v>
      </c>
      <c r="V198" s="1129">
        <f t="shared" si="21"/>
        <v>46001</v>
      </c>
      <c r="W198" s="1136">
        <v>150</v>
      </c>
      <c r="X198" s="1112">
        <v>45996</v>
      </c>
      <c r="Y198" s="1171">
        <f t="shared" si="22"/>
        <v>0</v>
      </c>
    </row>
    <row r="199" spans="1:25" x14ac:dyDescent="0.45">
      <c r="A199" s="1088">
        <v>203</v>
      </c>
      <c r="B199" s="1088" t="str">
        <f t="shared" si="18"/>
        <v>Missing in D</v>
      </c>
      <c r="C199" s="1088" t="str">
        <f t="shared" si="19"/>
        <v>Missing in E</v>
      </c>
      <c r="E199" s="1146" t="s">
        <v>7304</v>
      </c>
      <c r="F199" s="1146" t="s">
        <v>7736</v>
      </c>
      <c r="G199" s="1146" t="s">
        <v>636</v>
      </c>
      <c r="H199" s="1182">
        <v>45956</v>
      </c>
      <c r="I199" s="1182">
        <v>45956</v>
      </c>
      <c r="J199" s="1148">
        <v>0.33333333333333331</v>
      </c>
      <c r="K199" s="1148">
        <v>0.64583333333333337</v>
      </c>
      <c r="L199" s="1146" t="s">
        <v>7916</v>
      </c>
      <c r="M199" s="1146" t="s">
        <v>649</v>
      </c>
      <c r="N199" s="1146" t="s">
        <v>7305</v>
      </c>
      <c r="O199" s="1146" t="s">
        <v>7739</v>
      </c>
      <c r="P199" s="1146">
        <v>0</v>
      </c>
      <c r="Q199" s="1136">
        <v>150</v>
      </c>
      <c r="S199" s="1112">
        <f t="shared" si="20"/>
        <v>45944</v>
      </c>
      <c r="T199" s="1112">
        <v>45956</v>
      </c>
      <c r="U199" s="1076" t="s">
        <v>7921</v>
      </c>
      <c r="V199" s="1084">
        <f t="shared" si="21"/>
        <v>46001</v>
      </c>
      <c r="W199" s="1136">
        <v>150</v>
      </c>
      <c r="X199" s="1112">
        <v>45996</v>
      </c>
      <c r="Y199" s="1137">
        <f t="shared" si="22"/>
        <v>0</v>
      </c>
    </row>
    <row r="200" spans="1:25" x14ac:dyDescent="0.45">
      <c r="A200" s="1088">
        <v>204</v>
      </c>
      <c r="B200" s="1088" t="str">
        <f t="shared" si="18"/>
        <v>Missing in D</v>
      </c>
      <c r="C200" s="1088" t="str">
        <f t="shared" si="19"/>
        <v>Missing in E</v>
      </c>
      <c r="E200" s="1187" t="s">
        <v>7288</v>
      </c>
      <c r="F200" s="1146" t="s">
        <v>7736</v>
      </c>
      <c r="G200" s="1146" t="s">
        <v>616</v>
      </c>
      <c r="H200" s="1182">
        <v>45956</v>
      </c>
      <c r="I200" s="1182">
        <v>45956</v>
      </c>
      <c r="J200" s="1148">
        <v>0.5</v>
      </c>
      <c r="K200" s="1148">
        <v>0.64583333333333337</v>
      </c>
      <c r="L200" s="1146" t="s">
        <v>7860</v>
      </c>
      <c r="M200" s="1146" t="s">
        <v>650</v>
      </c>
      <c r="N200" s="1146" t="s">
        <v>6734</v>
      </c>
      <c r="O200" s="1146" t="s">
        <v>7739</v>
      </c>
      <c r="P200" s="1146"/>
      <c r="Q200" s="1136">
        <v>99</v>
      </c>
      <c r="R200" s="1082"/>
      <c r="S200" s="1112">
        <f t="shared" si="20"/>
        <v>45944</v>
      </c>
      <c r="T200" s="1112">
        <v>45956</v>
      </c>
      <c r="U200" s="1076" t="s">
        <v>7921</v>
      </c>
      <c r="V200" s="1084">
        <f t="shared" si="21"/>
        <v>46001</v>
      </c>
      <c r="W200" s="1136">
        <v>99</v>
      </c>
      <c r="X200" s="1112">
        <v>45996</v>
      </c>
      <c r="Y200" s="1137">
        <f t="shared" si="22"/>
        <v>0</v>
      </c>
    </row>
    <row r="201" spans="1:25" x14ac:dyDescent="0.45">
      <c r="A201" s="1088">
        <v>205</v>
      </c>
      <c r="B201" s="1088" t="str">
        <f t="shared" si="18"/>
        <v>Missing in D</v>
      </c>
      <c r="C201" s="1088" t="str">
        <f>IF( COUNTIF(D$2:D$273,#REF!)=0, "Missing in E", "")</f>
        <v>Missing in E</v>
      </c>
      <c r="E201" s="1146" t="s">
        <v>7343</v>
      </c>
      <c r="F201" s="1146" t="s">
        <v>7736</v>
      </c>
      <c r="G201" s="1146" t="s">
        <v>616</v>
      </c>
      <c r="H201" s="1147" t="s">
        <v>7922</v>
      </c>
      <c r="I201" s="1147" t="s">
        <v>7922</v>
      </c>
      <c r="J201" s="1148" t="s">
        <v>7816</v>
      </c>
      <c r="K201" s="1148" t="s">
        <v>7915</v>
      </c>
      <c r="L201" s="1146" t="s">
        <v>7860</v>
      </c>
      <c r="M201" s="1146" t="s">
        <v>615</v>
      </c>
      <c r="N201" s="1146" t="s">
        <v>6904</v>
      </c>
      <c r="O201" s="1146" t="s">
        <v>7739</v>
      </c>
      <c r="P201" s="1146"/>
      <c r="Q201" s="1083">
        <v>99</v>
      </c>
      <c r="S201" s="1112">
        <f t="shared" si="20"/>
        <v>45949</v>
      </c>
      <c r="T201" s="1112">
        <v>45961</v>
      </c>
      <c r="U201" s="1076" t="s">
        <v>7923</v>
      </c>
      <c r="V201" s="1084">
        <f t="shared" si="21"/>
        <v>46006</v>
      </c>
      <c r="W201" s="1136">
        <v>99</v>
      </c>
      <c r="X201" s="1112">
        <v>46003</v>
      </c>
      <c r="Y201" s="1137">
        <f t="shared" si="22"/>
        <v>0</v>
      </c>
    </row>
    <row r="202" spans="1:25" x14ac:dyDescent="0.45">
      <c r="A202" s="1088">
        <v>206</v>
      </c>
      <c r="B202" s="1088" t="str">
        <f t="shared" si="18"/>
        <v>Missing in D</v>
      </c>
      <c r="C202" s="1088" t="str">
        <f>IF( COUNTIF(D$2:D$273,#REF!)=0, "Missing in E", "")</f>
        <v>Missing in E</v>
      </c>
      <c r="E202" s="1172" t="s">
        <v>7344</v>
      </c>
      <c r="F202" s="1172" t="s">
        <v>7736</v>
      </c>
      <c r="G202" s="1172" t="s">
        <v>616</v>
      </c>
      <c r="H202" s="1173" t="s">
        <v>7922</v>
      </c>
      <c r="I202" s="1173" t="s">
        <v>7922</v>
      </c>
      <c r="J202" s="1174" t="s">
        <v>7816</v>
      </c>
      <c r="K202" s="1174" t="s">
        <v>7915</v>
      </c>
      <c r="L202" s="1172" t="s">
        <v>7860</v>
      </c>
      <c r="M202" s="1172" t="s">
        <v>618</v>
      </c>
      <c r="N202" s="1172" t="s">
        <v>6907</v>
      </c>
      <c r="O202" s="1172" t="s">
        <v>7739</v>
      </c>
      <c r="P202" s="1172"/>
      <c r="Q202" s="1103">
        <v>99</v>
      </c>
      <c r="S202" s="1112">
        <f t="shared" si="20"/>
        <v>45949</v>
      </c>
      <c r="T202" s="1112">
        <v>45961</v>
      </c>
      <c r="U202" s="1076" t="s">
        <v>7923</v>
      </c>
      <c r="V202" s="1084">
        <f t="shared" si="21"/>
        <v>46006</v>
      </c>
      <c r="W202" s="1136">
        <v>99</v>
      </c>
      <c r="X202" s="1112">
        <v>46003</v>
      </c>
      <c r="Y202" s="1137">
        <f t="shared" si="22"/>
        <v>0</v>
      </c>
    </row>
    <row r="203" spans="1:25" x14ac:dyDescent="0.45">
      <c r="A203" s="1088">
        <v>207</v>
      </c>
      <c r="B203" s="1088" t="str">
        <f t="shared" si="18"/>
        <v>Missing in D</v>
      </c>
      <c r="C203" s="1088" t="str">
        <f>IF( COUNTIF(D$2:D$273,#REF!)=0, "Missing in E", "")</f>
        <v>Missing in E</v>
      </c>
      <c r="E203" s="1146" t="s">
        <v>7622</v>
      </c>
      <c r="F203" s="1146"/>
      <c r="G203" s="1146" t="s">
        <v>613</v>
      </c>
      <c r="H203" s="1147">
        <v>45963</v>
      </c>
      <c r="I203" s="1147">
        <v>45963</v>
      </c>
      <c r="J203" s="1148">
        <v>0.39583333333333331</v>
      </c>
      <c r="K203" s="1148">
        <v>0.66666666666666663</v>
      </c>
      <c r="L203" s="1146" t="s">
        <v>7845</v>
      </c>
      <c r="M203" s="1146" t="s">
        <v>619</v>
      </c>
      <c r="N203" s="1146" t="s">
        <v>7623</v>
      </c>
      <c r="O203" s="1146" t="s">
        <v>7739</v>
      </c>
      <c r="P203" s="1146"/>
      <c r="Q203" s="1136">
        <v>150</v>
      </c>
      <c r="S203" s="1112">
        <f t="shared" si="20"/>
        <v>45951</v>
      </c>
      <c r="T203" s="1112">
        <v>45963</v>
      </c>
      <c r="U203" s="1076" t="s">
        <v>7924</v>
      </c>
      <c r="V203" s="1084">
        <f t="shared" si="21"/>
        <v>46008</v>
      </c>
      <c r="W203" s="1136">
        <v>150</v>
      </c>
      <c r="X203" s="1112">
        <v>46003</v>
      </c>
      <c r="Y203" s="1137">
        <f t="shared" si="22"/>
        <v>0</v>
      </c>
    </row>
    <row r="204" spans="1:25" x14ac:dyDescent="0.45">
      <c r="A204" s="1088">
        <v>208</v>
      </c>
      <c r="B204" s="1088" t="str">
        <f t="shared" si="18"/>
        <v>Missing in D</v>
      </c>
      <c r="C204" s="1088" t="str">
        <f>IF( COUNTIF(D$2:D$273,#REF!)=0, "Missing in E", "")</f>
        <v>Missing in E</v>
      </c>
      <c r="E204" s="1146" t="s">
        <v>6373</v>
      </c>
      <c r="F204" s="1146" t="s">
        <v>7736</v>
      </c>
      <c r="G204" s="1146" t="s">
        <v>580</v>
      </c>
      <c r="H204" s="1147" t="s">
        <v>7925</v>
      </c>
      <c r="I204" s="1147" t="s">
        <v>7926</v>
      </c>
      <c r="J204" s="1148" t="s">
        <v>7778</v>
      </c>
      <c r="K204" s="1148" t="s">
        <v>7745</v>
      </c>
      <c r="L204" s="1146" t="s">
        <v>7762</v>
      </c>
      <c r="M204" s="1146" t="s">
        <v>579</v>
      </c>
      <c r="N204" s="1146" t="s">
        <v>6374</v>
      </c>
      <c r="O204" s="1146" t="s">
        <v>7739</v>
      </c>
      <c r="P204" s="1146"/>
      <c r="Q204" s="1083">
        <v>150</v>
      </c>
      <c r="S204" s="1112">
        <f t="shared" si="20"/>
        <v>45952</v>
      </c>
      <c r="T204" s="1112">
        <v>45964</v>
      </c>
      <c r="U204" s="1076" t="s">
        <v>7927</v>
      </c>
      <c r="V204" s="1084">
        <f t="shared" si="21"/>
        <v>46009</v>
      </c>
      <c r="W204" s="1136">
        <v>150</v>
      </c>
      <c r="X204" s="1112">
        <v>46010</v>
      </c>
      <c r="Y204" s="1137">
        <f t="shared" si="22"/>
        <v>0</v>
      </c>
    </row>
    <row r="205" spans="1:25" x14ac:dyDescent="0.45">
      <c r="A205" s="1088">
        <v>209</v>
      </c>
      <c r="B205" s="1088" t="str">
        <f t="shared" si="18"/>
        <v>Missing in D</v>
      </c>
      <c r="C205" s="1088" t="str">
        <f>IF(COUNTIF(D$2:D$273, E205)=0, "Missing in E", "")</f>
        <v>Missing in E</v>
      </c>
      <c r="E205" s="1146" t="s">
        <v>7346</v>
      </c>
      <c r="F205" s="1146" t="s">
        <v>7736</v>
      </c>
      <c r="G205" s="1146" t="s">
        <v>362</v>
      </c>
      <c r="H205" s="1147" t="s">
        <v>7928</v>
      </c>
      <c r="I205" s="1147" t="s">
        <v>7928</v>
      </c>
      <c r="J205" s="1148" t="s">
        <v>7742</v>
      </c>
      <c r="K205" s="1148" t="s">
        <v>7743</v>
      </c>
      <c r="L205" s="1146" t="s">
        <v>7824</v>
      </c>
      <c r="M205" s="1146" t="s">
        <v>581</v>
      </c>
      <c r="N205" s="1146" t="s">
        <v>7349</v>
      </c>
      <c r="O205" s="1146" t="s">
        <v>7739</v>
      </c>
      <c r="P205" s="1146"/>
      <c r="Q205" s="1083">
        <v>12</v>
      </c>
      <c r="S205" s="1112">
        <f t="shared" si="20"/>
        <v>45956</v>
      </c>
      <c r="T205" s="1112">
        <v>45968</v>
      </c>
      <c r="U205" s="1076" t="s">
        <v>7929</v>
      </c>
      <c r="V205" s="1084">
        <f t="shared" si="21"/>
        <v>46013</v>
      </c>
      <c r="W205" s="1136">
        <v>12</v>
      </c>
      <c r="X205" s="1112">
        <v>46010</v>
      </c>
      <c r="Y205" s="1137">
        <f t="shared" si="22"/>
        <v>0</v>
      </c>
    </row>
    <row r="206" spans="1:25" x14ac:dyDescent="0.45">
      <c r="A206" s="1088">
        <v>210</v>
      </c>
      <c r="B206" s="1088" t="str">
        <f t="shared" si="18"/>
        <v>Missing in D</v>
      </c>
      <c r="C206" s="1088" t="str">
        <f>IF(COUNTIF(D$2:D$273, E206)=0, "Missing in E", "")</f>
        <v>Missing in E</v>
      </c>
      <c r="E206" s="1146" t="s">
        <v>7363</v>
      </c>
      <c r="F206" s="1146" t="s">
        <v>7736</v>
      </c>
      <c r="G206" s="1146" t="s">
        <v>362</v>
      </c>
      <c r="H206" s="1147" t="s">
        <v>7928</v>
      </c>
      <c r="I206" s="1147" t="s">
        <v>7928</v>
      </c>
      <c r="J206" s="1148" t="s">
        <v>7742</v>
      </c>
      <c r="K206" s="1148" t="s">
        <v>7743</v>
      </c>
      <c r="L206" s="1146" t="s">
        <v>7824</v>
      </c>
      <c r="M206" s="1146" t="s">
        <v>582</v>
      </c>
      <c r="N206" s="1146" t="s">
        <v>7364</v>
      </c>
      <c r="O206" s="1146" t="s">
        <v>7739</v>
      </c>
      <c r="P206" s="1146"/>
      <c r="Q206" s="1083">
        <v>15</v>
      </c>
      <c r="S206" s="1112">
        <f t="shared" si="20"/>
        <v>45956</v>
      </c>
      <c r="T206" s="1112">
        <v>45968</v>
      </c>
      <c r="U206" s="1076" t="s">
        <v>7929</v>
      </c>
      <c r="V206" s="1084">
        <f t="shared" si="21"/>
        <v>46013</v>
      </c>
      <c r="W206" s="1136">
        <v>15</v>
      </c>
      <c r="X206" s="1112">
        <v>46010</v>
      </c>
      <c r="Y206" s="1137">
        <f t="shared" si="22"/>
        <v>0</v>
      </c>
    </row>
    <row r="207" spans="1:25" x14ac:dyDescent="0.45">
      <c r="A207" s="1088">
        <v>211</v>
      </c>
      <c r="B207" s="1088" t="str">
        <f t="shared" si="18"/>
        <v>Missing in D</v>
      </c>
      <c r="C207" s="1088" t="str">
        <f>IF( COUNTIF(D$2:D$273,#REF!)=0, "Missing in E", "")</f>
        <v>Missing in E</v>
      </c>
      <c r="E207" s="1146" t="s">
        <v>7350</v>
      </c>
      <c r="F207" s="1146" t="s">
        <v>7736</v>
      </c>
      <c r="G207" s="1146" t="s">
        <v>362</v>
      </c>
      <c r="H207" s="1147" t="s">
        <v>7928</v>
      </c>
      <c r="I207" s="1147" t="s">
        <v>7928</v>
      </c>
      <c r="J207" s="1148" t="s">
        <v>7742</v>
      </c>
      <c r="K207" s="1148" t="s">
        <v>7743</v>
      </c>
      <c r="L207" s="1146" t="s">
        <v>7824</v>
      </c>
      <c r="M207" s="1146" t="s">
        <v>583</v>
      </c>
      <c r="N207" s="1146" t="s">
        <v>7351</v>
      </c>
      <c r="O207" s="1146" t="s">
        <v>7739</v>
      </c>
      <c r="P207" s="1146"/>
      <c r="Q207" s="1136">
        <v>15</v>
      </c>
      <c r="S207" s="1112">
        <f t="shared" si="20"/>
        <v>45956</v>
      </c>
      <c r="T207" s="1112">
        <v>45968</v>
      </c>
      <c r="U207" s="1076" t="s">
        <v>7929</v>
      </c>
      <c r="V207" s="1084">
        <f t="shared" si="21"/>
        <v>46013</v>
      </c>
      <c r="W207" s="1136">
        <v>15</v>
      </c>
      <c r="X207" s="1112">
        <v>46010</v>
      </c>
      <c r="Y207" s="1137">
        <f t="shared" si="22"/>
        <v>0</v>
      </c>
    </row>
    <row r="208" spans="1:25" x14ac:dyDescent="0.45">
      <c r="A208" s="1088">
        <v>212</v>
      </c>
      <c r="B208" s="1088" t="str">
        <f t="shared" si="18"/>
        <v>Missing in D</v>
      </c>
      <c r="C208" s="1088" t="str">
        <f>IF( COUNTIF(D$2:D$273,#REF!)=0, "Missing in E", "")</f>
        <v>Missing in E</v>
      </c>
      <c r="E208" s="1146" t="s">
        <v>7354</v>
      </c>
      <c r="F208" s="1146" t="s">
        <v>7736</v>
      </c>
      <c r="G208" s="1146" t="s">
        <v>362</v>
      </c>
      <c r="H208" s="1147" t="s">
        <v>7928</v>
      </c>
      <c r="I208" s="1147" t="s">
        <v>7928</v>
      </c>
      <c r="J208" s="1148" t="s">
        <v>7742</v>
      </c>
      <c r="K208" s="1148" t="s">
        <v>7743</v>
      </c>
      <c r="L208" s="1146" t="s">
        <v>7824</v>
      </c>
      <c r="M208" s="1146" t="s">
        <v>584</v>
      </c>
      <c r="N208" s="1146" t="s">
        <v>7355</v>
      </c>
      <c r="O208" s="1146" t="s">
        <v>7739</v>
      </c>
      <c r="P208" s="1146"/>
      <c r="Q208" s="1083">
        <v>15</v>
      </c>
      <c r="S208" s="1112">
        <f t="shared" si="20"/>
        <v>45956</v>
      </c>
      <c r="T208" s="1112">
        <v>45968</v>
      </c>
      <c r="U208" s="1076" t="s">
        <v>7929</v>
      </c>
      <c r="V208" s="1084">
        <f t="shared" si="21"/>
        <v>46013</v>
      </c>
      <c r="W208" s="1136">
        <v>15</v>
      </c>
      <c r="X208" s="1112">
        <v>46010</v>
      </c>
      <c r="Y208" s="1137">
        <f t="shared" si="22"/>
        <v>0</v>
      </c>
    </row>
    <row r="209" spans="1:25" x14ac:dyDescent="0.45">
      <c r="A209" s="1088">
        <v>213</v>
      </c>
      <c r="B209" s="1088" t="str">
        <f t="shared" si="18"/>
        <v>Missing in D</v>
      </c>
      <c r="C209" s="1088" t="str">
        <f>IF( COUNTIF(D$2:D$273,#REF!)=0, "Missing in E", "")</f>
        <v>Missing in E</v>
      </c>
      <c r="E209" s="1146" t="s">
        <v>7352</v>
      </c>
      <c r="F209" s="1146" t="s">
        <v>7736</v>
      </c>
      <c r="G209" s="1146" t="s">
        <v>362</v>
      </c>
      <c r="H209" s="1147" t="s">
        <v>7928</v>
      </c>
      <c r="I209" s="1147" t="s">
        <v>7928</v>
      </c>
      <c r="J209" s="1148" t="s">
        <v>7742</v>
      </c>
      <c r="K209" s="1148" t="s">
        <v>7743</v>
      </c>
      <c r="L209" s="1146" t="s">
        <v>7824</v>
      </c>
      <c r="M209" s="1146" t="s">
        <v>585</v>
      </c>
      <c r="N209" s="1146" t="s">
        <v>7353</v>
      </c>
      <c r="O209" s="1146" t="s">
        <v>7739</v>
      </c>
      <c r="P209" s="1146"/>
      <c r="Q209" s="1083">
        <v>15</v>
      </c>
      <c r="S209" s="1112">
        <f t="shared" si="20"/>
        <v>45956</v>
      </c>
      <c r="T209" s="1112">
        <v>45968</v>
      </c>
      <c r="U209" s="1076" t="s">
        <v>7929</v>
      </c>
      <c r="V209" s="1084">
        <f t="shared" si="21"/>
        <v>46013</v>
      </c>
      <c r="W209" s="1136">
        <v>15</v>
      </c>
      <c r="X209" s="1112">
        <v>46010</v>
      </c>
      <c r="Y209" s="1137">
        <f t="shared" si="22"/>
        <v>0</v>
      </c>
    </row>
    <row r="210" spans="1:25" x14ac:dyDescent="0.45">
      <c r="A210" s="1088">
        <v>214</v>
      </c>
      <c r="B210" s="1088" t="str">
        <f t="shared" si="18"/>
        <v>Missing in D</v>
      </c>
      <c r="C210" s="1088" t="str">
        <f>IF( COUNTIF(D$2:D$273,#REF!)=0, "Missing in E", "")</f>
        <v>Missing in E</v>
      </c>
      <c r="E210" s="1146" t="s">
        <v>7356</v>
      </c>
      <c r="F210" s="1146" t="s">
        <v>7736</v>
      </c>
      <c r="G210" s="1146" t="s">
        <v>362</v>
      </c>
      <c r="H210" s="1147" t="s">
        <v>7928</v>
      </c>
      <c r="I210" s="1147" t="s">
        <v>7928</v>
      </c>
      <c r="J210" s="1148" t="s">
        <v>7742</v>
      </c>
      <c r="K210" s="1148" t="s">
        <v>7743</v>
      </c>
      <c r="L210" s="1146" t="s">
        <v>7824</v>
      </c>
      <c r="M210" s="1146" t="s">
        <v>386</v>
      </c>
      <c r="N210" s="1146" t="s">
        <v>7004</v>
      </c>
      <c r="O210" s="1146" t="s">
        <v>7739</v>
      </c>
      <c r="P210" s="1146"/>
      <c r="Q210" s="1136">
        <v>15</v>
      </c>
      <c r="S210" s="1112">
        <f t="shared" si="20"/>
        <v>45956</v>
      </c>
      <c r="T210" s="1112">
        <v>45968</v>
      </c>
      <c r="U210" s="1076" t="s">
        <v>7929</v>
      </c>
      <c r="V210" s="1084">
        <f t="shared" si="21"/>
        <v>46013</v>
      </c>
      <c r="W210" s="1136">
        <v>15</v>
      </c>
      <c r="X210" s="1112">
        <v>46010</v>
      </c>
      <c r="Y210" s="1137">
        <f t="shared" si="22"/>
        <v>0</v>
      </c>
    </row>
    <row r="211" spans="1:25" x14ac:dyDescent="0.45">
      <c r="A211" s="1088">
        <v>215</v>
      </c>
      <c r="B211" s="1088" t="str">
        <f t="shared" si="18"/>
        <v>Missing in D</v>
      </c>
      <c r="C211" s="1088" t="str">
        <f>IF( COUNTIF(D$2:D$273,#REF!)=0, "Missing in E", "")</f>
        <v>Missing in E</v>
      </c>
      <c r="E211" s="1146" t="s">
        <v>7357</v>
      </c>
      <c r="F211" s="1146" t="s">
        <v>7736</v>
      </c>
      <c r="G211" s="1146" t="s">
        <v>362</v>
      </c>
      <c r="H211" s="1147" t="s">
        <v>7928</v>
      </c>
      <c r="I211" s="1147" t="s">
        <v>7928</v>
      </c>
      <c r="J211" s="1148" t="s">
        <v>7742</v>
      </c>
      <c r="K211" s="1148" t="s">
        <v>7743</v>
      </c>
      <c r="L211" s="1146" t="s">
        <v>7824</v>
      </c>
      <c r="M211" s="1146" t="s">
        <v>586</v>
      </c>
      <c r="N211" s="1146" t="s">
        <v>7358</v>
      </c>
      <c r="O211" s="1146" t="s">
        <v>7739</v>
      </c>
      <c r="P211" s="1146"/>
      <c r="Q211" s="1083">
        <v>15</v>
      </c>
      <c r="S211" s="1112">
        <f t="shared" si="20"/>
        <v>45956</v>
      </c>
      <c r="T211" s="1112">
        <v>45968</v>
      </c>
      <c r="U211" s="1076" t="s">
        <v>7929</v>
      </c>
      <c r="V211" s="1084">
        <f t="shared" si="21"/>
        <v>46013</v>
      </c>
      <c r="W211" s="1136">
        <v>15</v>
      </c>
      <c r="X211" s="1112">
        <v>46010</v>
      </c>
      <c r="Y211" s="1137">
        <f t="shared" si="22"/>
        <v>0</v>
      </c>
    </row>
    <row r="212" spans="1:25" x14ac:dyDescent="0.45">
      <c r="A212" s="1088">
        <v>216</v>
      </c>
      <c r="B212" s="1088" t="str">
        <f t="shared" si="18"/>
        <v>Missing in D</v>
      </c>
      <c r="C212" s="1088" t="str">
        <f>IF( COUNTIF(D$2:D$273,#REF!)=0, "Missing in E", "")</f>
        <v>Missing in E</v>
      </c>
      <c r="E212" s="1146" t="s">
        <v>7360</v>
      </c>
      <c r="F212" s="1146" t="s">
        <v>7736</v>
      </c>
      <c r="G212" s="1146" t="s">
        <v>362</v>
      </c>
      <c r="H212" s="1147" t="s">
        <v>7928</v>
      </c>
      <c r="I212" s="1147" t="s">
        <v>7928</v>
      </c>
      <c r="J212" s="1148" t="s">
        <v>7742</v>
      </c>
      <c r="K212" s="1148" t="s">
        <v>7743</v>
      </c>
      <c r="L212" s="1146" t="s">
        <v>7824</v>
      </c>
      <c r="M212" s="1146" t="s">
        <v>587</v>
      </c>
      <c r="N212" s="1146" t="s">
        <v>7361</v>
      </c>
      <c r="O212" s="1146" t="s">
        <v>7739</v>
      </c>
      <c r="P212" s="1146"/>
      <c r="Q212" s="1136">
        <v>15</v>
      </c>
      <c r="S212" s="1112">
        <f t="shared" si="20"/>
        <v>45956</v>
      </c>
      <c r="T212" s="1112">
        <v>45968</v>
      </c>
      <c r="U212" s="1076" t="s">
        <v>7929</v>
      </c>
      <c r="V212" s="1084">
        <f t="shared" si="21"/>
        <v>46013</v>
      </c>
      <c r="W212" s="1136">
        <v>15</v>
      </c>
      <c r="X212" s="1112">
        <v>46010</v>
      </c>
      <c r="Y212" s="1137">
        <f t="shared" si="22"/>
        <v>0</v>
      </c>
    </row>
    <row r="213" spans="1:25" x14ac:dyDescent="0.45">
      <c r="A213" s="1088">
        <v>217</v>
      </c>
      <c r="B213" s="1088" t="str">
        <f t="shared" si="18"/>
        <v>Missing in D</v>
      </c>
      <c r="C213" s="1088" t="str">
        <f>IF( COUNTIF(D$2:D$273,#REF!)=0, "Missing in E", "")</f>
        <v>Missing in E</v>
      </c>
      <c r="E213" s="1146" t="s">
        <v>7365</v>
      </c>
      <c r="F213" s="1146" t="s">
        <v>7736</v>
      </c>
      <c r="G213" s="1146" t="s">
        <v>362</v>
      </c>
      <c r="H213" s="1147" t="s">
        <v>7928</v>
      </c>
      <c r="I213" s="1147" t="s">
        <v>7928</v>
      </c>
      <c r="J213" s="1148" t="s">
        <v>7742</v>
      </c>
      <c r="K213" s="1148" t="s">
        <v>7743</v>
      </c>
      <c r="L213" s="1146" t="s">
        <v>7824</v>
      </c>
      <c r="M213" s="1146" t="s">
        <v>588</v>
      </c>
      <c r="N213" s="1146" t="s">
        <v>7366</v>
      </c>
      <c r="O213" s="1146" t="s">
        <v>7739</v>
      </c>
      <c r="P213" s="1146"/>
      <c r="Q213" s="1083">
        <v>15</v>
      </c>
      <c r="S213" s="1112">
        <f t="shared" si="20"/>
        <v>45956</v>
      </c>
      <c r="T213" s="1112">
        <v>45968</v>
      </c>
      <c r="U213" s="1076" t="s">
        <v>7929</v>
      </c>
      <c r="V213" s="1084">
        <f t="shared" si="21"/>
        <v>46013</v>
      </c>
      <c r="W213" s="1136">
        <v>15</v>
      </c>
      <c r="X213" s="1112">
        <v>46010</v>
      </c>
      <c r="Y213" s="1137">
        <f t="shared" si="22"/>
        <v>0</v>
      </c>
    </row>
    <row r="214" spans="1:25" x14ac:dyDescent="0.45">
      <c r="A214" s="1088">
        <v>218</v>
      </c>
      <c r="B214" s="1088" t="str">
        <f t="shared" si="18"/>
        <v>Missing in D</v>
      </c>
      <c r="C214" s="1088" t="str">
        <f>IF( COUNTIF(D$2:D$273,#REF!)=0, "Missing in E", "")</f>
        <v>Missing in E</v>
      </c>
      <c r="E214" s="1172" t="s">
        <v>7368</v>
      </c>
      <c r="F214" s="1146" t="s">
        <v>7736</v>
      </c>
      <c r="G214" s="1146" t="s">
        <v>362</v>
      </c>
      <c r="H214" s="1147" t="s">
        <v>7928</v>
      </c>
      <c r="I214" s="1147" t="s">
        <v>7928</v>
      </c>
      <c r="J214" s="1148" t="s">
        <v>7742</v>
      </c>
      <c r="K214" s="1148" t="s">
        <v>7743</v>
      </c>
      <c r="L214" s="1146" t="s">
        <v>7824</v>
      </c>
      <c r="M214" s="1146" t="s">
        <v>589</v>
      </c>
      <c r="N214" s="1146" t="s">
        <v>7369</v>
      </c>
      <c r="O214" s="1146" t="s">
        <v>7739</v>
      </c>
      <c r="P214" s="1146"/>
      <c r="Q214" s="1083">
        <v>15</v>
      </c>
      <c r="S214" s="1112">
        <f t="shared" si="20"/>
        <v>45956</v>
      </c>
      <c r="T214" s="1112">
        <v>45968</v>
      </c>
      <c r="U214" s="1076" t="s">
        <v>7929</v>
      </c>
      <c r="V214" s="1084">
        <f t="shared" si="21"/>
        <v>46013</v>
      </c>
      <c r="W214" s="1136">
        <v>15</v>
      </c>
      <c r="X214" s="1112">
        <v>46010</v>
      </c>
      <c r="Y214" s="1137">
        <f t="shared" si="22"/>
        <v>0</v>
      </c>
    </row>
    <row r="215" spans="1:25" x14ac:dyDescent="0.45">
      <c r="A215" s="1088">
        <v>219</v>
      </c>
      <c r="B215" s="1088" t="str">
        <f t="shared" si="18"/>
        <v>Missing in D</v>
      </c>
      <c r="C215" s="1088" t="str">
        <f>IF( COUNTIF(D$2:D$273,#REF!)=0, "Missing in E", "")</f>
        <v>Missing in E</v>
      </c>
      <c r="E215" s="1146" t="s">
        <v>7375</v>
      </c>
      <c r="F215" s="1146" t="s">
        <v>7736</v>
      </c>
      <c r="G215" s="1146" t="s">
        <v>362</v>
      </c>
      <c r="H215" s="1147" t="s">
        <v>7928</v>
      </c>
      <c r="I215" s="1147" t="s">
        <v>7928</v>
      </c>
      <c r="J215" s="1148" t="s">
        <v>7742</v>
      </c>
      <c r="K215" s="1148" t="s">
        <v>7743</v>
      </c>
      <c r="L215" s="1146" t="s">
        <v>7824</v>
      </c>
      <c r="M215" s="1146" t="s">
        <v>387</v>
      </c>
      <c r="N215" s="1146" t="s">
        <v>7376</v>
      </c>
      <c r="O215" s="1146" t="s">
        <v>7739</v>
      </c>
      <c r="P215" s="1146"/>
      <c r="Q215" s="1083">
        <v>15</v>
      </c>
      <c r="S215" s="1112">
        <f t="shared" si="20"/>
        <v>45956</v>
      </c>
      <c r="T215" s="1112">
        <v>45968</v>
      </c>
      <c r="U215" s="1076" t="s">
        <v>7929</v>
      </c>
      <c r="V215" s="1084">
        <f t="shared" si="21"/>
        <v>46013</v>
      </c>
      <c r="W215" s="1136">
        <v>15</v>
      </c>
      <c r="X215" s="1112">
        <v>46010</v>
      </c>
      <c r="Y215" s="1137">
        <f t="shared" si="22"/>
        <v>0</v>
      </c>
    </row>
    <row r="216" spans="1:25" x14ac:dyDescent="0.45">
      <c r="A216" s="1088">
        <v>220</v>
      </c>
      <c r="B216" s="1088" t="str">
        <f t="shared" si="18"/>
        <v>Missing in D</v>
      </c>
      <c r="C216" s="1088" t="str">
        <f>IF( COUNTIF(D$2:D$273,#REF!)=0, "Missing in E", "")</f>
        <v>Missing in E</v>
      </c>
      <c r="E216" s="1146" t="s">
        <v>7377</v>
      </c>
      <c r="F216" s="1146" t="s">
        <v>7736</v>
      </c>
      <c r="G216" s="1146" t="s">
        <v>362</v>
      </c>
      <c r="H216" s="1147" t="s">
        <v>7928</v>
      </c>
      <c r="I216" s="1147" t="s">
        <v>7928</v>
      </c>
      <c r="J216" s="1148" t="s">
        <v>7742</v>
      </c>
      <c r="K216" s="1148" t="s">
        <v>7743</v>
      </c>
      <c r="L216" s="1146" t="s">
        <v>7824</v>
      </c>
      <c r="M216" s="1146" t="s">
        <v>590</v>
      </c>
      <c r="N216" s="1146" t="s">
        <v>7378</v>
      </c>
      <c r="O216" s="1146" t="s">
        <v>7739</v>
      </c>
      <c r="P216" s="1146"/>
      <c r="Q216" s="1136">
        <v>15</v>
      </c>
      <c r="S216" s="1112">
        <f t="shared" si="20"/>
        <v>45956</v>
      </c>
      <c r="T216" s="1112">
        <v>45968</v>
      </c>
      <c r="U216" s="1076" t="s">
        <v>7929</v>
      </c>
      <c r="V216" s="1084">
        <f t="shared" si="21"/>
        <v>46013</v>
      </c>
      <c r="W216" s="1136">
        <v>15</v>
      </c>
      <c r="X216" s="1112">
        <v>46010</v>
      </c>
      <c r="Y216" s="1137">
        <f t="shared" si="22"/>
        <v>0</v>
      </c>
    </row>
    <row r="217" spans="1:25" x14ac:dyDescent="0.45">
      <c r="A217" s="1088">
        <v>221</v>
      </c>
      <c r="B217" s="1088" t="str">
        <f t="shared" si="18"/>
        <v>Missing in D</v>
      </c>
      <c r="C217" s="1088" t="str">
        <f>IF( COUNTIF(D$2:D$273,#REF!)=0, "Missing in E", "")</f>
        <v>Missing in E</v>
      </c>
      <c r="E217" s="1146" t="s">
        <v>7374</v>
      </c>
      <c r="F217" s="1146" t="s">
        <v>7736</v>
      </c>
      <c r="G217" s="1146" t="s">
        <v>362</v>
      </c>
      <c r="H217" s="1147" t="s">
        <v>7928</v>
      </c>
      <c r="I217" s="1147" t="s">
        <v>7928</v>
      </c>
      <c r="J217" s="1148" t="s">
        <v>7742</v>
      </c>
      <c r="K217" s="1148" t="s">
        <v>7743</v>
      </c>
      <c r="L217" s="1146" t="s">
        <v>7824</v>
      </c>
      <c r="M217" s="1146" t="s">
        <v>591</v>
      </c>
      <c r="N217" s="1146" t="s">
        <v>6319</v>
      </c>
      <c r="O217" s="1146" t="s">
        <v>7739</v>
      </c>
      <c r="P217" s="1146"/>
      <c r="Q217" s="1083">
        <v>15</v>
      </c>
      <c r="S217" s="1112">
        <f t="shared" si="20"/>
        <v>45956</v>
      </c>
      <c r="T217" s="1112">
        <v>45968</v>
      </c>
      <c r="U217" s="1076" t="s">
        <v>7929</v>
      </c>
      <c r="V217" s="1084">
        <f t="shared" si="21"/>
        <v>46013</v>
      </c>
      <c r="W217" s="1136">
        <v>15</v>
      </c>
      <c r="X217" s="1112">
        <v>46010</v>
      </c>
      <c r="Y217" s="1137">
        <f t="shared" si="22"/>
        <v>0</v>
      </c>
    </row>
    <row r="218" spans="1:25" x14ac:dyDescent="0.45">
      <c r="A218" s="1088">
        <v>222</v>
      </c>
      <c r="B218" s="1088" t="str">
        <f t="shared" si="18"/>
        <v>Missing in D</v>
      </c>
      <c r="C218" s="1088" t="str">
        <f>IF( COUNTIF(D$2:D$273,#REF!)=0, "Missing in E", "")</f>
        <v>Missing in E</v>
      </c>
      <c r="E218" s="1146" t="s">
        <v>7371</v>
      </c>
      <c r="F218" s="1146" t="s">
        <v>7736</v>
      </c>
      <c r="G218" s="1146" t="s">
        <v>362</v>
      </c>
      <c r="H218" s="1147" t="s">
        <v>7928</v>
      </c>
      <c r="I218" s="1147" t="s">
        <v>7928</v>
      </c>
      <c r="J218" s="1148" t="s">
        <v>7742</v>
      </c>
      <c r="K218" s="1148" t="s">
        <v>7743</v>
      </c>
      <c r="L218" s="1146" t="s">
        <v>7824</v>
      </c>
      <c r="M218" s="1146" t="s">
        <v>592</v>
      </c>
      <c r="N218" s="1146" t="s">
        <v>7372</v>
      </c>
      <c r="O218" s="1146" t="s">
        <v>7739</v>
      </c>
      <c r="P218" s="1146"/>
      <c r="Q218" s="1083">
        <v>15</v>
      </c>
      <c r="S218" s="1112">
        <f t="shared" si="20"/>
        <v>45956</v>
      </c>
      <c r="T218" s="1112">
        <v>45968</v>
      </c>
      <c r="U218" s="1076" t="s">
        <v>7929</v>
      </c>
      <c r="V218" s="1084">
        <f t="shared" si="21"/>
        <v>46013</v>
      </c>
      <c r="W218" s="1136">
        <v>15</v>
      </c>
      <c r="X218" s="1112">
        <v>46010</v>
      </c>
      <c r="Y218" s="1137">
        <f t="shared" si="22"/>
        <v>0</v>
      </c>
    </row>
    <row r="219" spans="1:25" x14ac:dyDescent="0.45">
      <c r="A219" s="1088">
        <v>223</v>
      </c>
      <c r="B219" s="1088" t="str">
        <f t="shared" si="18"/>
        <v>Missing in D</v>
      </c>
      <c r="C219" s="1088" t="str">
        <f>IF( COUNTIF(D$2:D$273,#REF!)=0, "Missing in E", "")</f>
        <v>Missing in E</v>
      </c>
      <c r="E219" s="1146" t="s">
        <v>7380</v>
      </c>
      <c r="F219" s="1146" t="s">
        <v>7736</v>
      </c>
      <c r="G219" s="1146" t="s">
        <v>362</v>
      </c>
      <c r="H219" s="1147" t="s">
        <v>7928</v>
      </c>
      <c r="I219" s="1147" t="s">
        <v>7928</v>
      </c>
      <c r="J219" s="1148" t="s">
        <v>7742</v>
      </c>
      <c r="K219" s="1148" t="s">
        <v>7743</v>
      </c>
      <c r="L219" s="1146" t="s">
        <v>7824</v>
      </c>
      <c r="M219" s="1146" t="s">
        <v>593</v>
      </c>
      <c r="N219" s="1146" t="s">
        <v>7381</v>
      </c>
      <c r="O219" s="1146" t="s">
        <v>7739</v>
      </c>
      <c r="P219" s="1146"/>
      <c r="Q219" s="1083">
        <v>15</v>
      </c>
      <c r="S219" s="1112">
        <f t="shared" si="20"/>
        <v>45956</v>
      </c>
      <c r="T219" s="1112">
        <v>45968</v>
      </c>
      <c r="U219" s="1076" t="s">
        <v>7929</v>
      </c>
      <c r="V219" s="1084">
        <f t="shared" si="21"/>
        <v>46013</v>
      </c>
      <c r="W219" s="1136">
        <v>15</v>
      </c>
      <c r="X219" s="1112">
        <v>46010</v>
      </c>
      <c r="Y219" s="1137">
        <f t="shared" si="22"/>
        <v>0</v>
      </c>
    </row>
    <row r="220" spans="1:25" x14ac:dyDescent="0.45">
      <c r="A220" s="1088">
        <v>224</v>
      </c>
      <c r="B220" s="1088" t="str">
        <f t="shared" si="18"/>
        <v>Missing in D</v>
      </c>
      <c r="C220" s="1088" t="str">
        <f>IF( COUNTIF(D$2:D$273,#REF!)=0, "Missing in E", "")</f>
        <v>Missing in E</v>
      </c>
      <c r="E220" s="1146" t="s">
        <v>7383</v>
      </c>
      <c r="F220" s="1146" t="s">
        <v>7736</v>
      </c>
      <c r="G220" s="1146" t="s">
        <v>362</v>
      </c>
      <c r="H220" s="1147" t="s">
        <v>7928</v>
      </c>
      <c r="I220" s="1147" t="s">
        <v>7928</v>
      </c>
      <c r="J220" s="1148" t="s">
        <v>7742</v>
      </c>
      <c r="K220" s="1148" t="s">
        <v>7743</v>
      </c>
      <c r="L220" s="1146" t="s">
        <v>7824</v>
      </c>
      <c r="M220" s="1146" t="s">
        <v>594</v>
      </c>
      <c r="N220" s="1146" t="s">
        <v>7384</v>
      </c>
      <c r="O220" s="1146" t="s">
        <v>7739</v>
      </c>
      <c r="P220" s="1146"/>
      <c r="Q220" s="1083">
        <v>15</v>
      </c>
      <c r="S220" s="1112">
        <f t="shared" si="20"/>
        <v>45956</v>
      </c>
      <c r="T220" s="1112">
        <v>45968</v>
      </c>
      <c r="U220" s="1076" t="s">
        <v>7929</v>
      </c>
      <c r="V220" s="1084">
        <f t="shared" si="21"/>
        <v>46013</v>
      </c>
      <c r="W220" s="1136">
        <v>15</v>
      </c>
      <c r="X220" s="1112">
        <v>46010</v>
      </c>
      <c r="Y220" s="1137">
        <f t="shared" si="22"/>
        <v>0</v>
      </c>
    </row>
    <row r="221" spans="1:25" x14ac:dyDescent="0.45">
      <c r="A221" s="1088">
        <v>225</v>
      </c>
      <c r="B221" s="1088" t="str">
        <f t="shared" si="18"/>
        <v>Missing in D</v>
      </c>
      <c r="C221" s="1088" t="str">
        <f>IF( COUNTIF(D$2:D$273,#REF!)=0, "Missing in E", "")</f>
        <v>Missing in E</v>
      </c>
      <c r="E221" s="1146" t="s">
        <v>7388</v>
      </c>
      <c r="F221" s="1146" t="s">
        <v>7736</v>
      </c>
      <c r="G221" s="1146" t="s">
        <v>362</v>
      </c>
      <c r="H221" s="1147" t="s">
        <v>7928</v>
      </c>
      <c r="I221" s="1147" t="s">
        <v>7928</v>
      </c>
      <c r="J221" s="1148" t="s">
        <v>7742</v>
      </c>
      <c r="K221" s="1148" t="s">
        <v>7743</v>
      </c>
      <c r="L221" s="1146" t="s">
        <v>7824</v>
      </c>
      <c r="M221" s="1146" t="s">
        <v>595</v>
      </c>
      <c r="N221" s="1146" t="s">
        <v>7389</v>
      </c>
      <c r="O221" s="1146" t="s">
        <v>7739</v>
      </c>
      <c r="P221" s="1146"/>
      <c r="Q221" s="1136">
        <v>15</v>
      </c>
      <c r="S221" s="1112">
        <f t="shared" si="20"/>
        <v>45956</v>
      </c>
      <c r="T221" s="1112">
        <v>45968</v>
      </c>
      <c r="U221" s="1076" t="s">
        <v>7929</v>
      </c>
      <c r="V221" s="1084">
        <f t="shared" si="21"/>
        <v>46013</v>
      </c>
      <c r="W221" s="1136">
        <v>15</v>
      </c>
      <c r="X221" s="1112">
        <v>46010</v>
      </c>
      <c r="Y221" s="1137">
        <f t="shared" si="22"/>
        <v>0</v>
      </c>
    </row>
    <row r="222" spans="1:25" x14ac:dyDescent="0.45">
      <c r="A222" s="1088">
        <v>227</v>
      </c>
      <c r="B222" s="1088" t="str">
        <f t="shared" si="18"/>
        <v>Missing in D</v>
      </c>
      <c r="C222" s="1088" t="str">
        <f>IF( COUNTIF(D$2:D$273,#REF!)=0, "Missing in E", "")</f>
        <v>Missing in E</v>
      </c>
      <c r="E222" s="1146" t="s">
        <v>7385</v>
      </c>
      <c r="F222" s="1146" t="s">
        <v>7736</v>
      </c>
      <c r="G222" s="1146" t="s">
        <v>362</v>
      </c>
      <c r="H222" s="1147" t="s">
        <v>7928</v>
      </c>
      <c r="I222" s="1147" t="s">
        <v>7928</v>
      </c>
      <c r="J222" s="1148" t="s">
        <v>7742</v>
      </c>
      <c r="K222" s="1148" t="s">
        <v>7743</v>
      </c>
      <c r="L222" s="1146" t="s">
        <v>7824</v>
      </c>
      <c r="M222" s="1146" t="s">
        <v>596</v>
      </c>
      <c r="N222" s="1146" t="s">
        <v>7386</v>
      </c>
      <c r="O222" s="1146" t="s">
        <v>7739</v>
      </c>
      <c r="P222" s="1146"/>
      <c r="Q222" s="1083">
        <v>15</v>
      </c>
      <c r="S222" s="1112">
        <f t="shared" si="20"/>
        <v>45956</v>
      </c>
      <c r="T222" s="1112">
        <v>45968</v>
      </c>
      <c r="U222" s="1076" t="s">
        <v>7929</v>
      </c>
      <c r="V222" s="1084">
        <f t="shared" si="21"/>
        <v>46013</v>
      </c>
      <c r="W222" s="1136">
        <v>15</v>
      </c>
      <c r="X222" s="1112">
        <v>46010</v>
      </c>
      <c r="Y222" s="1137">
        <f t="shared" si="22"/>
        <v>0</v>
      </c>
    </row>
    <row r="223" spans="1:25" x14ac:dyDescent="0.45">
      <c r="A223" s="1088">
        <v>228</v>
      </c>
      <c r="B223" s="1088" t="str">
        <f t="shared" si="18"/>
        <v>Missing in D</v>
      </c>
      <c r="C223" s="1088" t="str">
        <f>IF( COUNTIF(D$2:D$273,#REF!)=0, "Missing in E", "")</f>
        <v>Missing in E</v>
      </c>
      <c r="E223" s="1146" t="s">
        <v>7394</v>
      </c>
      <c r="F223" s="1146" t="s">
        <v>7736</v>
      </c>
      <c r="G223" s="1146" t="s">
        <v>362</v>
      </c>
      <c r="H223" s="1147" t="s">
        <v>7928</v>
      </c>
      <c r="I223" s="1147" t="s">
        <v>7928</v>
      </c>
      <c r="J223" s="1148" t="s">
        <v>7742</v>
      </c>
      <c r="K223" s="1148" t="s">
        <v>7743</v>
      </c>
      <c r="L223" s="1146" t="s">
        <v>7824</v>
      </c>
      <c r="M223" s="1146" t="s">
        <v>597</v>
      </c>
      <c r="N223" s="1146" t="s">
        <v>6587</v>
      </c>
      <c r="O223" s="1146" t="s">
        <v>7739</v>
      </c>
      <c r="P223" s="1146"/>
      <c r="Q223" s="1083">
        <v>15</v>
      </c>
      <c r="S223" s="1112">
        <f t="shared" si="20"/>
        <v>45956</v>
      </c>
      <c r="T223" s="1112">
        <v>45968</v>
      </c>
      <c r="U223" s="1076" t="s">
        <v>7929</v>
      </c>
      <c r="V223" s="1084">
        <f t="shared" si="21"/>
        <v>46013</v>
      </c>
      <c r="W223" s="1136">
        <v>15</v>
      </c>
      <c r="X223" s="1112">
        <v>46010</v>
      </c>
      <c r="Y223" s="1137">
        <f t="shared" si="22"/>
        <v>0</v>
      </c>
    </row>
    <row r="224" spans="1:25" x14ac:dyDescent="0.45">
      <c r="A224" s="1088">
        <v>229</v>
      </c>
      <c r="B224" s="1088" t="str">
        <f t="shared" si="18"/>
        <v>Missing in D</v>
      </c>
      <c r="C224" s="1088" t="str">
        <f>IF( COUNTIF(D$2:D$273,#REF!)=0, "Missing in E", "")</f>
        <v>Missing in E</v>
      </c>
      <c r="E224" s="1146" t="s">
        <v>7392</v>
      </c>
      <c r="F224" s="1146" t="s">
        <v>7736</v>
      </c>
      <c r="G224" s="1146" t="s">
        <v>362</v>
      </c>
      <c r="H224" s="1147" t="s">
        <v>7928</v>
      </c>
      <c r="I224" s="1147" t="s">
        <v>7928</v>
      </c>
      <c r="J224" s="1148" t="s">
        <v>7742</v>
      </c>
      <c r="K224" s="1148" t="s">
        <v>7743</v>
      </c>
      <c r="L224" s="1146" t="s">
        <v>7824</v>
      </c>
      <c r="M224" s="1146" t="s">
        <v>598</v>
      </c>
      <c r="N224" s="1146" t="s">
        <v>7393</v>
      </c>
      <c r="O224" s="1146" t="s">
        <v>7739</v>
      </c>
      <c r="P224" s="1146"/>
      <c r="Q224" s="1083">
        <v>15</v>
      </c>
      <c r="S224" s="1112">
        <f t="shared" si="20"/>
        <v>45956</v>
      </c>
      <c r="T224" s="1112">
        <v>45968</v>
      </c>
      <c r="U224" s="1076" t="s">
        <v>7929</v>
      </c>
      <c r="V224" s="1084">
        <f t="shared" si="21"/>
        <v>46013</v>
      </c>
      <c r="W224" s="1136">
        <v>15</v>
      </c>
      <c r="X224" s="1112">
        <v>46010</v>
      </c>
      <c r="Y224" s="1137">
        <f t="shared" si="22"/>
        <v>0</v>
      </c>
    </row>
    <row r="225" spans="1:25" x14ac:dyDescent="0.45">
      <c r="A225" s="1088">
        <v>230</v>
      </c>
      <c r="B225" s="1088" t="str">
        <f t="shared" si="18"/>
        <v>Missing in D</v>
      </c>
      <c r="C225" s="1088" t="str">
        <f>IF( COUNTIF(D$2:D$273,#REF!)=0, "Missing in E", "")</f>
        <v>Missing in E</v>
      </c>
      <c r="E225" s="1146" t="s">
        <v>7390</v>
      </c>
      <c r="F225" s="1146" t="s">
        <v>7736</v>
      </c>
      <c r="G225" s="1146" t="s">
        <v>362</v>
      </c>
      <c r="H225" s="1147" t="s">
        <v>7928</v>
      </c>
      <c r="I225" s="1147" t="s">
        <v>7928</v>
      </c>
      <c r="J225" s="1148" t="s">
        <v>7742</v>
      </c>
      <c r="K225" s="1148" t="s">
        <v>7743</v>
      </c>
      <c r="L225" s="1146" t="s">
        <v>7824</v>
      </c>
      <c r="M225" s="1146" t="s">
        <v>599</v>
      </c>
      <c r="N225" s="1146" t="s">
        <v>7391</v>
      </c>
      <c r="O225" s="1146" t="s">
        <v>7739</v>
      </c>
      <c r="P225" s="1146"/>
      <c r="Q225" s="1136">
        <v>15</v>
      </c>
      <c r="S225" s="1112">
        <f t="shared" si="20"/>
        <v>45956</v>
      </c>
      <c r="T225" s="1112">
        <v>45968</v>
      </c>
      <c r="U225" s="1076" t="s">
        <v>7929</v>
      </c>
      <c r="V225" s="1084">
        <f t="shared" si="21"/>
        <v>46013</v>
      </c>
      <c r="W225" s="1136">
        <v>15</v>
      </c>
      <c r="X225" s="1112">
        <v>46010</v>
      </c>
      <c r="Y225" s="1137">
        <f t="shared" si="22"/>
        <v>0</v>
      </c>
    </row>
    <row r="226" spans="1:25" x14ac:dyDescent="0.45">
      <c r="A226" s="1088">
        <v>231</v>
      </c>
      <c r="B226" s="1088" t="str">
        <f t="shared" si="18"/>
        <v>Missing in D</v>
      </c>
      <c r="C226" s="1088" t="str">
        <f>IF( COUNTIF(D$2:D$273,#REF!)=0, "Missing in E", "")</f>
        <v>Missing in E</v>
      </c>
      <c r="E226" s="1146" t="s">
        <v>7395</v>
      </c>
      <c r="F226" s="1146" t="s">
        <v>7736</v>
      </c>
      <c r="G226" s="1146" t="s">
        <v>362</v>
      </c>
      <c r="H226" s="1147" t="s">
        <v>7928</v>
      </c>
      <c r="I226" s="1147" t="s">
        <v>7928</v>
      </c>
      <c r="J226" s="1148" t="s">
        <v>7742</v>
      </c>
      <c r="K226" s="1148" t="s">
        <v>7743</v>
      </c>
      <c r="L226" s="1146" t="s">
        <v>7824</v>
      </c>
      <c r="M226" s="1146" t="s">
        <v>600</v>
      </c>
      <c r="N226" s="1146" t="s">
        <v>7396</v>
      </c>
      <c r="O226" s="1146" t="s">
        <v>7739</v>
      </c>
      <c r="P226" s="1146"/>
      <c r="Q226" s="1136">
        <v>15</v>
      </c>
      <c r="S226" s="1112">
        <f t="shared" si="20"/>
        <v>45956</v>
      </c>
      <c r="T226" s="1112">
        <v>45968</v>
      </c>
      <c r="U226" s="1076" t="s">
        <v>7929</v>
      </c>
      <c r="V226" s="1084">
        <f t="shared" si="21"/>
        <v>46013</v>
      </c>
      <c r="W226" s="1136">
        <v>15</v>
      </c>
      <c r="X226" s="1112">
        <v>46010</v>
      </c>
      <c r="Y226" s="1137">
        <f t="shared" si="22"/>
        <v>0</v>
      </c>
    </row>
    <row r="227" spans="1:25" x14ac:dyDescent="0.45">
      <c r="E227" s="1146" t="s">
        <v>7397</v>
      </c>
      <c r="F227" s="1146" t="s">
        <v>7736</v>
      </c>
      <c r="G227" s="1146" t="s">
        <v>362</v>
      </c>
      <c r="H227" s="1147" t="s">
        <v>7928</v>
      </c>
      <c r="I227" s="1147" t="s">
        <v>7928</v>
      </c>
      <c r="J227" s="1148" t="s">
        <v>7742</v>
      </c>
      <c r="K227" s="1148" t="s">
        <v>7743</v>
      </c>
      <c r="L227" s="1146" t="s">
        <v>7824</v>
      </c>
      <c r="M227" s="1146" t="s">
        <v>601</v>
      </c>
      <c r="N227" s="1146" t="s">
        <v>7398</v>
      </c>
      <c r="O227" s="1146" t="s">
        <v>7739</v>
      </c>
      <c r="P227" s="1146"/>
      <c r="Q227" s="1083">
        <v>15</v>
      </c>
      <c r="S227" s="1112">
        <f t="shared" si="20"/>
        <v>45956</v>
      </c>
      <c r="T227" s="1112">
        <v>45968</v>
      </c>
      <c r="U227" s="1076" t="s">
        <v>7929</v>
      </c>
      <c r="V227" s="1084">
        <f t="shared" si="21"/>
        <v>46013</v>
      </c>
      <c r="W227" s="1136">
        <v>15</v>
      </c>
      <c r="X227" s="1112">
        <v>46010</v>
      </c>
      <c r="Y227" s="1137">
        <f t="shared" si="22"/>
        <v>0</v>
      </c>
    </row>
    <row r="228" spans="1:25" x14ac:dyDescent="0.45">
      <c r="E228" s="1146" t="s">
        <v>7399</v>
      </c>
      <c r="F228" s="1146" t="s">
        <v>7736</v>
      </c>
      <c r="G228" s="1146" t="s">
        <v>362</v>
      </c>
      <c r="H228" s="1147" t="s">
        <v>7928</v>
      </c>
      <c r="I228" s="1147" t="s">
        <v>7928</v>
      </c>
      <c r="J228" s="1148" t="s">
        <v>7742</v>
      </c>
      <c r="K228" s="1148" t="s">
        <v>7743</v>
      </c>
      <c r="L228" s="1146" t="s">
        <v>7824</v>
      </c>
      <c r="M228" s="1146" t="s">
        <v>602</v>
      </c>
      <c r="N228" s="1146" t="s">
        <v>7400</v>
      </c>
      <c r="O228" s="1146" t="s">
        <v>7739</v>
      </c>
      <c r="P228" s="1146"/>
      <c r="Q228" s="1136">
        <v>15</v>
      </c>
      <c r="S228" s="1112">
        <f t="shared" si="20"/>
        <v>45956</v>
      </c>
      <c r="T228" s="1112">
        <v>45968</v>
      </c>
      <c r="U228" s="1076" t="s">
        <v>7929</v>
      </c>
      <c r="V228" s="1084">
        <f t="shared" si="21"/>
        <v>46013</v>
      </c>
      <c r="W228" s="1136">
        <v>15</v>
      </c>
      <c r="X228" s="1112">
        <v>46010</v>
      </c>
      <c r="Y228" s="1137">
        <f t="shared" si="22"/>
        <v>0</v>
      </c>
    </row>
    <row r="229" spans="1:25" x14ac:dyDescent="0.45">
      <c r="E229" s="1146" t="s">
        <v>7401</v>
      </c>
      <c r="F229" s="1146" t="s">
        <v>7736</v>
      </c>
      <c r="G229" s="1146" t="s">
        <v>604</v>
      </c>
      <c r="H229" s="1147" t="s">
        <v>7930</v>
      </c>
      <c r="I229" s="1147" t="s">
        <v>7930</v>
      </c>
      <c r="J229" s="1148" t="s">
        <v>7737</v>
      </c>
      <c r="K229" s="1148" t="s">
        <v>7738</v>
      </c>
      <c r="L229" s="1146" t="s">
        <v>7931</v>
      </c>
      <c r="M229" s="1146" t="s">
        <v>603</v>
      </c>
      <c r="N229" s="1146" t="s">
        <v>7402</v>
      </c>
      <c r="O229" s="1146" t="s">
        <v>7739</v>
      </c>
      <c r="P229" s="1146"/>
      <c r="Q229" s="1136">
        <v>60</v>
      </c>
      <c r="S229" s="1112">
        <f t="shared" si="20"/>
        <v>45957</v>
      </c>
      <c r="T229" s="1112">
        <v>45969</v>
      </c>
      <c r="U229" s="1076" t="s">
        <v>7932</v>
      </c>
      <c r="V229" s="1084">
        <f t="shared" si="21"/>
        <v>46014</v>
      </c>
      <c r="W229" s="1136">
        <v>60</v>
      </c>
      <c r="X229" s="1112">
        <v>46010</v>
      </c>
      <c r="Y229" s="1137">
        <f t="shared" si="22"/>
        <v>0</v>
      </c>
    </row>
    <row r="230" spans="1:25" x14ac:dyDescent="0.45">
      <c r="E230" s="1146" t="s">
        <v>7403</v>
      </c>
      <c r="F230" s="1146" t="s">
        <v>7736</v>
      </c>
      <c r="G230" s="1146" t="s">
        <v>604</v>
      </c>
      <c r="H230" s="1147" t="s">
        <v>7930</v>
      </c>
      <c r="I230" s="1147" t="s">
        <v>7930</v>
      </c>
      <c r="J230" s="1148" t="s">
        <v>7737</v>
      </c>
      <c r="K230" s="1148" t="s">
        <v>7738</v>
      </c>
      <c r="L230" s="1146" t="s">
        <v>7931</v>
      </c>
      <c r="M230" s="1146" t="s">
        <v>606</v>
      </c>
      <c r="N230" s="1146" t="s">
        <v>6879</v>
      </c>
      <c r="O230" s="1146" t="s">
        <v>7739</v>
      </c>
      <c r="P230" s="1146"/>
      <c r="Q230" s="1136">
        <v>60</v>
      </c>
      <c r="S230" s="1112">
        <f t="shared" si="20"/>
        <v>45957</v>
      </c>
      <c r="T230" s="1112">
        <v>45969</v>
      </c>
      <c r="U230" s="1076" t="s">
        <v>7932</v>
      </c>
      <c r="V230" s="1084">
        <f t="shared" si="21"/>
        <v>46014</v>
      </c>
      <c r="W230" s="1136">
        <v>60</v>
      </c>
      <c r="X230" s="1112">
        <v>46010</v>
      </c>
      <c r="Y230" s="1137">
        <f t="shared" si="22"/>
        <v>0</v>
      </c>
    </row>
    <row r="231" spans="1:25" x14ac:dyDescent="0.45">
      <c r="E231" s="1146" t="s">
        <v>7424</v>
      </c>
      <c r="F231" s="1146" t="s">
        <v>7736</v>
      </c>
      <c r="G231" s="1146" t="s">
        <v>362</v>
      </c>
      <c r="H231" s="1147" t="s">
        <v>7933</v>
      </c>
      <c r="I231" s="1147" t="s">
        <v>7933</v>
      </c>
      <c r="J231" s="1148" t="s">
        <v>7742</v>
      </c>
      <c r="K231" s="1148" t="s">
        <v>7743</v>
      </c>
      <c r="L231" s="1146" t="s">
        <v>7824</v>
      </c>
      <c r="M231" s="1146" t="s">
        <v>386</v>
      </c>
      <c r="N231" s="1146" t="s">
        <v>7004</v>
      </c>
      <c r="O231" s="1146" t="s">
        <v>7739</v>
      </c>
      <c r="P231" s="1146"/>
      <c r="Q231" s="1136">
        <v>15</v>
      </c>
      <c r="S231" s="1112">
        <f t="shared" si="20"/>
        <v>45984</v>
      </c>
      <c r="T231" s="1112">
        <v>45996</v>
      </c>
      <c r="U231" s="1076" t="s">
        <v>7934</v>
      </c>
      <c r="V231" s="1084">
        <f t="shared" si="21"/>
        <v>46041</v>
      </c>
      <c r="W231" s="1136">
        <v>15</v>
      </c>
      <c r="X231" s="1112">
        <v>46045</v>
      </c>
      <c r="Y231" s="1137">
        <f t="shared" si="22"/>
        <v>0</v>
      </c>
    </row>
    <row r="232" spans="1:25" x14ac:dyDescent="0.45">
      <c r="E232" s="1146" t="s">
        <v>7428</v>
      </c>
      <c r="F232" s="1146" t="s">
        <v>7736</v>
      </c>
      <c r="G232" s="1146" t="s">
        <v>362</v>
      </c>
      <c r="H232" s="1147" t="s">
        <v>7933</v>
      </c>
      <c r="I232" s="1147" t="s">
        <v>7933</v>
      </c>
      <c r="J232" s="1148" t="s">
        <v>7742</v>
      </c>
      <c r="K232" s="1148" t="s">
        <v>7743</v>
      </c>
      <c r="L232" s="1146" t="s">
        <v>7824</v>
      </c>
      <c r="M232" s="1146" t="s">
        <v>387</v>
      </c>
      <c r="N232" s="1146" t="s">
        <v>7376</v>
      </c>
      <c r="O232" s="1146" t="s">
        <v>7739</v>
      </c>
      <c r="P232" s="1146"/>
      <c r="Q232" s="1136">
        <v>15</v>
      </c>
      <c r="S232" s="1112">
        <f t="shared" si="20"/>
        <v>45984</v>
      </c>
      <c r="T232" s="1112">
        <v>45996</v>
      </c>
      <c r="U232" s="1076" t="s">
        <v>7934</v>
      </c>
      <c r="V232" s="1084">
        <f t="shared" si="21"/>
        <v>46041</v>
      </c>
      <c r="W232" s="1136">
        <v>15</v>
      </c>
      <c r="X232" s="1112">
        <v>46045</v>
      </c>
      <c r="Y232" s="1137">
        <f t="shared" si="22"/>
        <v>0</v>
      </c>
    </row>
    <row r="233" spans="1:25" x14ac:dyDescent="0.45">
      <c r="E233" s="1146" t="s">
        <v>7419</v>
      </c>
      <c r="F233" s="1146" t="s">
        <v>7736</v>
      </c>
      <c r="G233" s="1146" t="s">
        <v>362</v>
      </c>
      <c r="H233" s="1147" t="s">
        <v>7933</v>
      </c>
      <c r="I233" s="1147" t="s">
        <v>7933</v>
      </c>
      <c r="J233" s="1148" t="s">
        <v>7742</v>
      </c>
      <c r="K233" s="1148" t="s">
        <v>7743</v>
      </c>
      <c r="L233" s="1146" t="s">
        <v>7824</v>
      </c>
      <c r="M233" s="1146" t="s">
        <v>388</v>
      </c>
      <c r="N233" s="1146" t="s">
        <v>7420</v>
      </c>
      <c r="O233" s="1146" t="s">
        <v>7739</v>
      </c>
      <c r="P233" s="1146"/>
      <c r="Q233" s="1136">
        <v>15</v>
      </c>
      <c r="S233" s="1112">
        <f t="shared" si="20"/>
        <v>45984</v>
      </c>
      <c r="T233" s="1112">
        <v>45996</v>
      </c>
      <c r="U233" s="1076" t="s">
        <v>7934</v>
      </c>
      <c r="V233" s="1084">
        <f t="shared" si="21"/>
        <v>46041</v>
      </c>
      <c r="W233" s="1136">
        <v>15</v>
      </c>
      <c r="X233" s="1112">
        <v>46045</v>
      </c>
      <c r="Y233" s="1137">
        <f t="shared" si="22"/>
        <v>0</v>
      </c>
    </row>
    <row r="234" spans="1:25" x14ac:dyDescent="0.45">
      <c r="E234" s="1146" t="s">
        <v>7430</v>
      </c>
      <c r="F234" s="1146" t="s">
        <v>7736</v>
      </c>
      <c r="G234" s="1146" t="s">
        <v>362</v>
      </c>
      <c r="H234" s="1147" t="s">
        <v>7933</v>
      </c>
      <c r="I234" s="1147" t="s">
        <v>7933</v>
      </c>
      <c r="J234" s="1148" t="s">
        <v>7742</v>
      </c>
      <c r="K234" s="1148" t="s">
        <v>7743</v>
      </c>
      <c r="L234" s="1146" t="s">
        <v>7824</v>
      </c>
      <c r="M234" s="1146" t="s">
        <v>389</v>
      </c>
      <c r="N234" s="1146" t="s">
        <v>7431</v>
      </c>
      <c r="O234" s="1146" t="s">
        <v>7739</v>
      </c>
      <c r="P234" s="1146"/>
      <c r="Q234" s="1136">
        <v>15</v>
      </c>
      <c r="S234" s="1112">
        <f t="shared" si="20"/>
        <v>45984</v>
      </c>
      <c r="T234" s="1112">
        <v>45996</v>
      </c>
      <c r="U234" s="1076" t="s">
        <v>7934</v>
      </c>
      <c r="V234" s="1084">
        <f t="shared" si="21"/>
        <v>46041</v>
      </c>
      <c r="W234" s="1136">
        <v>15</v>
      </c>
      <c r="X234" s="1112">
        <v>46045</v>
      </c>
      <c r="Y234" s="1137">
        <f t="shared" si="22"/>
        <v>0</v>
      </c>
    </row>
    <row r="235" spans="1:25" x14ac:dyDescent="0.45">
      <c r="E235" s="1146" t="s">
        <v>7429</v>
      </c>
      <c r="F235" s="1146" t="s">
        <v>7736</v>
      </c>
      <c r="G235" s="1146" t="s">
        <v>362</v>
      </c>
      <c r="H235" s="1147" t="s">
        <v>7933</v>
      </c>
      <c r="I235" s="1147" t="s">
        <v>7933</v>
      </c>
      <c r="J235" s="1148" t="s">
        <v>7742</v>
      </c>
      <c r="K235" s="1148" t="s">
        <v>7743</v>
      </c>
      <c r="L235" s="1146" t="s">
        <v>7824</v>
      </c>
      <c r="M235" s="1146" t="s">
        <v>390</v>
      </c>
      <c r="N235" s="1146" t="s">
        <v>6664</v>
      </c>
      <c r="O235" s="1146" t="s">
        <v>7739</v>
      </c>
      <c r="P235" s="1146"/>
      <c r="Q235" s="1083">
        <v>15</v>
      </c>
      <c r="S235" s="1112">
        <f t="shared" si="20"/>
        <v>45984</v>
      </c>
      <c r="T235" s="1112">
        <v>45996</v>
      </c>
      <c r="U235" s="1076" t="s">
        <v>7934</v>
      </c>
      <c r="V235" s="1084">
        <f t="shared" si="21"/>
        <v>46041</v>
      </c>
      <c r="W235" s="1136">
        <v>15</v>
      </c>
      <c r="X235" s="1112">
        <v>46045</v>
      </c>
      <c r="Y235" s="1137">
        <f t="shared" si="22"/>
        <v>0</v>
      </c>
    </row>
    <row r="236" spans="1:25" x14ac:dyDescent="0.45">
      <c r="E236" s="1146" t="s">
        <v>7426</v>
      </c>
      <c r="F236" s="1146" t="s">
        <v>7736</v>
      </c>
      <c r="G236" s="1146" t="s">
        <v>362</v>
      </c>
      <c r="H236" s="1147" t="s">
        <v>7933</v>
      </c>
      <c r="I236" s="1147" t="s">
        <v>7933</v>
      </c>
      <c r="J236" s="1148" t="s">
        <v>7742</v>
      </c>
      <c r="K236" s="1148" t="s">
        <v>7743</v>
      </c>
      <c r="L236" s="1146" t="s">
        <v>7824</v>
      </c>
      <c r="M236" s="1146" t="s">
        <v>391</v>
      </c>
      <c r="N236" s="1146" t="s">
        <v>7427</v>
      </c>
      <c r="O236" s="1146" t="s">
        <v>7739</v>
      </c>
      <c r="P236" s="1146"/>
      <c r="Q236" s="1136">
        <v>15</v>
      </c>
      <c r="S236" s="1112">
        <f t="shared" si="20"/>
        <v>45984</v>
      </c>
      <c r="T236" s="1112">
        <v>45996</v>
      </c>
      <c r="U236" s="1076" t="s">
        <v>7934</v>
      </c>
      <c r="V236" s="1084">
        <f t="shared" si="21"/>
        <v>46041</v>
      </c>
      <c r="W236" s="1136">
        <v>15</v>
      </c>
      <c r="X236" s="1112">
        <v>46045</v>
      </c>
      <c r="Y236" s="1137">
        <f t="shared" si="22"/>
        <v>0</v>
      </c>
    </row>
    <row r="237" spans="1:25" x14ac:dyDescent="0.45">
      <c r="E237" s="1146" t="s">
        <v>7416</v>
      </c>
      <c r="F237" s="1146" t="s">
        <v>7736</v>
      </c>
      <c r="G237" s="1146" t="s">
        <v>362</v>
      </c>
      <c r="H237" s="1147" t="s">
        <v>7933</v>
      </c>
      <c r="I237" s="1147" t="s">
        <v>7933</v>
      </c>
      <c r="J237" s="1148" t="s">
        <v>7742</v>
      </c>
      <c r="K237" s="1148" t="s">
        <v>7743</v>
      </c>
      <c r="L237" s="1146" t="s">
        <v>7824</v>
      </c>
      <c r="M237" s="1146" t="s">
        <v>392</v>
      </c>
      <c r="N237" s="1146" t="s">
        <v>7417</v>
      </c>
      <c r="O237" s="1146" t="s">
        <v>7739</v>
      </c>
      <c r="P237" s="1146"/>
      <c r="Q237" s="1083">
        <v>15</v>
      </c>
      <c r="S237" s="1112">
        <f t="shared" si="20"/>
        <v>45984</v>
      </c>
      <c r="T237" s="1112">
        <v>45996</v>
      </c>
      <c r="U237" s="1076" t="s">
        <v>7934</v>
      </c>
      <c r="V237" s="1084">
        <f t="shared" si="21"/>
        <v>46041</v>
      </c>
      <c r="W237" s="1136">
        <v>15</v>
      </c>
      <c r="X237" s="1112">
        <v>46045</v>
      </c>
      <c r="Y237" s="1137">
        <f t="shared" si="22"/>
        <v>0</v>
      </c>
    </row>
    <row r="238" spans="1:25" x14ac:dyDescent="0.45">
      <c r="E238" s="1146" t="s">
        <v>7413</v>
      </c>
      <c r="F238" s="1146" t="s">
        <v>7736</v>
      </c>
      <c r="G238" s="1146" t="s">
        <v>362</v>
      </c>
      <c r="H238" s="1147" t="s">
        <v>7933</v>
      </c>
      <c r="I238" s="1147" t="s">
        <v>7933</v>
      </c>
      <c r="J238" s="1148" t="s">
        <v>7742</v>
      </c>
      <c r="K238" s="1148" t="s">
        <v>7743</v>
      </c>
      <c r="L238" s="1146" t="s">
        <v>7824</v>
      </c>
      <c r="M238" s="1146" t="s">
        <v>393</v>
      </c>
      <c r="N238" s="1146" t="s">
        <v>7414</v>
      </c>
      <c r="O238" s="1146" t="s">
        <v>7739</v>
      </c>
      <c r="P238" s="1146"/>
      <c r="Q238" s="1136">
        <v>15</v>
      </c>
      <c r="S238" s="1112">
        <f t="shared" si="20"/>
        <v>45984</v>
      </c>
      <c r="T238" s="1112">
        <v>45996</v>
      </c>
      <c r="U238" s="1076" t="s">
        <v>7934</v>
      </c>
      <c r="V238" s="1084">
        <f t="shared" si="21"/>
        <v>46041</v>
      </c>
      <c r="W238" s="1136">
        <v>15</v>
      </c>
      <c r="X238" s="1112">
        <v>46045</v>
      </c>
      <c r="Y238" s="1137">
        <f t="shared" si="22"/>
        <v>0</v>
      </c>
    </row>
    <row r="239" spans="1:25" x14ac:dyDescent="0.45">
      <c r="E239" s="1146" t="s">
        <v>7422</v>
      </c>
      <c r="F239" s="1146" t="s">
        <v>7736</v>
      </c>
      <c r="G239" s="1146" t="s">
        <v>362</v>
      </c>
      <c r="H239" s="1147" t="s">
        <v>7933</v>
      </c>
      <c r="I239" s="1147" t="s">
        <v>7933</v>
      </c>
      <c r="J239" s="1148" t="s">
        <v>7742</v>
      </c>
      <c r="K239" s="1148" t="s">
        <v>7743</v>
      </c>
      <c r="L239" s="1146" t="s">
        <v>7824</v>
      </c>
      <c r="M239" s="1146" t="s">
        <v>394</v>
      </c>
      <c r="N239" s="1146" t="s">
        <v>7423</v>
      </c>
      <c r="O239" s="1146" t="s">
        <v>7739</v>
      </c>
      <c r="P239" s="1146"/>
      <c r="Q239" s="1136">
        <v>15</v>
      </c>
      <c r="S239" s="1112">
        <f t="shared" si="20"/>
        <v>45984</v>
      </c>
      <c r="T239" s="1112">
        <v>45996</v>
      </c>
      <c r="U239" s="1076" t="s">
        <v>7934</v>
      </c>
      <c r="V239" s="1084">
        <f t="shared" si="21"/>
        <v>46041</v>
      </c>
      <c r="W239" s="1136">
        <v>15</v>
      </c>
      <c r="X239" s="1112">
        <v>46045</v>
      </c>
      <c r="Y239" s="1137">
        <f t="shared" si="22"/>
        <v>0</v>
      </c>
    </row>
    <row r="240" spans="1:25" x14ac:dyDescent="0.45">
      <c r="E240" s="1146" t="s">
        <v>7432</v>
      </c>
      <c r="F240" s="1146" t="s">
        <v>7736</v>
      </c>
      <c r="G240" s="1146" t="s">
        <v>362</v>
      </c>
      <c r="H240" s="1192" t="s">
        <v>7933</v>
      </c>
      <c r="I240" s="1192" t="s">
        <v>7933</v>
      </c>
      <c r="J240" s="1148">
        <v>0.39583333333333331</v>
      </c>
      <c r="K240" s="1148">
        <v>0.47916666666666669</v>
      </c>
      <c r="L240" s="1146" t="s">
        <v>7824</v>
      </c>
      <c r="M240" s="1146" t="s">
        <v>395</v>
      </c>
      <c r="N240" s="1146" t="s">
        <v>7433</v>
      </c>
      <c r="O240" s="1146" t="s">
        <v>7739</v>
      </c>
      <c r="P240" s="1146"/>
      <c r="Q240" s="1136">
        <v>15</v>
      </c>
      <c r="S240" s="1112">
        <f t="shared" si="20"/>
        <v>45984</v>
      </c>
      <c r="T240" s="1112">
        <v>45996</v>
      </c>
      <c r="U240" s="1076" t="s">
        <v>7934</v>
      </c>
      <c r="V240" s="1084">
        <f t="shared" si="21"/>
        <v>46041</v>
      </c>
      <c r="W240" s="1136">
        <v>15</v>
      </c>
      <c r="X240" s="1112">
        <v>46045</v>
      </c>
      <c r="Y240" s="1137">
        <f t="shared" si="22"/>
        <v>0</v>
      </c>
    </row>
    <row r="241" spans="5:25" x14ac:dyDescent="0.45">
      <c r="E241" s="1146" t="s">
        <v>7436</v>
      </c>
      <c r="F241" s="1146" t="s">
        <v>7736</v>
      </c>
      <c r="G241" s="1146" t="s">
        <v>362</v>
      </c>
      <c r="H241" s="1182">
        <v>45999</v>
      </c>
      <c r="I241" s="1182">
        <v>45999</v>
      </c>
      <c r="J241" s="1148">
        <v>0.39583333333333331</v>
      </c>
      <c r="K241" s="1148">
        <v>0.47916666666666669</v>
      </c>
      <c r="L241" s="1146" t="s">
        <v>7824</v>
      </c>
      <c r="M241" s="1146" t="s">
        <v>396</v>
      </c>
      <c r="N241" s="1146" t="s">
        <v>7437</v>
      </c>
      <c r="O241" s="1146" t="s">
        <v>7739</v>
      </c>
      <c r="P241" s="1146"/>
      <c r="Q241" s="1136">
        <v>15</v>
      </c>
      <c r="S241" s="1112">
        <f t="shared" si="20"/>
        <v>45987</v>
      </c>
      <c r="T241" s="1112">
        <v>45999</v>
      </c>
      <c r="U241" s="1076" t="s">
        <v>7935</v>
      </c>
      <c r="V241" s="1084">
        <f t="shared" si="21"/>
        <v>46044</v>
      </c>
      <c r="W241" s="1136">
        <v>15</v>
      </c>
      <c r="X241" s="1112">
        <v>46045</v>
      </c>
      <c r="Y241" s="1137">
        <f t="shared" si="22"/>
        <v>0</v>
      </c>
    </row>
    <row r="242" spans="5:25" x14ac:dyDescent="0.45">
      <c r="E242" s="1146" t="s">
        <v>7439</v>
      </c>
      <c r="F242" s="1146" t="s">
        <v>7736</v>
      </c>
      <c r="G242" s="1146" t="s">
        <v>362</v>
      </c>
      <c r="H242" s="1182" t="s">
        <v>7936</v>
      </c>
      <c r="I242" s="1182" t="s">
        <v>7936</v>
      </c>
      <c r="J242" s="1148" t="s">
        <v>7742</v>
      </c>
      <c r="K242" s="1148" t="s">
        <v>7743</v>
      </c>
      <c r="L242" s="1146" t="s">
        <v>7824</v>
      </c>
      <c r="M242" s="1146" t="s">
        <v>361</v>
      </c>
      <c r="N242" s="1146" t="s">
        <v>7440</v>
      </c>
      <c r="O242" s="1146" t="s">
        <v>7739</v>
      </c>
      <c r="P242" s="1146"/>
      <c r="Q242" s="1136">
        <v>15</v>
      </c>
      <c r="S242" s="1112">
        <f t="shared" si="20"/>
        <v>46012</v>
      </c>
      <c r="T242" s="1112">
        <v>46024</v>
      </c>
      <c r="U242" s="1076" t="s">
        <v>7937</v>
      </c>
      <c r="V242" s="1084">
        <f t="shared" si="21"/>
        <v>46069</v>
      </c>
      <c r="W242" s="1136">
        <v>15</v>
      </c>
      <c r="X242" s="1112">
        <v>46066</v>
      </c>
      <c r="Y242" s="1137">
        <f t="shared" si="22"/>
        <v>0</v>
      </c>
    </row>
    <row r="243" spans="5:25" x14ac:dyDescent="0.45">
      <c r="E243" s="1146" t="s">
        <v>7441</v>
      </c>
      <c r="F243" s="1146" t="s">
        <v>7736</v>
      </c>
      <c r="G243" s="1146" t="s">
        <v>362</v>
      </c>
      <c r="H243" s="1182" t="s">
        <v>7936</v>
      </c>
      <c r="I243" s="1182" t="s">
        <v>7936</v>
      </c>
      <c r="J243" s="1148" t="s">
        <v>7742</v>
      </c>
      <c r="K243" s="1148" t="s">
        <v>7743</v>
      </c>
      <c r="L243" s="1146" t="s">
        <v>7824</v>
      </c>
      <c r="M243" s="1146" t="s">
        <v>363</v>
      </c>
      <c r="N243" s="1146" t="s">
        <v>7442</v>
      </c>
      <c r="O243" s="1146" t="s">
        <v>7739</v>
      </c>
      <c r="P243" s="1146"/>
      <c r="Q243" s="1136">
        <v>15</v>
      </c>
      <c r="S243" s="1112">
        <f t="shared" si="20"/>
        <v>46012</v>
      </c>
      <c r="T243" s="1112">
        <v>46024</v>
      </c>
      <c r="U243" s="1076" t="s">
        <v>7937</v>
      </c>
      <c r="V243" s="1084">
        <f t="shared" si="21"/>
        <v>46069</v>
      </c>
      <c r="W243" s="1136">
        <v>15</v>
      </c>
      <c r="X243" s="1112">
        <v>46066</v>
      </c>
      <c r="Y243" s="1137">
        <f t="shared" si="22"/>
        <v>0</v>
      </c>
    </row>
    <row r="244" spans="5:25" x14ac:dyDescent="0.45">
      <c r="E244" s="1146" t="s">
        <v>7445</v>
      </c>
      <c r="F244" s="1146" t="s">
        <v>7736</v>
      </c>
      <c r="G244" s="1146" t="s">
        <v>362</v>
      </c>
      <c r="H244" s="1182" t="s">
        <v>7936</v>
      </c>
      <c r="I244" s="1182" t="s">
        <v>7936</v>
      </c>
      <c r="J244" s="1148" t="s">
        <v>7742</v>
      </c>
      <c r="K244" s="1148" t="s">
        <v>7743</v>
      </c>
      <c r="L244" s="1146" t="s">
        <v>7824</v>
      </c>
      <c r="M244" s="1146" t="s">
        <v>364</v>
      </c>
      <c r="N244" s="1146" t="s">
        <v>7446</v>
      </c>
      <c r="O244" s="1146" t="s">
        <v>7739</v>
      </c>
      <c r="P244" s="1146"/>
      <c r="Q244" s="1136">
        <v>15</v>
      </c>
      <c r="S244" s="1112">
        <f t="shared" si="20"/>
        <v>46012</v>
      </c>
      <c r="T244" s="1112">
        <v>46024</v>
      </c>
      <c r="U244" s="1076" t="s">
        <v>7937</v>
      </c>
      <c r="V244" s="1084">
        <f t="shared" si="21"/>
        <v>46069</v>
      </c>
      <c r="W244" s="1136">
        <v>15</v>
      </c>
      <c r="X244" s="1112">
        <v>46066</v>
      </c>
      <c r="Y244" s="1137">
        <f t="shared" si="22"/>
        <v>0</v>
      </c>
    </row>
    <row r="245" spans="5:25" x14ac:dyDescent="0.45">
      <c r="E245" s="1146" t="s">
        <v>7455</v>
      </c>
      <c r="F245" s="1146"/>
      <c r="G245" s="1146" t="s">
        <v>664</v>
      </c>
      <c r="H245" s="1147">
        <v>46033</v>
      </c>
      <c r="I245" s="1147">
        <v>46033</v>
      </c>
      <c r="J245" s="1148">
        <v>0.41666666666666669</v>
      </c>
      <c r="K245" s="1148">
        <v>0.66666666666666663</v>
      </c>
      <c r="L245" s="1146" t="s">
        <v>7762</v>
      </c>
      <c r="M245" s="1146" t="s">
        <v>350</v>
      </c>
      <c r="N245" s="1146" t="s">
        <v>6968</v>
      </c>
      <c r="O245" s="1146" t="s">
        <v>7739</v>
      </c>
      <c r="P245" s="1146"/>
      <c r="Q245" s="1136">
        <v>125</v>
      </c>
      <c r="S245" s="1112">
        <f t="shared" si="20"/>
        <v>46021</v>
      </c>
      <c r="T245" s="1112">
        <v>46033</v>
      </c>
      <c r="U245" s="1076" t="s">
        <v>7938</v>
      </c>
      <c r="V245" s="1084">
        <f t="shared" si="21"/>
        <v>46078</v>
      </c>
      <c r="W245" s="1136">
        <v>125</v>
      </c>
      <c r="X245" s="1112">
        <v>46073</v>
      </c>
      <c r="Y245" s="1137">
        <f t="shared" si="22"/>
        <v>0</v>
      </c>
    </row>
    <row r="246" spans="5:25" x14ac:dyDescent="0.45">
      <c r="E246" s="1146" t="s">
        <v>7461</v>
      </c>
      <c r="F246" s="1146" t="s">
        <v>7736</v>
      </c>
      <c r="G246" s="1146" t="s">
        <v>362</v>
      </c>
      <c r="H246" s="1182" t="s">
        <v>7939</v>
      </c>
      <c r="I246" s="1182" t="s">
        <v>7939</v>
      </c>
      <c r="J246" s="1146" t="s">
        <v>7742</v>
      </c>
      <c r="K246" s="1146" t="s">
        <v>7743</v>
      </c>
      <c r="L246" s="1146" t="s">
        <v>7824</v>
      </c>
      <c r="M246" s="1146" t="s">
        <v>323</v>
      </c>
      <c r="N246" s="1146" t="s">
        <v>7462</v>
      </c>
      <c r="O246" s="1146" t="s">
        <v>7739</v>
      </c>
      <c r="P246" s="1146"/>
      <c r="Q246" s="1136">
        <v>15</v>
      </c>
      <c r="S246" s="1112">
        <f t="shared" si="20"/>
        <v>46043</v>
      </c>
      <c r="T246" s="1112">
        <v>46055</v>
      </c>
      <c r="U246" s="1076" t="s">
        <v>7940</v>
      </c>
      <c r="V246" s="1084">
        <f t="shared" si="21"/>
        <v>46100</v>
      </c>
      <c r="W246" s="1136">
        <v>15</v>
      </c>
      <c r="X246" s="1112">
        <v>46094</v>
      </c>
      <c r="Y246" s="1137">
        <f t="shared" si="22"/>
        <v>0</v>
      </c>
    </row>
    <row r="247" spans="5:25" x14ac:dyDescent="0.45">
      <c r="E247" s="1146" t="s">
        <v>7464</v>
      </c>
      <c r="F247" s="1146" t="s">
        <v>7736</v>
      </c>
      <c r="G247" s="1146" t="s">
        <v>362</v>
      </c>
      <c r="H247" s="1182" t="s">
        <v>7939</v>
      </c>
      <c r="I247" s="1182" t="s">
        <v>7939</v>
      </c>
      <c r="J247" s="1146" t="s">
        <v>7742</v>
      </c>
      <c r="K247" s="1146" t="s">
        <v>7743</v>
      </c>
      <c r="L247" s="1146" t="s">
        <v>7824</v>
      </c>
      <c r="M247" s="1146" t="s">
        <v>326</v>
      </c>
      <c r="N247" s="1146" t="s">
        <v>7465</v>
      </c>
      <c r="O247" s="1146" t="s">
        <v>7739</v>
      </c>
      <c r="P247" s="1146"/>
      <c r="Q247" s="1136">
        <v>15</v>
      </c>
      <c r="S247" s="1112">
        <f t="shared" si="20"/>
        <v>46043</v>
      </c>
      <c r="T247" s="1112">
        <v>46055</v>
      </c>
      <c r="U247" s="1076" t="s">
        <v>7940</v>
      </c>
      <c r="V247" s="1084">
        <f t="shared" si="21"/>
        <v>46100</v>
      </c>
      <c r="W247" s="1136">
        <v>15</v>
      </c>
      <c r="X247" s="1112">
        <v>46094</v>
      </c>
      <c r="Y247" s="1137">
        <f t="shared" si="22"/>
        <v>0</v>
      </c>
    </row>
    <row r="248" spans="5:25" x14ac:dyDescent="0.45">
      <c r="E248" s="1146" t="s">
        <v>7941</v>
      </c>
      <c r="F248" s="1146" t="s">
        <v>7736</v>
      </c>
      <c r="G248" s="1146" t="s">
        <v>817</v>
      </c>
      <c r="H248" s="1147">
        <v>46136</v>
      </c>
      <c r="I248" s="1147">
        <v>46136</v>
      </c>
      <c r="J248" s="1148">
        <v>0.625</v>
      </c>
      <c r="K248" s="1148">
        <v>0.70833333333333337</v>
      </c>
      <c r="L248" s="1146" t="s">
        <v>7762</v>
      </c>
      <c r="M248" s="1146" t="s">
        <v>256</v>
      </c>
      <c r="N248" s="1146" t="s">
        <v>7942</v>
      </c>
      <c r="O248" s="1146" t="s">
        <v>7739</v>
      </c>
      <c r="P248" s="1146">
        <v>20</v>
      </c>
      <c r="Q248" s="1136">
        <v>100</v>
      </c>
      <c r="S248" s="1112">
        <f t="shared" si="20"/>
        <v>46124</v>
      </c>
      <c r="T248" s="1112">
        <v>46136</v>
      </c>
      <c r="U248" s="1076" t="s">
        <v>7943</v>
      </c>
      <c r="V248" s="1084">
        <f t="shared" si="21"/>
        <v>46181</v>
      </c>
      <c r="W248" s="1136">
        <v>100</v>
      </c>
      <c r="X248" s="1112">
        <v>46181</v>
      </c>
      <c r="Y248" s="1137">
        <f t="shared" si="22"/>
        <v>0</v>
      </c>
    </row>
    <row r="249" spans="5:25" x14ac:dyDescent="0.45">
      <c r="E249" s="1146" t="s">
        <v>7517</v>
      </c>
      <c r="F249" s="1146" t="s">
        <v>7736</v>
      </c>
      <c r="G249" s="1146" t="s">
        <v>7796</v>
      </c>
      <c r="H249" s="1147">
        <v>46137</v>
      </c>
      <c r="I249" s="1147">
        <v>46137</v>
      </c>
      <c r="J249" s="1148">
        <v>0.23958333333333329</v>
      </c>
      <c r="K249" s="1148">
        <v>0.40625</v>
      </c>
      <c r="L249" s="1146" t="s">
        <v>7800</v>
      </c>
      <c r="M249" s="1146" t="s">
        <v>7518</v>
      </c>
      <c r="N249" s="1146" t="s">
        <v>7519</v>
      </c>
      <c r="O249" s="1146" t="s">
        <v>7739</v>
      </c>
      <c r="P249" s="1146">
        <v>0</v>
      </c>
      <c r="Q249" s="1136">
        <v>99</v>
      </c>
      <c r="S249" s="1112">
        <f t="shared" si="20"/>
        <v>46125</v>
      </c>
      <c r="T249" s="1112">
        <v>46138</v>
      </c>
      <c r="U249" s="1076" t="s">
        <v>7944</v>
      </c>
      <c r="V249" s="1084">
        <f t="shared" si="21"/>
        <v>46182</v>
      </c>
      <c r="W249" s="1136">
        <v>99</v>
      </c>
      <c r="X249" s="1112">
        <v>46181</v>
      </c>
      <c r="Y249" s="1137">
        <f t="shared" si="22"/>
        <v>0</v>
      </c>
    </row>
    <row r="250" spans="5:25" x14ac:dyDescent="0.45">
      <c r="E250" s="1146" t="s">
        <v>7530</v>
      </c>
      <c r="F250" s="1146"/>
      <c r="G250" s="1146" t="s">
        <v>7802</v>
      </c>
      <c r="H250" s="1147">
        <v>46138</v>
      </c>
      <c r="I250" s="1147">
        <v>46138</v>
      </c>
      <c r="J250" s="1148">
        <v>0.23958333333333329</v>
      </c>
      <c r="K250" s="1148">
        <v>0.625</v>
      </c>
      <c r="L250" s="1146" t="s">
        <v>7800</v>
      </c>
      <c r="M250" s="1146" t="s">
        <v>1304</v>
      </c>
      <c r="N250" s="1146" t="s">
        <v>7531</v>
      </c>
      <c r="O250" s="1146" t="s">
        <v>7739</v>
      </c>
      <c r="P250" s="1146"/>
      <c r="Q250" s="1136">
        <v>150</v>
      </c>
      <c r="S250" s="1112">
        <f t="shared" si="20"/>
        <v>46126</v>
      </c>
      <c r="T250" s="1112">
        <v>46138</v>
      </c>
      <c r="U250" s="1076" t="s">
        <v>7944</v>
      </c>
      <c r="V250" s="1084">
        <f t="shared" si="21"/>
        <v>46183</v>
      </c>
      <c r="W250" s="1136">
        <v>150</v>
      </c>
      <c r="X250" s="1112">
        <v>46181</v>
      </c>
      <c r="Y250" s="1137">
        <f t="shared" si="22"/>
        <v>0</v>
      </c>
    </row>
    <row r="251" spans="5:25" x14ac:dyDescent="0.45">
      <c r="E251" s="1146" t="s">
        <v>7533</v>
      </c>
      <c r="F251" s="1146" t="s">
        <v>7736</v>
      </c>
      <c r="G251" s="1146" t="s">
        <v>7796</v>
      </c>
      <c r="H251" s="1147">
        <v>46138</v>
      </c>
      <c r="I251" s="1147">
        <v>46138</v>
      </c>
      <c r="J251" s="1148">
        <v>0.23958333333333329</v>
      </c>
      <c r="K251" s="1148">
        <v>0.40625</v>
      </c>
      <c r="L251" s="1146" t="s">
        <v>7800</v>
      </c>
      <c r="M251" s="1146" t="s">
        <v>7534</v>
      </c>
      <c r="N251" s="1146" t="s">
        <v>7535</v>
      </c>
      <c r="O251" s="1146" t="s">
        <v>7739</v>
      </c>
      <c r="P251" s="1146">
        <v>0</v>
      </c>
      <c r="Q251" s="1136">
        <v>99</v>
      </c>
      <c r="S251" s="1112">
        <f t="shared" si="20"/>
        <v>46126</v>
      </c>
      <c r="T251" s="1112">
        <v>46138</v>
      </c>
      <c r="U251" s="1076" t="s">
        <v>7944</v>
      </c>
      <c r="V251" s="1084">
        <f t="shared" si="21"/>
        <v>46183</v>
      </c>
      <c r="W251" s="1136">
        <v>99</v>
      </c>
      <c r="X251" s="1112">
        <v>46181</v>
      </c>
      <c r="Y251" s="1137">
        <f t="shared" si="22"/>
        <v>0</v>
      </c>
    </row>
    <row r="252" spans="5:25" x14ac:dyDescent="0.45">
      <c r="E252" s="1146" t="s">
        <v>7552</v>
      </c>
      <c r="F252" s="1146" t="s">
        <v>7736</v>
      </c>
      <c r="G252" s="1146" t="s">
        <v>7796</v>
      </c>
      <c r="H252" s="1147">
        <v>46142</v>
      </c>
      <c r="I252" s="1147">
        <v>46142</v>
      </c>
      <c r="J252" s="1148">
        <v>0.45833333333333331</v>
      </c>
      <c r="K252" s="1148">
        <v>0.625</v>
      </c>
      <c r="L252" s="1146" t="s">
        <v>7800</v>
      </c>
      <c r="M252" s="1146" t="s">
        <v>7553</v>
      </c>
      <c r="N252" s="1146" t="s">
        <v>7554</v>
      </c>
      <c r="O252" s="1146" t="s">
        <v>7739</v>
      </c>
      <c r="P252" s="1146">
        <v>0</v>
      </c>
      <c r="Q252" s="1136">
        <v>99</v>
      </c>
      <c r="S252" s="1112">
        <f t="shared" si="20"/>
        <v>46130</v>
      </c>
      <c r="T252" s="1112">
        <v>46142</v>
      </c>
      <c r="U252" s="1076" t="s">
        <v>7945</v>
      </c>
      <c r="V252" s="1084">
        <f t="shared" si="21"/>
        <v>46187</v>
      </c>
      <c r="W252" s="1136">
        <v>99</v>
      </c>
      <c r="X252" s="1112">
        <v>46181</v>
      </c>
      <c r="Y252" s="1137">
        <f t="shared" si="22"/>
        <v>0</v>
      </c>
    </row>
    <row r="253" spans="5:25" x14ac:dyDescent="0.45">
      <c r="E253" s="1146" t="s">
        <v>7649</v>
      </c>
      <c r="F253" s="1146" t="s">
        <v>7736</v>
      </c>
      <c r="G253" s="1146" t="s">
        <v>788</v>
      </c>
      <c r="H253" s="1147">
        <v>46144</v>
      </c>
      <c r="I253" s="1147">
        <v>46144</v>
      </c>
      <c r="J253" s="1148">
        <v>0.77083333333333337</v>
      </c>
      <c r="K253" s="1148">
        <v>0.875</v>
      </c>
      <c r="L253" s="1146" t="s">
        <v>7877</v>
      </c>
      <c r="M253" s="1146" t="s">
        <v>641</v>
      </c>
      <c r="N253" s="1146" t="s">
        <v>7270</v>
      </c>
      <c r="O253" s="1146" t="s">
        <v>7739</v>
      </c>
      <c r="P253" s="1146">
        <v>0</v>
      </c>
      <c r="Q253" s="1136">
        <v>95</v>
      </c>
      <c r="S253" s="1112">
        <f t="shared" si="20"/>
        <v>46132</v>
      </c>
      <c r="T253" s="1112">
        <v>46144</v>
      </c>
      <c r="U253" s="1076" t="s">
        <v>7946</v>
      </c>
      <c r="V253" s="1084">
        <f t="shared" si="21"/>
        <v>46189</v>
      </c>
      <c r="W253" s="1136">
        <v>95</v>
      </c>
      <c r="X253" s="1112">
        <v>46188</v>
      </c>
      <c r="Y253" s="1137">
        <f t="shared" si="22"/>
        <v>0</v>
      </c>
    </row>
    <row r="254" spans="5:25" x14ac:dyDescent="0.45">
      <c r="E254" s="1146" t="s">
        <v>6424</v>
      </c>
      <c r="F254" s="1146" t="s">
        <v>7736</v>
      </c>
      <c r="G254" s="1146" t="s">
        <v>580</v>
      </c>
      <c r="H254" s="1147">
        <v>46147</v>
      </c>
      <c r="I254" s="1147">
        <v>46161</v>
      </c>
      <c r="J254" s="1148">
        <v>0.79166666666666663</v>
      </c>
      <c r="K254" s="1148">
        <v>0.875</v>
      </c>
      <c r="L254" s="1146" t="s">
        <v>7762</v>
      </c>
      <c r="M254" s="1146" t="s">
        <v>261</v>
      </c>
      <c r="N254" s="1146" t="s">
        <v>6425</v>
      </c>
      <c r="O254" s="1146" t="s">
        <v>7739</v>
      </c>
      <c r="P254" s="1146">
        <v>50</v>
      </c>
      <c r="Q254" s="1136">
        <v>100</v>
      </c>
      <c r="S254" s="1112">
        <f t="shared" si="20"/>
        <v>46135</v>
      </c>
      <c r="T254" s="1112">
        <v>46147</v>
      </c>
      <c r="U254" s="1076" t="s">
        <v>7947</v>
      </c>
      <c r="V254" s="1084">
        <f t="shared" si="21"/>
        <v>46192</v>
      </c>
      <c r="W254" s="1136">
        <v>100</v>
      </c>
      <c r="X254" s="1112">
        <v>46188</v>
      </c>
      <c r="Y254" s="1137">
        <f t="shared" si="22"/>
        <v>0</v>
      </c>
    </row>
    <row r="255" spans="5:25" x14ac:dyDescent="0.45">
      <c r="E255" s="1146" t="s">
        <v>6427</v>
      </c>
      <c r="F255" s="1146" t="s">
        <v>7736</v>
      </c>
      <c r="G255" s="1146" t="s">
        <v>580</v>
      </c>
      <c r="H255" s="1147">
        <v>46147</v>
      </c>
      <c r="I255" s="1147">
        <v>46161</v>
      </c>
      <c r="J255" s="1148">
        <v>0.79166666666666663</v>
      </c>
      <c r="K255" s="1148">
        <v>0.875</v>
      </c>
      <c r="L255" s="1146" t="s">
        <v>7762</v>
      </c>
      <c r="M255" s="1146" t="s">
        <v>275</v>
      </c>
      <c r="N255" s="1146" t="s">
        <v>6428</v>
      </c>
      <c r="O255" s="1146" t="s">
        <v>7739</v>
      </c>
      <c r="P255" s="1146">
        <v>50</v>
      </c>
      <c r="Q255" s="1136">
        <v>100</v>
      </c>
      <c r="S255" s="1112">
        <f t="shared" si="20"/>
        <v>46135</v>
      </c>
      <c r="T255" s="1112">
        <v>46147</v>
      </c>
      <c r="U255" s="1076" t="s">
        <v>7947</v>
      </c>
      <c r="V255" s="1084">
        <f t="shared" si="21"/>
        <v>46192</v>
      </c>
      <c r="W255" s="1136">
        <v>100</v>
      </c>
      <c r="X255" s="1112">
        <v>46188</v>
      </c>
      <c r="Y255" s="1137">
        <f t="shared" si="22"/>
        <v>0</v>
      </c>
    </row>
    <row r="256" spans="5:25" x14ac:dyDescent="0.45">
      <c r="E256" s="1146" t="s">
        <v>6430</v>
      </c>
      <c r="F256" s="1146" t="s">
        <v>7736</v>
      </c>
      <c r="G256" s="1146" t="s">
        <v>580</v>
      </c>
      <c r="H256" s="1147">
        <v>46147</v>
      </c>
      <c r="I256" s="1147">
        <v>46161</v>
      </c>
      <c r="J256" s="1148">
        <v>0.79166666666666663</v>
      </c>
      <c r="K256" s="1148">
        <v>0.875</v>
      </c>
      <c r="L256" s="1146" t="s">
        <v>7762</v>
      </c>
      <c r="M256" s="1146" t="s">
        <v>6431</v>
      </c>
      <c r="N256" s="1146" t="s">
        <v>6432</v>
      </c>
      <c r="O256" s="1146" t="s">
        <v>7739</v>
      </c>
      <c r="P256" s="1146">
        <v>50</v>
      </c>
      <c r="Q256" s="1136">
        <v>100</v>
      </c>
      <c r="S256" s="1112">
        <f t="shared" si="20"/>
        <v>46135</v>
      </c>
      <c r="T256" s="1112">
        <v>46147</v>
      </c>
      <c r="U256" s="1076" t="s">
        <v>7947</v>
      </c>
      <c r="V256" s="1084">
        <f t="shared" si="21"/>
        <v>46192</v>
      </c>
      <c r="W256" s="1136">
        <v>100</v>
      </c>
      <c r="X256" s="1112">
        <v>46188</v>
      </c>
      <c r="Y256" s="1137">
        <f t="shared" si="22"/>
        <v>0</v>
      </c>
    </row>
    <row r="257" spans="5:25" x14ac:dyDescent="0.45">
      <c r="E257" s="1146" t="s">
        <v>7593</v>
      </c>
      <c r="F257" s="1146" t="s">
        <v>7736</v>
      </c>
      <c r="G257" s="1146" t="s">
        <v>613</v>
      </c>
      <c r="H257" s="1147">
        <v>46158</v>
      </c>
      <c r="I257" s="1147">
        <v>46158</v>
      </c>
      <c r="J257" s="1148">
        <v>0.39583333333333331</v>
      </c>
      <c r="K257" s="1148">
        <v>0.66666666666666663</v>
      </c>
      <c r="L257" s="1146" t="s">
        <v>7845</v>
      </c>
      <c r="M257" s="1146" t="s">
        <v>898</v>
      </c>
      <c r="N257" s="1146" t="s">
        <v>6875</v>
      </c>
      <c r="O257" s="1146" t="s">
        <v>7739</v>
      </c>
      <c r="P257" s="1146">
        <v>0</v>
      </c>
      <c r="Q257" s="1136">
        <v>150</v>
      </c>
      <c r="S257" s="1112">
        <f t="shared" si="20"/>
        <v>46146</v>
      </c>
      <c r="T257" s="1112">
        <v>46158</v>
      </c>
      <c r="U257" s="1076" t="s">
        <v>7948</v>
      </c>
      <c r="V257" s="1084">
        <f t="shared" si="21"/>
        <v>46203</v>
      </c>
      <c r="W257" s="1136"/>
      <c r="Y257" s="1137">
        <f t="shared" si="22"/>
        <v>150</v>
      </c>
    </row>
    <row r="258" spans="5:25" x14ac:dyDescent="0.45">
      <c r="E258" s="1146" t="s">
        <v>7626</v>
      </c>
      <c r="F258" s="1146" t="s">
        <v>7736</v>
      </c>
      <c r="G258" s="1146" t="s">
        <v>801</v>
      </c>
      <c r="H258" s="1182">
        <v>46159</v>
      </c>
      <c r="I258" s="1182">
        <v>46159</v>
      </c>
      <c r="J258" s="1148">
        <v>0.625</v>
      </c>
      <c r="K258" s="1148">
        <v>0.70833333333333337</v>
      </c>
      <c r="L258" s="1146" t="s">
        <v>7762</v>
      </c>
      <c r="M258" s="1146" t="s">
        <v>7627</v>
      </c>
      <c r="N258" s="1146" t="s">
        <v>7628</v>
      </c>
      <c r="O258" s="1146" t="s">
        <v>7739</v>
      </c>
      <c r="P258" s="1146">
        <v>0</v>
      </c>
      <c r="Q258" s="1136">
        <v>45</v>
      </c>
      <c r="S258" s="1112">
        <f t="shared" ref="S258:S270" si="23">H258-12</f>
        <v>46147</v>
      </c>
      <c r="T258" s="1112">
        <v>46159</v>
      </c>
      <c r="U258" s="1076" t="s">
        <v>7949</v>
      </c>
      <c r="V258" s="1084">
        <f t="shared" ref="V258:V270" si="24">H258+45</f>
        <v>46204</v>
      </c>
      <c r="W258" s="1136"/>
      <c r="Y258" s="1137">
        <f t="shared" ref="Y258:Y270" si="25">Q258-W258</f>
        <v>45</v>
      </c>
    </row>
    <row r="259" spans="5:25" x14ac:dyDescent="0.45">
      <c r="E259" s="1077" t="s">
        <v>6454</v>
      </c>
      <c r="F259" s="1077" t="s">
        <v>7736</v>
      </c>
      <c r="G259" s="1077" t="s">
        <v>666</v>
      </c>
      <c r="H259" s="1131">
        <v>46272</v>
      </c>
      <c r="I259" s="1131">
        <v>46286</v>
      </c>
      <c r="J259" s="1079">
        <v>0.79166666666666663</v>
      </c>
      <c r="K259" s="1079">
        <v>0.875</v>
      </c>
      <c r="L259" s="1077" t="s">
        <v>7762</v>
      </c>
      <c r="M259" s="1077" t="s">
        <v>213</v>
      </c>
      <c r="N259" s="1077" t="s">
        <v>6293</v>
      </c>
      <c r="O259" s="1077" t="s">
        <v>7739</v>
      </c>
      <c r="P259" s="1077">
        <v>50</v>
      </c>
      <c r="Q259" s="1136">
        <v>100</v>
      </c>
      <c r="S259" s="1112">
        <f t="shared" si="23"/>
        <v>46260</v>
      </c>
      <c r="V259" s="1084">
        <f t="shared" si="24"/>
        <v>46317</v>
      </c>
      <c r="W259" s="1136"/>
      <c r="Y259" s="1137">
        <f t="shared" si="25"/>
        <v>100</v>
      </c>
    </row>
    <row r="260" spans="5:25" x14ac:dyDescent="0.45">
      <c r="E260" s="1077" t="s">
        <v>7703</v>
      </c>
      <c r="F260" s="1077" t="s">
        <v>7736</v>
      </c>
      <c r="G260" s="1077" t="s">
        <v>616</v>
      </c>
      <c r="H260" s="1131">
        <v>46319</v>
      </c>
      <c r="I260" s="1131">
        <v>46319</v>
      </c>
      <c r="J260" s="1079">
        <v>0.33333333333333331</v>
      </c>
      <c r="K260" s="1079">
        <v>0.47916666666666669</v>
      </c>
      <c r="L260" s="1077" t="s">
        <v>7860</v>
      </c>
      <c r="M260" s="1077" t="s">
        <v>7704</v>
      </c>
      <c r="N260" s="1077" t="s">
        <v>7705</v>
      </c>
      <c r="O260" s="1077" t="s">
        <v>7739</v>
      </c>
      <c r="P260" s="1077">
        <v>0</v>
      </c>
      <c r="Q260" s="1136">
        <v>99</v>
      </c>
      <c r="S260" s="1112">
        <f t="shared" si="23"/>
        <v>46307</v>
      </c>
      <c r="V260" s="1084">
        <f t="shared" si="24"/>
        <v>46364</v>
      </c>
      <c r="W260" s="1136"/>
      <c r="Y260" s="1137">
        <f t="shared" si="25"/>
        <v>99</v>
      </c>
    </row>
    <row r="261" spans="5:25" x14ac:dyDescent="0.45">
      <c r="E261" s="1077" t="s">
        <v>7706</v>
      </c>
      <c r="F261" s="1077" t="s">
        <v>7736</v>
      </c>
      <c r="G261" s="1077" t="s">
        <v>616</v>
      </c>
      <c r="H261" s="1131">
        <v>46319</v>
      </c>
      <c r="I261" s="1131">
        <v>46319</v>
      </c>
      <c r="J261" s="1079">
        <v>0.5</v>
      </c>
      <c r="K261" s="1079">
        <v>0.64583333333333337</v>
      </c>
      <c r="L261" s="1077" t="s">
        <v>7860</v>
      </c>
      <c r="M261" s="1077" t="s">
        <v>897</v>
      </c>
      <c r="N261" s="1077" t="s">
        <v>6555</v>
      </c>
      <c r="O261" s="1077" t="s">
        <v>7739</v>
      </c>
      <c r="P261" s="1077">
        <v>0</v>
      </c>
      <c r="Q261" s="1136">
        <v>99</v>
      </c>
      <c r="S261" s="1112">
        <f t="shared" si="23"/>
        <v>46307</v>
      </c>
      <c r="V261" s="1084">
        <f t="shared" si="24"/>
        <v>46364</v>
      </c>
      <c r="Y261" s="1137">
        <f t="shared" si="25"/>
        <v>99</v>
      </c>
    </row>
    <row r="262" spans="5:25" x14ac:dyDescent="0.45">
      <c r="E262" s="1077" t="s">
        <v>7685</v>
      </c>
      <c r="F262" s="1077"/>
      <c r="G262" s="1077" t="s">
        <v>7748</v>
      </c>
      <c r="H262" s="1131">
        <v>46291</v>
      </c>
      <c r="I262" s="1131">
        <v>46291</v>
      </c>
      <c r="J262" s="1079">
        <v>0.41666666666666669</v>
      </c>
      <c r="K262" s="1079">
        <v>0.5625</v>
      </c>
      <c r="L262" s="1077" t="s">
        <v>7819</v>
      </c>
      <c r="M262" s="1077" t="s">
        <v>919</v>
      </c>
      <c r="N262" s="1077" t="s">
        <v>7686</v>
      </c>
      <c r="O262" s="1077" t="s">
        <v>7739</v>
      </c>
      <c r="P262" s="1077">
        <v>0</v>
      </c>
      <c r="Q262" s="1136">
        <v>100</v>
      </c>
      <c r="S262" s="1112">
        <f t="shared" si="23"/>
        <v>46279</v>
      </c>
      <c r="V262" s="1084">
        <f t="shared" si="24"/>
        <v>46336</v>
      </c>
      <c r="Y262" s="1137">
        <f t="shared" si="25"/>
        <v>100</v>
      </c>
    </row>
    <row r="263" spans="5:25" x14ac:dyDescent="0.45">
      <c r="E263" s="1077" t="s">
        <v>7689</v>
      </c>
      <c r="F263" s="1077"/>
      <c r="G263" s="1077" t="s">
        <v>7748</v>
      </c>
      <c r="H263" s="1131">
        <v>46291</v>
      </c>
      <c r="I263" s="1131">
        <v>46291</v>
      </c>
      <c r="J263" s="1079">
        <v>0.41666666666666669</v>
      </c>
      <c r="K263" s="1079">
        <v>0.5625</v>
      </c>
      <c r="L263" s="1077" t="s">
        <v>7819</v>
      </c>
      <c r="M263" s="1077" t="s">
        <v>7690</v>
      </c>
      <c r="N263" s="1077" t="s">
        <v>7691</v>
      </c>
      <c r="O263" s="1077" t="s">
        <v>7739</v>
      </c>
      <c r="P263" s="1077">
        <v>0</v>
      </c>
      <c r="Q263" s="1136">
        <v>100</v>
      </c>
      <c r="S263" s="1112">
        <f t="shared" si="23"/>
        <v>46279</v>
      </c>
      <c r="V263" s="1084">
        <f t="shared" si="24"/>
        <v>46336</v>
      </c>
      <c r="Y263" s="1137">
        <f t="shared" si="25"/>
        <v>100</v>
      </c>
    </row>
    <row r="264" spans="5:25" x14ac:dyDescent="0.45">
      <c r="E264" s="1077" t="s">
        <v>8533</v>
      </c>
      <c r="F264" s="1077" t="s">
        <v>7736</v>
      </c>
      <c r="G264" s="1077" t="s">
        <v>7748</v>
      </c>
      <c r="H264" s="1131">
        <v>46291</v>
      </c>
      <c r="I264" s="1131">
        <v>46291</v>
      </c>
      <c r="J264" s="1079">
        <v>0.41666666666666669</v>
      </c>
      <c r="K264" s="1079">
        <v>0.5625</v>
      </c>
      <c r="L264" s="1077" t="s">
        <v>7819</v>
      </c>
      <c r="M264" s="1077" t="s">
        <v>8534</v>
      </c>
      <c r="N264" s="1077" t="s">
        <v>8535</v>
      </c>
      <c r="O264" s="1077" t="s">
        <v>7739</v>
      </c>
      <c r="P264" s="1077">
        <v>0</v>
      </c>
      <c r="Q264" s="1136">
        <v>100</v>
      </c>
      <c r="S264" s="1112">
        <f t="shared" si="23"/>
        <v>46279</v>
      </c>
      <c r="V264" s="1084">
        <f t="shared" si="24"/>
        <v>46336</v>
      </c>
      <c r="Y264" s="1137">
        <f t="shared" si="25"/>
        <v>100</v>
      </c>
    </row>
    <row r="265" spans="5:25" x14ac:dyDescent="0.45">
      <c r="E265" s="1077" t="s">
        <v>8536</v>
      </c>
      <c r="F265" s="1077" t="s">
        <v>7736</v>
      </c>
      <c r="G265" s="1077" t="s">
        <v>664</v>
      </c>
      <c r="H265" s="1131">
        <v>46236</v>
      </c>
      <c r="I265" s="1131">
        <v>46236</v>
      </c>
      <c r="J265" s="1079">
        <v>0.41666666666666669</v>
      </c>
      <c r="K265" s="1079">
        <v>0.66666666666666663</v>
      </c>
      <c r="L265" s="1077" t="s">
        <v>7762</v>
      </c>
      <c r="M265" s="1077" t="s">
        <v>8537</v>
      </c>
      <c r="N265" s="1077" t="s">
        <v>8538</v>
      </c>
      <c r="O265" s="1077" t="s">
        <v>7739</v>
      </c>
      <c r="P265" s="1077">
        <v>25</v>
      </c>
      <c r="Q265" s="1136">
        <v>100</v>
      </c>
      <c r="S265" s="1112">
        <f t="shared" si="23"/>
        <v>46224</v>
      </c>
      <c r="V265" s="1084">
        <f t="shared" si="24"/>
        <v>46281</v>
      </c>
      <c r="Y265" s="1137">
        <f t="shared" si="25"/>
        <v>100</v>
      </c>
    </row>
    <row r="266" spans="5:25" x14ac:dyDescent="0.45">
      <c r="E266" s="1077" t="s">
        <v>8539</v>
      </c>
      <c r="F266" s="1077" t="s">
        <v>7736</v>
      </c>
      <c r="G266" s="1077" t="s">
        <v>664</v>
      </c>
      <c r="H266" s="1131">
        <v>46236</v>
      </c>
      <c r="I266" s="1131">
        <v>46236</v>
      </c>
      <c r="J266" s="1079">
        <v>0.41666666666666669</v>
      </c>
      <c r="K266" s="1079">
        <v>0.66666666666666663</v>
      </c>
      <c r="L266" s="1077" t="s">
        <v>7762</v>
      </c>
      <c r="M266" s="1077" t="s">
        <v>8540</v>
      </c>
      <c r="N266" s="1077" t="s">
        <v>8541</v>
      </c>
      <c r="O266" s="1077" t="s">
        <v>7739</v>
      </c>
      <c r="P266" s="1077">
        <v>25</v>
      </c>
      <c r="Q266" s="1136">
        <v>100</v>
      </c>
      <c r="S266" s="1112">
        <f t="shared" si="23"/>
        <v>46224</v>
      </c>
      <c r="V266" s="1084">
        <f t="shared" si="24"/>
        <v>46281</v>
      </c>
      <c r="Y266" s="1137">
        <f t="shared" si="25"/>
        <v>100</v>
      </c>
    </row>
    <row r="267" spans="5:25" x14ac:dyDescent="0.45">
      <c r="E267" s="1077"/>
      <c r="F267" s="1077"/>
      <c r="G267" s="1077"/>
      <c r="H267" s="1131"/>
      <c r="I267" s="1131"/>
      <c r="J267" s="1079"/>
      <c r="K267" s="1079"/>
      <c r="L267" s="1077"/>
      <c r="M267" s="1077"/>
      <c r="N267" s="1077"/>
      <c r="O267" s="1077"/>
      <c r="P267" s="1077"/>
      <c r="Q267" s="1136"/>
      <c r="S267" s="1112">
        <f t="shared" si="23"/>
        <v>-12</v>
      </c>
      <c r="V267" s="1084">
        <f t="shared" si="24"/>
        <v>45</v>
      </c>
      <c r="Y267" s="1137">
        <f t="shared" si="25"/>
        <v>0</v>
      </c>
    </row>
    <row r="268" spans="5:25" x14ac:dyDescent="0.45">
      <c r="E268" s="1077"/>
      <c r="F268" s="1077"/>
      <c r="G268" s="1077"/>
      <c r="H268" s="1131"/>
      <c r="I268" s="1131"/>
      <c r="J268" s="1079"/>
      <c r="K268" s="1079"/>
      <c r="L268" s="1077"/>
      <c r="M268" s="1077"/>
      <c r="N268" s="1077"/>
      <c r="O268" s="1077"/>
      <c r="P268" s="1077"/>
      <c r="Q268" s="1136"/>
      <c r="S268" s="1112">
        <f t="shared" si="23"/>
        <v>-12</v>
      </c>
      <c r="V268" s="1084">
        <f t="shared" si="24"/>
        <v>45</v>
      </c>
      <c r="Y268" s="1137">
        <f t="shared" si="25"/>
        <v>0</v>
      </c>
    </row>
    <row r="269" spans="5:25" x14ac:dyDescent="0.45">
      <c r="E269" s="1077"/>
      <c r="F269" s="1077"/>
      <c r="G269" s="1077"/>
      <c r="H269" s="1131"/>
      <c r="I269" s="1131"/>
      <c r="J269" s="1079"/>
      <c r="K269" s="1079"/>
      <c r="L269" s="1077"/>
      <c r="M269" s="1077"/>
      <c r="N269" s="1077"/>
      <c r="O269" s="1077"/>
      <c r="P269" s="1077"/>
      <c r="Q269" s="1136"/>
      <c r="S269" s="1112">
        <f t="shared" si="23"/>
        <v>-12</v>
      </c>
      <c r="V269" s="1084">
        <f t="shared" si="24"/>
        <v>45</v>
      </c>
      <c r="Y269" s="1137">
        <f t="shared" si="25"/>
        <v>0</v>
      </c>
    </row>
    <row r="270" spans="5:25" x14ac:dyDescent="0.45">
      <c r="E270" s="1077"/>
      <c r="F270" s="1077"/>
      <c r="G270" s="1077"/>
      <c r="H270" s="1131"/>
      <c r="I270" s="1131"/>
      <c r="J270" s="1079"/>
      <c r="K270" s="1079"/>
      <c r="L270" s="1077"/>
      <c r="M270" s="1077"/>
      <c r="N270" s="1077"/>
      <c r="O270" s="1077"/>
      <c r="P270" s="1077"/>
      <c r="Q270" s="1136"/>
      <c r="S270" s="1112">
        <f t="shared" si="23"/>
        <v>-12</v>
      </c>
      <c r="V270" s="1084">
        <f t="shared" si="24"/>
        <v>45</v>
      </c>
      <c r="Y270" s="1137">
        <f t="shared" si="25"/>
        <v>0</v>
      </c>
    </row>
    <row r="271" spans="5:25" x14ac:dyDescent="0.45">
      <c r="E271" s="1077"/>
      <c r="F271" s="1077"/>
      <c r="G271" s="1077"/>
      <c r="H271" s="1131"/>
      <c r="I271" s="1131"/>
      <c r="J271" s="1079"/>
      <c r="K271" s="1079"/>
      <c r="L271" s="1077"/>
      <c r="M271" s="1077"/>
      <c r="N271" s="1077"/>
      <c r="O271" s="1077"/>
      <c r="P271" s="1077"/>
      <c r="Q271" s="1136"/>
      <c r="S271" s="1112"/>
      <c r="V271" s="1084"/>
      <c r="Y271" s="1137"/>
    </row>
    <row r="272" spans="5:25" x14ac:dyDescent="0.45">
      <c r="E272" s="1124"/>
      <c r="F272" s="1124"/>
      <c r="G272" s="1124"/>
      <c r="H272" s="1131"/>
      <c r="I272" s="1131"/>
      <c r="J272" s="1125"/>
      <c r="K272" s="1125"/>
      <c r="L272" s="1124"/>
      <c r="M272" s="1124"/>
      <c r="N272" s="1124"/>
      <c r="O272" s="1124"/>
      <c r="P272" s="1124"/>
      <c r="Q272" s="1136"/>
      <c r="Y272" s="1137">
        <f>Q272-W272</f>
        <v>0</v>
      </c>
    </row>
    <row r="273" spans="1:25" s="1126" customFormat="1" x14ac:dyDescent="0.45">
      <c r="A273" s="1088"/>
      <c r="B273" s="1088"/>
      <c r="C273" s="1088"/>
      <c r="D273" s="1088"/>
      <c r="H273" s="1134"/>
      <c r="I273" s="1134"/>
      <c r="O273" s="1127">
        <f>COUNTIF(E1:E273, "IIY*")</f>
        <v>265</v>
      </c>
      <c r="P273" s="1127"/>
      <c r="Q273" s="1128">
        <f>SUM(Q2:Q272)</f>
        <v>21845</v>
      </c>
      <c r="R273" s="1127">
        <f>SUM(R2:R272)</f>
        <v>26</v>
      </c>
      <c r="S273" s="1127"/>
      <c r="T273" s="1128" t="b">
        <f>O273=IF(COUNTIF(E1:E273, "IIY*") &lt;&gt; 0, Q273 / COUNTIF(E1:E273, "IIY*"),0)</f>
        <v>0</v>
      </c>
      <c r="U273" s="1128"/>
      <c r="W273" s="1128">
        <f>SUM(W2:W272)</f>
        <v>20852</v>
      </c>
      <c r="Y273" s="1128">
        <f>SUM(Y2:Y272)</f>
        <v>993</v>
      </c>
    </row>
    <row r="274" spans="1:25" x14ac:dyDescent="0.45">
      <c r="E274" s="1124"/>
      <c r="F274" s="1124"/>
      <c r="G274" s="1124"/>
      <c r="H274" s="1133"/>
      <c r="I274" s="1133"/>
      <c r="J274" s="1125"/>
      <c r="K274" s="1125"/>
      <c r="L274" s="1124"/>
      <c r="M274" s="1124"/>
      <c r="N274" s="1124"/>
      <c r="O274" s="1124"/>
      <c r="P274" s="1124"/>
      <c r="Q274" s="1136"/>
      <c r="R274" s="1124"/>
      <c r="S274" s="1124"/>
      <c r="T274" s="1124"/>
      <c r="U274" s="1124"/>
      <c r="V274" s="1124"/>
      <c r="W274" s="1124"/>
      <c r="X274" s="1124"/>
      <c r="Y274" s="1150"/>
    </row>
    <row r="276" spans="1:25" x14ac:dyDescent="0.45">
      <c r="D276" s="1149"/>
      <c r="Q276" s="1137"/>
    </row>
    <row r="277" spans="1:25" x14ac:dyDescent="0.45">
      <c r="E277" s="1082" t="s">
        <v>7839</v>
      </c>
      <c r="F277" s="1082" t="s">
        <v>7736</v>
      </c>
      <c r="G277" s="1082" t="s">
        <v>820</v>
      </c>
      <c r="H277" s="1151">
        <v>45793</v>
      </c>
      <c r="I277" s="1151">
        <v>45793</v>
      </c>
      <c r="J277" s="1152">
        <v>0.33333333333333331</v>
      </c>
      <c r="K277" s="1152">
        <v>0.70833333333333337</v>
      </c>
      <c r="L277" s="1082" t="s">
        <v>7762</v>
      </c>
      <c r="M277" s="1082" t="s">
        <v>846</v>
      </c>
      <c r="N277" s="1082" t="s">
        <v>7840</v>
      </c>
      <c r="O277" s="1082" t="s">
        <v>7739</v>
      </c>
      <c r="P277" s="1082"/>
      <c r="Q277" s="1136">
        <v>50</v>
      </c>
    </row>
    <row r="285" spans="1:25" x14ac:dyDescent="0.45">
      <c r="E285" s="1082" t="s">
        <v>7950</v>
      </c>
    </row>
    <row r="287" spans="1:25" x14ac:dyDescent="0.45">
      <c r="E287" s="1081" t="s">
        <v>7951</v>
      </c>
      <c r="F287" s="1081" t="s">
        <v>7736</v>
      </c>
      <c r="G287" s="1081" t="s">
        <v>681</v>
      </c>
      <c r="H287" s="1132" t="s">
        <v>7952</v>
      </c>
      <c r="I287" s="1132" t="s">
        <v>7952</v>
      </c>
      <c r="J287" s="1081" t="s">
        <v>7744</v>
      </c>
      <c r="K287" s="1081" t="s">
        <v>7745</v>
      </c>
      <c r="L287" s="1081"/>
      <c r="M287" s="1081" t="s">
        <v>7953</v>
      </c>
      <c r="N287" s="1081" t="s">
        <v>7954</v>
      </c>
      <c r="O287" s="1081" t="s">
        <v>7739</v>
      </c>
      <c r="P287" s="1081"/>
      <c r="Q287" s="1103">
        <v>50</v>
      </c>
      <c r="R287" s="1082" t="s">
        <v>7955</v>
      </c>
      <c r="S287" s="1082"/>
    </row>
    <row r="288" spans="1:25" x14ac:dyDescent="0.45">
      <c r="E288" s="1081" t="s">
        <v>7956</v>
      </c>
      <c r="F288" s="1081" t="s">
        <v>7736</v>
      </c>
      <c r="G288" s="1081" t="s">
        <v>580</v>
      </c>
      <c r="H288" s="1132">
        <v>45763</v>
      </c>
      <c r="I288" s="1132">
        <v>45777</v>
      </c>
      <c r="J288" s="1102">
        <v>0.79166666666666663</v>
      </c>
      <c r="K288" s="1102">
        <v>0.875</v>
      </c>
      <c r="L288" s="1081"/>
      <c r="M288" s="1081" t="s">
        <v>7957</v>
      </c>
      <c r="N288" s="1081" t="s">
        <v>7958</v>
      </c>
      <c r="O288" s="1081" t="s">
        <v>7739</v>
      </c>
      <c r="P288" s="1081"/>
      <c r="Q288" s="1103">
        <v>150</v>
      </c>
      <c r="R288" s="1082" t="s">
        <v>7959</v>
      </c>
      <c r="S288" s="1082"/>
      <c r="T288" s="1082"/>
      <c r="U288" s="1082"/>
    </row>
    <row r="289" spans="5:23" x14ac:dyDescent="0.45">
      <c r="E289" s="1081" t="s">
        <v>7960</v>
      </c>
      <c r="F289" s="1081" t="s">
        <v>7736</v>
      </c>
      <c r="G289" s="1081" t="s">
        <v>674</v>
      </c>
      <c r="H289" s="1132">
        <v>45782</v>
      </c>
      <c r="I289" s="1132">
        <v>45782</v>
      </c>
      <c r="J289" s="1102">
        <v>0.72916666666666663</v>
      </c>
      <c r="K289" s="1102">
        <v>0.8125</v>
      </c>
      <c r="L289" s="1081"/>
      <c r="M289" s="1081" t="s">
        <v>838</v>
      </c>
      <c r="N289" s="1081" t="s">
        <v>6955</v>
      </c>
      <c r="O289" s="1081" t="s">
        <v>7739</v>
      </c>
      <c r="P289" s="1081"/>
      <c r="Q289" s="1103">
        <v>50</v>
      </c>
      <c r="R289" s="1076" t="s">
        <v>7961</v>
      </c>
    </row>
    <row r="290" spans="5:23" x14ac:dyDescent="0.45">
      <c r="E290" s="1081" t="s">
        <v>7962</v>
      </c>
      <c r="F290" s="1081" t="s">
        <v>7736</v>
      </c>
      <c r="G290" s="1081" t="s">
        <v>729</v>
      </c>
      <c r="H290" s="1132">
        <v>45789</v>
      </c>
      <c r="I290" s="1132">
        <v>45789</v>
      </c>
      <c r="J290" s="1102">
        <v>0.79166666666666663</v>
      </c>
      <c r="K290" s="1102">
        <v>0.89583333333333337</v>
      </c>
      <c r="L290" s="1081"/>
      <c r="M290" s="1081" t="s">
        <v>902</v>
      </c>
      <c r="N290" s="1081" t="s">
        <v>6737</v>
      </c>
      <c r="O290" s="1081" t="s">
        <v>7739</v>
      </c>
      <c r="P290" s="1081"/>
      <c r="Q290" s="1103">
        <v>50</v>
      </c>
      <c r="R290" s="1076" t="s">
        <v>7963</v>
      </c>
    </row>
    <row r="291" spans="5:23" x14ac:dyDescent="0.45">
      <c r="E291" s="1081" t="s">
        <v>7964</v>
      </c>
      <c r="F291" s="1081" t="s">
        <v>7736</v>
      </c>
      <c r="G291" s="1081" t="s">
        <v>729</v>
      </c>
      <c r="H291" s="1132">
        <v>45797</v>
      </c>
      <c r="I291" s="1132">
        <v>45797</v>
      </c>
      <c r="J291" s="1102">
        <v>0.79166666666666663</v>
      </c>
      <c r="K291" s="1102">
        <v>0.89583333333333337</v>
      </c>
      <c r="L291" s="1081"/>
      <c r="M291" s="1081" t="s">
        <v>7965</v>
      </c>
      <c r="N291" s="1081" t="s">
        <v>7966</v>
      </c>
      <c r="O291" s="1081" t="s">
        <v>7739</v>
      </c>
      <c r="P291" s="1081"/>
      <c r="Q291" s="1103">
        <v>50</v>
      </c>
      <c r="R291" s="1082" t="s">
        <v>7967</v>
      </c>
      <c r="S291" s="1082"/>
      <c r="T291" s="1082"/>
      <c r="U291" s="1082"/>
      <c r="V291" s="1129">
        <f>H291+45</f>
        <v>45842</v>
      </c>
      <c r="W291" s="1082"/>
    </row>
    <row r="297" spans="5:23" x14ac:dyDescent="0.45">
      <c r="Q297" s="1089">
        <f>SUM(Q286:Q296)</f>
        <v>350</v>
      </c>
      <c r="R297" s="1089">
        <f>SUM(R286:R296)</f>
        <v>0</v>
      </c>
      <c r="S297" s="1089"/>
    </row>
  </sheetData>
  <pageMargins left="0.7" right="0.7" top="0.75" bottom="0.75" header="0.3" footer="0.3"/>
  <pageSetup paperSize="9" scale="42" fitToHeight="0" orientation="landscape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>
    <pageSetUpPr fitToPage="1"/>
  </sheetPr>
  <dimension ref="A1:K8"/>
  <sheetViews>
    <sheetView showGridLines="0" workbookViewId="0">
      <selection activeCell="J24" sqref="J24"/>
    </sheetView>
  </sheetViews>
  <sheetFormatPr defaultRowHeight="12.75" x14ac:dyDescent="0.35"/>
  <cols>
    <col min="1" max="1" width="23.53125" style="1205" customWidth="1"/>
    <col min="2" max="2" width="12.19921875" style="1205" hidden="1" customWidth="1"/>
    <col min="3" max="3" width="22.19921875" style="1205" customWidth="1"/>
    <col min="4" max="4" width="17.19921875" style="1205" customWidth="1"/>
    <col min="5" max="5" width="18.46484375" style="1205" customWidth="1"/>
    <col min="6" max="6" width="9.46484375" style="1205" customWidth="1"/>
    <col min="7" max="7" width="9.1328125" style="1205" customWidth="1"/>
    <col min="8" max="8" width="3.33203125" style="1205" hidden="1" customWidth="1"/>
    <col min="9" max="9" width="16.796875" style="1205" customWidth="1"/>
    <col min="10" max="10" width="28.46484375" style="1205" customWidth="1"/>
    <col min="11" max="11" width="48.46484375" style="1205" customWidth="1"/>
  </cols>
  <sheetData>
    <row r="1" spans="1:11" ht="26" customHeight="1" x14ac:dyDescent="0.35">
      <c r="A1" s="1090" t="s">
        <v>7720</v>
      </c>
      <c r="B1" s="1090" t="s">
        <v>7721</v>
      </c>
      <c r="C1" s="1090" t="s">
        <v>7722</v>
      </c>
      <c r="D1" s="1090" t="s">
        <v>7723</v>
      </c>
      <c r="E1" s="1090" t="s">
        <v>7724</v>
      </c>
      <c r="F1" s="1090" t="s">
        <v>7725</v>
      </c>
      <c r="G1" s="1090" t="s">
        <v>7726</v>
      </c>
      <c r="H1" s="1090" t="s">
        <v>4344</v>
      </c>
      <c r="I1" s="1097" t="s">
        <v>7727</v>
      </c>
      <c r="J1" s="1090" t="s">
        <v>7728</v>
      </c>
      <c r="K1" s="1090" t="s">
        <v>7968</v>
      </c>
    </row>
    <row r="2" spans="1:11" ht="26" customHeight="1" x14ac:dyDescent="0.35">
      <c r="A2" s="1090"/>
      <c r="B2" s="1090"/>
      <c r="C2" s="1090"/>
      <c r="D2" s="1090"/>
      <c r="E2" s="1090"/>
      <c r="F2" s="1090"/>
      <c r="G2" s="1090"/>
      <c r="H2" s="1090"/>
      <c r="I2" s="1090"/>
      <c r="J2" s="1090"/>
    </row>
    <row r="7" spans="1:11" ht="43.9" customHeight="1" x14ac:dyDescent="0.35">
      <c r="A7" s="1091" t="s">
        <v>7053</v>
      </c>
      <c r="B7" s="1092" t="s">
        <v>7736</v>
      </c>
      <c r="C7" s="1092" t="s">
        <v>604</v>
      </c>
      <c r="D7" s="1095">
        <v>45745</v>
      </c>
      <c r="E7" s="1095">
        <v>45745</v>
      </c>
      <c r="F7" s="1096">
        <v>0.41666666666666669</v>
      </c>
      <c r="G7" s="1096">
        <v>0.52083333333333337</v>
      </c>
      <c r="H7" s="1093"/>
      <c r="I7" s="1093" t="s">
        <v>952</v>
      </c>
      <c r="J7" s="1094" t="s">
        <v>7054</v>
      </c>
      <c r="K7" s="1094"/>
    </row>
    <row r="8" spans="1:11" ht="44" customHeight="1" x14ac:dyDescent="0.35">
      <c r="A8" s="1091"/>
      <c r="B8" s="1092"/>
      <c r="C8" s="1092"/>
      <c r="D8" s="1095"/>
      <c r="E8" s="1095"/>
      <c r="F8" s="1096"/>
      <c r="G8" s="1096"/>
      <c r="H8" s="1093"/>
      <c r="I8" s="1093"/>
      <c r="J8" s="1094"/>
      <c r="K8" s="1094"/>
    </row>
  </sheetData>
  <pageMargins left="0.25" right="0.25" top="0.75" bottom="0.75" header="0.3" footer="0.3"/>
  <pageSetup paperSize="9" scale="75" orientation="landscape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>
    <pageSetUpPr fitToPage="1"/>
  </sheetPr>
  <dimension ref="A2:AD94"/>
  <sheetViews>
    <sheetView workbookViewId="0">
      <pane ySplit="2" topLeftCell="A59" activePane="bottomLeft" state="frozen"/>
      <selection pane="bottomLeft" activeCell="H65" sqref="H65:H94"/>
    </sheetView>
  </sheetViews>
  <sheetFormatPr defaultRowHeight="12.75" x14ac:dyDescent="0.35"/>
  <cols>
    <col min="1" max="1" width="14.6640625" style="1205" bestFit="1" customWidth="1"/>
    <col min="2" max="2" width="18.796875" style="1205" bestFit="1" customWidth="1"/>
    <col min="3" max="3" width="7.1328125" style="1205" bestFit="1" customWidth="1"/>
    <col min="4" max="4" width="6.46484375" style="1205" bestFit="1" customWidth="1"/>
    <col min="5" max="5" width="12.53125" style="1205" bestFit="1" customWidth="1"/>
    <col min="6" max="6" width="13.1328125" style="1205" bestFit="1" customWidth="1"/>
    <col min="7" max="7" width="7.46484375" style="1205" bestFit="1" customWidth="1"/>
    <col min="8" max="8" width="10" style="1205" bestFit="1" customWidth="1"/>
    <col min="9" max="9" width="6.1328125" style="1205" bestFit="1" customWidth="1"/>
    <col min="10" max="10" width="28.796875" style="1205" customWidth="1"/>
    <col min="11" max="11" width="4.796875" style="1205" bestFit="1" customWidth="1"/>
    <col min="12" max="12" width="9.46484375" style="1205" bestFit="1" customWidth="1"/>
    <col min="13" max="13" width="14.19921875" style="1205" bestFit="1" customWidth="1"/>
    <col min="14" max="14" width="4.33203125" style="1205" bestFit="1" customWidth="1"/>
    <col min="15" max="15" width="14.46484375" style="1205" bestFit="1" customWidth="1"/>
    <col min="16" max="16" width="10.46484375" style="1205" customWidth="1"/>
  </cols>
  <sheetData>
    <row r="2" spans="1:30" ht="14.65" customHeight="1" x14ac:dyDescent="0.35">
      <c r="P2" s="1231">
        <v>45399</v>
      </c>
      <c r="Q2" s="1221"/>
      <c r="R2" s="1230">
        <v>45400</v>
      </c>
      <c r="S2" s="1221"/>
      <c r="T2" s="1231">
        <v>45401</v>
      </c>
      <c r="U2" s="1221"/>
      <c r="V2" s="1230">
        <v>45402</v>
      </c>
      <c r="W2" s="1221"/>
      <c r="X2" s="1231">
        <v>45403</v>
      </c>
      <c r="Y2" s="1221"/>
      <c r="Z2" s="1230">
        <v>45404</v>
      </c>
      <c r="AA2" s="1221"/>
      <c r="AB2" s="1231">
        <v>45405</v>
      </c>
      <c r="AC2" s="1221"/>
    </row>
    <row r="3" spans="1:30" ht="13.15" customHeight="1" x14ac:dyDescent="0.4">
      <c r="P3" s="1030" t="s">
        <v>7969</v>
      </c>
      <c r="Q3" s="1030" t="s">
        <v>3760</v>
      </c>
      <c r="R3" s="297" t="s">
        <v>7969</v>
      </c>
      <c r="S3" s="297" t="s">
        <v>3760</v>
      </c>
      <c r="T3" s="1030" t="s">
        <v>7969</v>
      </c>
      <c r="U3" s="1030" t="s">
        <v>3760</v>
      </c>
      <c r="V3" s="297" t="s">
        <v>7969</v>
      </c>
      <c r="W3" s="297" t="s">
        <v>3760</v>
      </c>
      <c r="X3" s="1030" t="s">
        <v>7969</v>
      </c>
      <c r="Y3" s="1030" t="s">
        <v>3760</v>
      </c>
      <c r="Z3" s="297" t="s">
        <v>7969</v>
      </c>
      <c r="AA3" s="297" t="s">
        <v>3760</v>
      </c>
      <c r="AB3" s="1030" t="s">
        <v>7969</v>
      </c>
      <c r="AC3" s="1030" t="s">
        <v>3760</v>
      </c>
    </row>
    <row r="4" spans="1:30" ht="14.65" customHeight="1" x14ac:dyDescent="0.35">
      <c r="A4" s="851">
        <v>45409</v>
      </c>
      <c r="B4" s="783" t="s">
        <v>2486</v>
      </c>
      <c r="C4" s="783" t="s">
        <v>7969</v>
      </c>
      <c r="D4" s="783" t="s">
        <v>5375</v>
      </c>
      <c r="E4" s="783" t="s">
        <v>174</v>
      </c>
      <c r="F4" s="784" t="s">
        <v>5311</v>
      </c>
      <c r="G4" s="785">
        <v>45331</v>
      </c>
      <c r="H4" s="786">
        <v>99</v>
      </c>
      <c r="I4" s="784">
        <v>0</v>
      </c>
      <c r="J4" s="287" t="s">
        <v>7970</v>
      </c>
      <c r="K4" s="1026" t="s">
        <v>4664</v>
      </c>
      <c r="L4" s="1027" t="s">
        <v>4039</v>
      </c>
      <c r="M4" s="1028" t="s">
        <v>7971</v>
      </c>
      <c r="N4" s="829" t="s">
        <v>4749</v>
      </c>
      <c r="O4" s="967" t="s">
        <v>7972</v>
      </c>
      <c r="P4" s="1032"/>
      <c r="Q4" s="1032"/>
      <c r="R4" s="568"/>
      <c r="S4" s="568"/>
      <c r="T4" s="1032"/>
      <c r="U4" s="1032"/>
      <c r="V4" s="998">
        <v>1</v>
      </c>
      <c r="W4" s="568"/>
      <c r="X4" s="1032"/>
      <c r="Y4" s="1032"/>
      <c r="Z4" s="568"/>
      <c r="AA4" s="568"/>
      <c r="AB4" s="1032"/>
      <c r="AC4" s="1032"/>
      <c r="AD4" s="955">
        <f t="shared" ref="AD4:AD25" si="0">SUM(P4:AC4)</f>
        <v>1</v>
      </c>
    </row>
    <row r="5" spans="1:30" ht="14.65" customHeight="1" x14ac:dyDescent="0.35">
      <c r="A5" s="851">
        <v>45409</v>
      </c>
      <c r="B5" s="783" t="s">
        <v>2486</v>
      </c>
      <c r="C5" s="783" t="s">
        <v>7969</v>
      </c>
      <c r="D5" s="783" t="s">
        <v>5375</v>
      </c>
      <c r="E5" s="783" t="s">
        <v>174</v>
      </c>
      <c r="F5" s="784" t="s">
        <v>5278</v>
      </c>
      <c r="G5" s="785">
        <v>45334</v>
      </c>
      <c r="H5" s="786">
        <v>99</v>
      </c>
      <c r="I5" s="784">
        <v>0</v>
      </c>
      <c r="J5" s="287" t="s">
        <v>7973</v>
      </c>
      <c r="K5" s="1026" t="s">
        <v>4664</v>
      </c>
      <c r="L5" s="1027" t="s">
        <v>7974</v>
      </c>
      <c r="M5" s="1028" t="s">
        <v>7975</v>
      </c>
      <c r="N5" s="829" t="s">
        <v>7559</v>
      </c>
      <c r="O5" s="967" t="s">
        <v>7976</v>
      </c>
      <c r="P5" s="1032"/>
      <c r="Q5" s="1032"/>
      <c r="R5" s="568"/>
      <c r="S5" s="568"/>
      <c r="T5" s="1032"/>
      <c r="U5" s="1032"/>
      <c r="V5" s="568">
        <v>1</v>
      </c>
      <c r="W5" s="568"/>
      <c r="X5" s="1032">
        <v>1</v>
      </c>
      <c r="Y5" s="1032">
        <v>1</v>
      </c>
      <c r="Z5" s="568"/>
      <c r="AA5" s="568"/>
      <c r="AB5" s="1032"/>
      <c r="AC5" s="1032"/>
      <c r="AD5" s="955">
        <f t="shared" si="0"/>
        <v>3</v>
      </c>
    </row>
    <row r="6" spans="1:30" ht="14.65" customHeight="1" x14ac:dyDescent="0.35">
      <c r="A6" s="851">
        <v>45409</v>
      </c>
      <c r="B6" s="783" t="s">
        <v>2486</v>
      </c>
      <c r="C6" s="783" t="s">
        <v>7969</v>
      </c>
      <c r="D6" s="783" t="s">
        <v>5375</v>
      </c>
      <c r="E6" s="783" t="s">
        <v>111</v>
      </c>
      <c r="F6" s="787" t="s">
        <v>7977</v>
      </c>
      <c r="G6" s="785">
        <v>45361</v>
      </c>
      <c r="H6" s="786">
        <v>100</v>
      </c>
      <c r="I6" s="784">
        <v>0</v>
      </c>
      <c r="J6" s="287" t="s">
        <v>7978</v>
      </c>
      <c r="K6" s="930" t="s">
        <v>4955</v>
      </c>
      <c r="L6" s="930" t="s">
        <v>7979</v>
      </c>
      <c r="M6" s="930" t="s">
        <v>7980</v>
      </c>
      <c r="N6" s="791"/>
      <c r="O6" s="791" t="s">
        <v>7981</v>
      </c>
      <c r="P6" s="1032"/>
      <c r="Q6" s="1032"/>
      <c r="R6" s="568">
        <v>1</v>
      </c>
      <c r="S6" s="568">
        <v>1</v>
      </c>
      <c r="T6" s="1032">
        <v>1</v>
      </c>
      <c r="U6" s="1032">
        <v>1</v>
      </c>
      <c r="V6" s="568"/>
      <c r="W6" s="568"/>
      <c r="X6" s="1032"/>
      <c r="Y6" s="1032"/>
      <c r="Z6" s="568"/>
      <c r="AA6" s="568"/>
      <c r="AB6" s="1032"/>
      <c r="AC6" s="1032"/>
      <c r="AD6" s="955">
        <f t="shared" si="0"/>
        <v>4</v>
      </c>
    </row>
    <row r="7" spans="1:30" ht="14.65" customHeight="1" x14ac:dyDescent="0.35">
      <c r="A7" s="851">
        <v>45409</v>
      </c>
      <c r="B7" s="783" t="s">
        <v>2486</v>
      </c>
      <c r="C7" s="783" t="s">
        <v>7969</v>
      </c>
      <c r="D7" s="783" t="s">
        <v>5375</v>
      </c>
      <c r="E7" s="783" t="s">
        <v>175</v>
      </c>
      <c r="F7" s="787" t="s">
        <v>7982</v>
      </c>
      <c r="G7" s="785">
        <v>45386</v>
      </c>
      <c r="H7" s="786">
        <v>99</v>
      </c>
      <c r="I7" s="784">
        <v>0</v>
      </c>
      <c r="J7" s="287" t="s">
        <v>6503</v>
      </c>
      <c r="K7" s="930" t="s">
        <v>4664</v>
      </c>
      <c r="L7" s="930" t="s">
        <v>4761</v>
      </c>
      <c r="M7" s="930" t="s">
        <v>7983</v>
      </c>
      <c r="N7" s="791" t="s">
        <v>4765</v>
      </c>
      <c r="O7" s="791" t="s">
        <v>7984</v>
      </c>
      <c r="P7" s="1032"/>
      <c r="Q7" s="1032"/>
      <c r="R7" s="568"/>
      <c r="S7" s="568"/>
      <c r="T7" s="1032"/>
      <c r="U7" s="1032"/>
      <c r="V7" s="568">
        <v>1</v>
      </c>
      <c r="W7" s="568"/>
      <c r="X7" s="1032">
        <v>1</v>
      </c>
      <c r="Y7" s="1032"/>
      <c r="Z7" s="568"/>
      <c r="AA7" s="568"/>
      <c r="AB7" s="1032"/>
      <c r="AC7" s="1032"/>
      <c r="AD7" s="955">
        <f t="shared" si="0"/>
        <v>2</v>
      </c>
    </row>
    <row r="8" spans="1:30" ht="14.65" customHeight="1" x14ac:dyDescent="0.35">
      <c r="A8" s="851">
        <v>45409</v>
      </c>
      <c r="B8" s="783" t="s">
        <v>2486</v>
      </c>
      <c r="C8" s="783" t="s">
        <v>3760</v>
      </c>
      <c r="D8" s="783" t="s">
        <v>5375</v>
      </c>
      <c r="E8" s="783" t="s">
        <v>174</v>
      </c>
      <c r="F8" s="784" t="s">
        <v>7985</v>
      </c>
      <c r="G8" s="785">
        <v>45082</v>
      </c>
      <c r="H8" s="786">
        <v>99</v>
      </c>
      <c r="I8" s="784">
        <v>0</v>
      </c>
      <c r="J8" s="287" t="s">
        <v>7986</v>
      </c>
      <c r="K8" s="930" t="s">
        <v>4955</v>
      </c>
      <c r="L8" s="930" t="s">
        <v>4559</v>
      </c>
      <c r="M8" s="930" t="s">
        <v>7987</v>
      </c>
      <c r="N8" s="791" t="s">
        <v>4866</v>
      </c>
      <c r="O8" s="791" t="s">
        <v>7988</v>
      </c>
      <c r="P8" s="1032"/>
      <c r="Q8" s="1032"/>
      <c r="R8" s="568"/>
      <c r="S8" s="568"/>
      <c r="T8" s="1032"/>
      <c r="U8" s="1032"/>
      <c r="V8" s="568"/>
      <c r="W8" s="568"/>
      <c r="X8" s="1032"/>
      <c r="Y8" s="1034">
        <v>1</v>
      </c>
      <c r="Z8" s="568"/>
      <c r="AA8" s="568"/>
      <c r="AB8" s="1032"/>
      <c r="AC8" s="1032"/>
      <c r="AD8" s="955">
        <f t="shared" si="0"/>
        <v>1</v>
      </c>
    </row>
    <row r="9" spans="1:30" ht="14.65" customHeight="1" x14ac:dyDescent="0.35">
      <c r="A9" s="851">
        <v>45410</v>
      </c>
      <c r="B9" s="783" t="s">
        <v>2486</v>
      </c>
      <c r="C9" s="783" t="s">
        <v>7969</v>
      </c>
      <c r="D9" s="783" t="s">
        <v>5375</v>
      </c>
      <c r="E9" s="783" t="s">
        <v>174</v>
      </c>
      <c r="F9" s="784" t="s">
        <v>7448</v>
      </c>
      <c r="G9" s="785">
        <v>45237</v>
      </c>
      <c r="H9" s="786">
        <v>125</v>
      </c>
      <c r="I9" s="784">
        <v>0</v>
      </c>
      <c r="J9" s="287" t="s">
        <v>7451</v>
      </c>
      <c r="K9" s="1026"/>
      <c r="L9" s="1027" t="s">
        <v>7449</v>
      </c>
      <c r="M9" s="1028" t="s">
        <v>7450</v>
      </c>
      <c r="N9" s="829" t="s">
        <v>4755</v>
      </c>
      <c r="O9" s="829" t="s">
        <v>7452</v>
      </c>
      <c r="P9" s="1032"/>
      <c r="Q9" s="1032"/>
      <c r="R9" s="568"/>
      <c r="S9" s="568"/>
      <c r="T9" s="1032"/>
      <c r="U9" s="1032"/>
      <c r="V9" s="568"/>
      <c r="W9" s="568"/>
      <c r="X9" s="1032">
        <v>1</v>
      </c>
      <c r="Y9" s="1032"/>
      <c r="Z9" s="568"/>
      <c r="AA9" s="568">
        <v>1</v>
      </c>
      <c r="AB9" s="1032">
        <v>1</v>
      </c>
      <c r="AC9" s="1032">
        <v>1</v>
      </c>
      <c r="AD9" s="955">
        <f t="shared" si="0"/>
        <v>4</v>
      </c>
    </row>
    <row r="10" spans="1:30" ht="14.65" customHeight="1" x14ac:dyDescent="0.35">
      <c r="A10" s="851">
        <v>45410</v>
      </c>
      <c r="B10" s="783" t="s">
        <v>2486</v>
      </c>
      <c r="C10" s="783" t="s">
        <v>7969</v>
      </c>
      <c r="D10" s="783" t="s">
        <v>5375</v>
      </c>
      <c r="E10" s="783" t="s">
        <v>175</v>
      </c>
      <c r="F10" s="784" t="s">
        <v>7989</v>
      </c>
      <c r="G10" s="785">
        <v>45344</v>
      </c>
      <c r="H10" s="786">
        <v>99</v>
      </c>
      <c r="I10" s="784">
        <v>0</v>
      </c>
      <c r="J10" s="549" t="s">
        <v>7990</v>
      </c>
      <c r="K10" s="86" t="s">
        <v>5045</v>
      </c>
      <c r="L10" s="140" t="s">
        <v>7991</v>
      </c>
      <c r="M10" s="140" t="s">
        <v>7992</v>
      </c>
      <c r="N10" s="551" t="s">
        <v>6512</v>
      </c>
      <c r="O10" s="146" t="s">
        <v>7993</v>
      </c>
      <c r="P10" s="1032"/>
      <c r="Q10" s="1032"/>
      <c r="R10" s="568"/>
      <c r="S10" s="568"/>
      <c r="T10" s="1032"/>
      <c r="U10" s="1032"/>
      <c r="V10" s="568"/>
      <c r="W10" s="568"/>
      <c r="X10" s="1032"/>
      <c r="Y10" s="1034">
        <v>1</v>
      </c>
      <c r="Z10" s="568"/>
      <c r="AA10" s="568"/>
      <c r="AB10" s="1032"/>
      <c r="AC10" s="1032"/>
      <c r="AD10" s="955">
        <f t="shared" si="0"/>
        <v>1</v>
      </c>
    </row>
    <row r="11" spans="1:30" ht="14.65" customHeight="1" x14ac:dyDescent="0.35">
      <c r="A11" s="851">
        <v>45411</v>
      </c>
      <c r="B11" s="880" t="s">
        <v>2486</v>
      </c>
      <c r="C11" s="783" t="s">
        <v>7969</v>
      </c>
      <c r="D11" s="783" t="s">
        <v>5375</v>
      </c>
      <c r="E11" s="783" t="s">
        <v>175</v>
      </c>
      <c r="F11" s="784" t="s">
        <v>5283</v>
      </c>
      <c r="G11" s="785">
        <v>45077</v>
      </c>
      <c r="H11" s="786">
        <v>125</v>
      </c>
      <c r="I11" s="784">
        <v>0</v>
      </c>
      <c r="J11" s="549" t="s">
        <v>7994</v>
      </c>
      <c r="K11" s="929" t="s">
        <v>4664</v>
      </c>
      <c r="L11" s="140" t="s">
        <v>5834</v>
      </c>
      <c r="M11" s="140" t="s">
        <v>6536</v>
      </c>
      <c r="N11" s="551" t="s">
        <v>5014</v>
      </c>
      <c r="O11" s="146" t="s">
        <v>7995</v>
      </c>
      <c r="P11" s="1032">
        <v>1</v>
      </c>
      <c r="Q11" s="1032"/>
      <c r="R11" s="568">
        <v>1</v>
      </c>
      <c r="S11" s="568">
        <v>1</v>
      </c>
      <c r="T11" s="1032">
        <v>1</v>
      </c>
      <c r="U11" s="1032">
        <v>1</v>
      </c>
      <c r="V11" s="568"/>
      <c r="W11" s="568"/>
      <c r="X11" s="1032"/>
      <c r="Y11" s="1032"/>
      <c r="Z11" s="568"/>
      <c r="AA11" s="568"/>
      <c r="AB11" s="1032"/>
      <c r="AC11" s="1032"/>
      <c r="AD11" s="955">
        <f t="shared" si="0"/>
        <v>5</v>
      </c>
    </row>
    <row r="12" spans="1:30" ht="14.65" customHeight="1" x14ac:dyDescent="0.35">
      <c r="A12" s="851">
        <v>45412</v>
      </c>
      <c r="B12" s="880" t="s">
        <v>2486</v>
      </c>
      <c r="C12" s="783" t="s">
        <v>3760</v>
      </c>
      <c r="D12" s="783" t="s">
        <v>5375</v>
      </c>
      <c r="E12" s="783" t="s">
        <v>175</v>
      </c>
      <c r="F12" s="784" t="s">
        <v>7996</v>
      </c>
      <c r="G12" s="785">
        <v>45377</v>
      </c>
      <c r="H12" s="786">
        <v>99</v>
      </c>
      <c r="I12" s="784">
        <v>0</v>
      </c>
      <c r="J12" s="549" t="s">
        <v>7997</v>
      </c>
      <c r="K12" s="929" t="s">
        <v>4664</v>
      </c>
      <c r="L12" s="140" t="s">
        <v>3993</v>
      </c>
      <c r="M12" s="140" t="s">
        <v>7998</v>
      </c>
      <c r="N12" s="551" t="s">
        <v>5454</v>
      </c>
      <c r="O12" s="146" t="s">
        <v>7999</v>
      </c>
      <c r="P12" s="1032"/>
      <c r="Q12" s="1032"/>
      <c r="R12" s="568"/>
      <c r="S12" s="568">
        <v>1</v>
      </c>
      <c r="T12" s="1032"/>
      <c r="U12" s="1032"/>
      <c r="V12" s="568"/>
      <c r="W12" s="568"/>
      <c r="X12" s="1032"/>
      <c r="Y12" s="1032"/>
      <c r="Z12" s="568"/>
      <c r="AA12" s="568">
        <v>1</v>
      </c>
      <c r="AB12" s="1032"/>
      <c r="AC12" s="1032">
        <v>1</v>
      </c>
      <c r="AD12" s="955">
        <f t="shared" si="0"/>
        <v>3</v>
      </c>
    </row>
    <row r="13" spans="1:30" ht="14.65" customHeight="1" x14ac:dyDescent="0.35">
      <c r="A13" s="851">
        <v>45412</v>
      </c>
      <c r="B13" s="783" t="s">
        <v>2486</v>
      </c>
      <c r="C13" s="783" t="s">
        <v>6470</v>
      </c>
      <c r="D13" s="783" t="s">
        <v>5509</v>
      </c>
      <c r="E13" s="783" t="s">
        <v>175</v>
      </c>
      <c r="F13" s="784" t="s">
        <v>8000</v>
      </c>
      <c r="G13" s="785">
        <v>45378</v>
      </c>
      <c r="H13" s="786">
        <v>150</v>
      </c>
      <c r="I13" s="784">
        <v>0</v>
      </c>
      <c r="J13" s="881" t="s">
        <v>8001</v>
      </c>
      <c r="K13" s="1029" t="s">
        <v>4664</v>
      </c>
      <c r="L13" s="1029" t="s">
        <v>8002</v>
      </c>
      <c r="M13" s="1029" t="s">
        <v>3998</v>
      </c>
      <c r="N13" s="882" t="s">
        <v>4749</v>
      </c>
      <c r="O13" s="791" t="s">
        <v>8003</v>
      </c>
      <c r="P13" s="1032">
        <v>1</v>
      </c>
      <c r="Q13" s="1032">
        <v>1</v>
      </c>
      <c r="R13" s="568"/>
      <c r="S13" s="568"/>
      <c r="T13" s="1032">
        <v>1</v>
      </c>
      <c r="U13" s="1032">
        <v>1</v>
      </c>
      <c r="V13" s="568"/>
      <c r="W13" s="568"/>
      <c r="X13" s="1032"/>
      <c r="Y13" s="1032"/>
      <c r="Z13" s="568">
        <v>1</v>
      </c>
      <c r="AA13" s="568">
        <v>1</v>
      </c>
      <c r="AB13" s="1032">
        <v>1</v>
      </c>
      <c r="AC13" s="1032">
        <v>1</v>
      </c>
      <c r="AD13" s="955">
        <f t="shared" si="0"/>
        <v>8</v>
      </c>
    </row>
    <row r="14" spans="1:30" ht="25.5" customHeight="1" x14ac:dyDescent="0.35">
      <c r="A14" s="851">
        <v>45412</v>
      </c>
      <c r="B14" s="783" t="s">
        <v>2486</v>
      </c>
      <c r="C14" s="783" t="s">
        <v>6470</v>
      </c>
      <c r="D14" s="783" t="s">
        <v>5509</v>
      </c>
      <c r="E14" s="783" t="s">
        <v>175</v>
      </c>
      <c r="F14" s="784" t="s">
        <v>8004</v>
      </c>
      <c r="G14" s="785">
        <v>45380</v>
      </c>
      <c r="H14" s="786">
        <v>140</v>
      </c>
      <c r="I14" s="784">
        <v>0</v>
      </c>
      <c r="J14" s="549" t="s">
        <v>6842</v>
      </c>
      <c r="K14" s="929" t="s">
        <v>4955</v>
      </c>
      <c r="L14" s="140" t="s">
        <v>4262</v>
      </c>
      <c r="M14" s="140" t="s">
        <v>4271</v>
      </c>
      <c r="N14" s="551" t="s">
        <v>5008</v>
      </c>
      <c r="O14" s="146" t="s">
        <v>4530</v>
      </c>
      <c r="P14" s="1032"/>
      <c r="Q14" s="1032"/>
      <c r="R14" s="568"/>
      <c r="S14" s="568"/>
      <c r="T14" s="1032"/>
      <c r="U14" s="1032"/>
      <c r="V14" s="568">
        <v>1</v>
      </c>
      <c r="W14" s="568">
        <v>1</v>
      </c>
      <c r="X14" s="1032">
        <v>1</v>
      </c>
      <c r="Y14" s="1032">
        <v>1</v>
      </c>
      <c r="Z14" s="568">
        <v>1</v>
      </c>
      <c r="AA14" s="568">
        <v>1</v>
      </c>
      <c r="AB14" s="1032">
        <v>1</v>
      </c>
      <c r="AC14" s="1032">
        <v>1</v>
      </c>
      <c r="AD14" s="955">
        <f t="shared" si="0"/>
        <v>8</v>
      </c>
    </row>
    <row r="15" spans="1:30" ht="14.65" customHeight="1" x14ac:dyDescent="0.35">
      <c r="A15" s="851">
        <v>45413</v>
      </c>
      <c r="B15" s="783" t="s">
        <v>2486</v>
      </c>
      <c r="C15" s="783" t="s">
        <v>7969</v>
      </c>
      <c r="D15" s="783" t="s">
        <v>5375</v>
      </c>
      <c r="E15" s="783" t="s">
        <v>111</v>
      </c>
      <c r="F15" s="784"/>
      <c r="G15" s="785">
        <v>45313</v>
      </c>
      <c r="H15" s="786">
        <v>79.2</v>
      </c>
      <c r="I15" s="784">
        <v>0</v>
      </c>
      <c r="J15" s="549" t="s">
        <v>8005</v>
      </c>
      <c r="K15" s="872" t="s">
        <v>4664</v>
      </c>
      <c r="L15" s="609" t="s">
        <v>8006</v>
      </c>
      <c r="M15" s="609" t="s">
        <v>8007</v>
      </c>
      <c r="N15" s="551"/>
      <c r="O15" s="146" t="s">
        <v>8008</v>
      </c>
      <c r="P15" s="1032"/>
      <c r="Q15" s="1032"/>
      <c r="R15" s="568"/>
      <c r="S15" s="568"/>
      <c r="T15" s="1032"/>
      <c r="U15" s="1032"/>
      <c r="V15" s="568"/>
      <c r="W15" s="568"/>
      <c r="X15" s="1032"/>
      <c r="Y15" s="1032"/>
      <c r="Z15" s="568"/>
      <c r="AA15" s="568"/>
      <c r="AB15" s="1032"/>
      <c r="AC15" s="1032"/>
      <c r="AD15" s="955">
        <f t="shared" si="0"/>
        <v>0</v>
      </c>
    </row>
    <row r="16" spans="1:30" ht="14.65" customHeight="1" x14ac:dyDescent="0.35">
      <c r="A16" s="851">
        <v>45413</v>
      </c>
      <c r="B16" s="783" t="s">
        <v>2486</v>
      </c>
      <c r="C16" s="783" t="s">
        <v>7969</v>
      </c>
      <c r="D16" s="783" t="s">
        <v>5375</v>
      </c>
      <c r="E16" s="783" t="s">
        <v>111</v>
      </c>
      <c r="F16" s="784"/>
      <c r="G16" s="785">
        <v>45362</v>
      </c>
      <c r="H16" s="786">
        <v>79.2</v>
      </c>
      <c r="I16" s="784">
        <v>0</v>
      </c>
      <c r="J16" s="549" t="s">
        <v>8009</v>
      </c>
      <c r="K16" s="929" t="s">
        <v>4955</v>
      </c>
      <c r="L16" s="140" t="s">
        <v>8010</v>
      </c>
      <c r="M16" s="140" t="s">
        <v>4264</v>
      </c>
      <c r="N16" s="551"/>
      <c r="O16" s="146" t="s">
        <v>8011</v>
      </c>
      <c r="P16" s="1032"/>
      <c r="Q16" s="1032"/>
      <c r="R16" s="568">
        <v>1</v>
      </c>
      <c r="S16" s="568"/>
      <c r="T16" s="1032">
        <v>1</v>
      </c>
      <c r="U16" s="1032"/>
      <c r="V16" s="568">
        <v>1</v>
      </c>
      <c r="W16" s="568"/>
      <c r="X16" s="1032">
        <v>1</v>
      </c>
      <c r="Y16" s="1032"/>
      <c r="Z16" s="568">
        <v>1</v>
      </c>
      <c r="AA16" s="568"/>
      <c r="AB16" s="1032">
        <v>1</v>
      </c>
      <c r="AC16" s="1032"/>
      <c r="AD16" s="955">
        <f t="shared" si="0"/>
        <v>6</v>
      </c>
    </row>
    <row r="17" spans="1:30" ht="14.65" customHeight="1" x14ac:dyDescent="0.35">
      <c r="A17" s="851">
        <v>45413</v>
      </c>
      <c r="B17" s="783" t="s">
        <v>2486</v>
      </c>
      <c r="C17" s="783" t="s">
        <v>3760</v>
      </c>
      <c r="D17" s="783" t="s">
        <v>5375</v>
      </c>
      <c r="E17" s="783" t="s">
        <v>175</v>
      </c>
      <c r="F17" s="784" t="s">
        <v>8012</v>
      </c>
      <c r="G17" s="785">
        <v>45377</v>
      </c>
      <c r="H17" s="786">
        <v>99</v>
      </c>
      <c r="I17" s="784">
        <v>0</v>
      </c>
      <c r="J17" s="549" t="s">
        <v>8013</v>
      </c>
      <c r="K17" s="929" t="s">
        <v>4664</v>
      </c>
      <c r="L17" s="140" t="s">
        <v>518</v>
      </c>
      <c r="M17" s="140" t="s">
        <v>8014</v>
      </c>
      <c r="N17" s="551" t="s">
        <v>5485</v>
      </c>
      <c r="O17" s="146" t="s">
        <v>8015</v>
      </c>
      <c r="P17" s="1032"/>
      <c r="Q17" s="1032">
        <v>1</v>
      </c>
      <c r="R17" s="568"/>
      <c r="S17" s="568"/>
      <c r="T17" s="1032"/>
      <c r="U17" s="1032"/>
      <c r="V17" s="568"/>
      <c r="W17" s="568">
        <v>1</v>
      </c>
      <c r="X17" s="1032"/>
      <c r="Y17" s="1032">
        <v>1</v>
      </c>
      <c r="Z17" s="568"/>
      <c r="AA17" s="568"/>
      <c r="AB17" s="1032"/>
      <c r="AC17" s="1032"/>
      <c r="AD17" s="955">
        <f t="shared" si="0"/>
        <v>3</v>
      </c>
    </row>
    <row r="18" spans="1:30" ht="14.65" customHeight="1" x14ac:dyDescent="0.35">
      <c r="A18" s="851">
        <v>45414</v>
      </c>
      <c r="B18" s="783" t="s">
        <v>2486</v>
      </c>
      <c r="C18" s="783" t="s">
        <v>7969</v>
      </c>
      <c r="D18" s="783" t="s">
        <v>5375</v>
      </c>
      <c r="E18" s="783" t="s">
        <v>174</v>
      </c>
      <c r="F18" s="784" t="s">
        <v>8016</v>
      </c>
      <c r="G18" s="785">
        <v>45330</v>
      </c>
      <c r="H18" s="786">
        <v>99</v>
      </c>
      <c r="I18" s="784">
        <v>0</v>
      </c>
      <c r="J18" s="549" t="s">
        <v>8017</v>
      </c>
      <c r="K18" s="929" t="s">
        <v>4955</v>
      </c>
      <c r="L18" s="140" t="s">
        <v>2623</v>
      </c>
      <c r="M18" s="140" t="s">
        <v>4135</v>
      </c>
      <c r="N18" s="551" t="s">
        <v>5454</v>
      </c>
      <c r="O18" s="146" t="s">
        <v>8018</v>
      </c>
      <c r="P18" s="1032">
        <v>1</v>
      </c>
      <c r="Q18" s="1032"/>
      <c r="R18" s="568"/>
      <c r="S18" s="568"/>
      <c r="T18" s="1032">
        <v>1</v>
      </c>
      <c r="U18" s="1032"/>
      <c r="V18" s="568"/>
      <c r="W18" s="568"/>
      <c r="X18" s="1032"/>
      <c r="Y18" s="1032"/>
      <c r="Z18" s="568">
        <v>1</v>
      </c>
      <c r="AA18" s="568"/>
      <c r="AB18" s="1032">
        <v>1</v>
      </c>
      <c r="AC18" s="1032"/>
      <c r="AD18" s="955">
        <f t="shared" si="0"/>
        <v>4</v>
      </c>
    </row>
    <row r="19" spans="1:30" ht="14.65" customHeight="1" x14ac:dyDescent="0.35">
      <c r="A19" s="851">
        <v>45414</v>
      </c>
      <c r="B19" s="783" t="s">
        <v>2486</v>
      </c>
      <c r="C19" s="783" t="s">
        <v>7969</v>
      </c>
      <c r="D19" s="783" t="s">
        <v>5375</v>
      </c>
      <c r="E19" s="783" t="s">
        <v>174</v>
      </c>
      <c r="F19" s="784" t="s">
        <v>8016</v>
      </c>
      <c r="G19" s="785">
        <v>45330</v>
      </c>
      <c r="H19" s="786">
        <v>99</v>
      </c>
      <c r="I19" s="784">
        <v>0</v>
      </c>
      <c r="J19" s="549" t="s">
        <v>8017</v>
      </c>
      <c r="K19" s="929" t="s">
        <v>4664</v>
      </c>
      <c r="L19" s="140" t="s">
        <v>6713</v>
      </c>
      <c r="M19" s="140" t="s">
        <v>4135</v>
      </c>
      <c r="N19" s="551" t="s">
        <v>5454</v>
      </c>
      <c r="O19" s="146" t="s">
        <v>8019</v>
      </c>
      <c r="P19" s="1032">
        <v>1</v>
      </c>
      <c r="Q19" s="1032"/>
      <c r="R19" s="568"/>
      <c r="S19" s="568"/>
      <c r="T19" s="1032">
        <v>1</v>
      </c>
      <c r="U19" s="1032"/>
      <c r="V19" s="568"/>
      <c r="W19" s="568"/>
      <c r="X19" s="1032"/>
      <c r="Y19" s="1032"/>
      <c r="Z19" s="568">
        <v>1</v>
      </c>
      <c r="AA19" s="568"/>
      <c r="AB19" s="1032">
        <v>1</v>
      </c>
      <c r="AC19" s="1032"/>
      <c r="AD19" s="955">
        <f t="shared" si="0"/>
        <v>4</v>
      </c>
    </row>
    <row r="20" spans="1:30" ht="14.65" customHeight="1" x14ac:dyDescent="0.35">
      <c r="A20" s="851">
        <v>45414</v>
      </c>
      <c r="B20" s="783" t="s">
        <v>2486</v>
      </c>
      <c r="C20" s="783" t="s">
        <v>3760</v>
      </c>
      <c r="D20" s="783" t="s">
        <v>5375</v>
      </c>
      <c r="E20" s="783" t="s">
        <v>175</v>
      </c>
      <c r="F20" s="784" t="s">
        <v>8020</v>
      </c>
      <c r="G20" s="785">
        <v>45234</v>
      </c>
      <c r="H20" s="786">
        <v>99</v>
      </c>
      <c r="I20" s="784">
        <v>0</v>
      </c>
      <c r="J20" s="549" t="s">
        <v>8021</v>
      </c>
      <c r="K20" s="930" t="s">
        <v>4955</v>
      </c>
      <c r="L20" s="930" t="s">
        <v>8022</v>
      </c>
      <c r="M20" s="930" t="s">
        <v>8023</v>
      </c>
      <c r="N20" s="791" t="s">
        <v>5918</v>
      </c>
      <c r="O20" s="791" t="s">
        <v>8024</v>
      </c>
      <c r="P20" s="1032"/>
      <c r="Q20" s="1032"/>
      <c r="R20" s="568"/>
      <c r="S20" s="568">
        <v>1</v>
      </c>
      <c r="T20" s="1032"/>
      <c r="U20" s="1032">
        <v>1</v>
      </c>
      <c r="V20" s="568"/>
      <c r="W20" s="568">
        <v>1</v>
      </c>
      <c r="X20" s="1032"/>
      <c r="Y20" s="1032">
        <v>1</v>
      </c>
      <c r="Z20" s="568"/>
      <c r="AA20" s="568"/>
      <c r="AB20" s="1032"/>
      <c r="AC20" s="1032">
        <v>1</v>
      </c>
      <c r="AD20" s="955">
        <f t="shared" si="0"/>
        <v>5</v>
      </c>
    </row>
    <row r="21" spans="1:30" ht="14.65" customHeight="1" x14ac:dyDescent="0.35">
      <c r="A21" s="851">
        <v>45417</v>
      </c>
      <c r="B21" s="880" t="s">
        <v>2486</v>
      </c>
      <c r="C21" s="783" t="s">
        <v>3760</v>
      </c>
      <c r="D21" s="783" t="s">
        <v>5374</v>
      </c>
      <c r="E21" s="783" t="s">
        <v>174</v>
      </c>
      <c r="F21" s="784" t="s">
        <v>8025</v>
      </c>
      <c r="G21" s="511">
        <v>45075</v>
      </c>
      <c r="H21" s="786">
        <v>99</v>
      </c>
      <c r="I21" s="784">
        <v>0</v>
      </c>
      <c r="J21" s="767" t="s">
        <v>8026</v>
      </c>
      <c r="K21" s="929" t="s">
        <v>5725</v>
      </c>
      <c r="L21" s="140" t="s">
        <v>4126</v>
      </c>
      <c r="M21" s="140" t="s">
        <v>8027</v>
      </c>
      <c r="N21" s="551" t="s">
        <v>6099</v>
      </c>
      <c r="O21" s="146" t="s">
        <v>8028</v>
      </c>
      <c r="P21" s="1032"/>
      <c r="Q21" s="1032"/>
      <c r="R21" s="568"/>
      <c r="S21" s="998">
        <v>1</v>
      </c>
      <c r="T21" s="1032"/>
      <c r="U21" s="1032"/>
      <c r="V21" s="568"/>
      <c r="W21" s="568"/>
      <c r="X21" s="1032"/>
      <c r="Y21" s="1032"/>
      <c r="Z21" s="568"/>
      <c r="AA21" s="568"/>
      <c r="AB21" s="1032"/>
      <c r="AC21" s="1032"/>
      <c r="AD21" s="955">
        <f t="shared" si="0"/>
        <v>1</v>
      </c>
    </row>
    <row r="22" spans="1:30" ht="14.65" customHeight="1" x14ac:dyDescent="0.35">
      <c r="A22" s="851">
        <v>45417</v>
      </c>
      <c r="B22" s="880" t="s">
        <v>2486</v>
      </c>
      <c r="C22" s="783" t="s">
        <v>3760</v>
      </c>
      <c r="D22" s="84" t="s">
        <v>5375</v>
      </c>
      <c r="E22" s="84" t="s">
        <v>174</v>
      </c>
      <c r="F22" s="87" t="s">
        <v>8029</v>
      </c>
      <c r="G22" s="511">
        <v>45282</v>
      </c>
      <c r="H22" s="507">
        <v>60</v>
      </c>
      <c r="I22" s="484">
        <v>0</v>
      </c>
      <c r="J22" s="545" t="s">
        <v>8030</v>
      </c>
      <c r="K22" s="1026" t="s">
        <v>4955</v>
      </c>
      <c r="L22" s="1027" t="s">
        <v>4179</v>
      </c>
      <c r="M22" s="1027" t="s">
        <v>8031</v>
      </c>
      <c r="N22" s="829" t="s">
        <v>5676</v>
      </c>
      <c r="O22" s="829" t="s">
        <v>8032</v>
      </c>
      <c r="P22" s="1032"/>
      <c r="Q22" s="1032"/>
      <c r="R22" s="568"/>
      <c r="S22" s="568"/>
      <c r="T22" s="1032"/>
      <c r="U22" s="1032"/>
      <c r="V22" s="568"/>
      <c r="W22" s="568"/>
      <c r="X22" s="1032"/>
      <c r="Y22" s="1034">
        <v>1</v>
      </c>
      <c r="Z22" s="568"/>
      <c r="AA22" s="568"/>
      <c r="AB22" s="1032"/>
      <c r="AC22" s="1032"/>
      <c r="AD22" s="955">
        <f t="shared" si="0"/>
        <v>1</v>
      </c>
    </row>
    <row r="23" spans="1:30" ht="14.65" customHeight="1" x14ac:dyDescent="0.35">
      <c r="A23" s="851">
        <v>45417</v>
      </c>
      <c r="B23" s="880" t="s">
        <v>2486</v>
      </c>
      <c r="C23" s="783" t="s">
        <v>3760</v>
      </c>
      <c r="D23" s="84" t="s">
        <v>5375</v>
      </c>
      <c r="E23" s="84" t="s">
        <v>174</v>
      </c>
      <c r="F23" s="87" t="s">
        <v>8029</v>
      </c>
      <c r="G23" s="511">
        <v>45282</v>
      </c>
      <c r="H23" s="507">
        <v>60</v>
      </c>
      <c r="I23" s="484">
        <v>0</v>
      </c>
      <c r="J23" s="545" t="s">
        <v>8030</v>
      </c>
      <c r="K23" s="1026" t="s">
        <v>4955</v>
      </c>
      <c r="L23" s="1027" t="s">
        <v>4179</v>
      </c>
      <c r="M23" s="1027" t="s">
        <v>8031</v>
      </c>
      <c r="N23" s="829" t="s">
        <v>5676</v>
      </c>
      <c r="O23" s="829" t="s">
        <v>8032</v>
      </c>
      <c r="P23" s="1032"/>
      <c r="Q23" s="1032"/>
      <c r="R23" s="568"/>
      <c r="S23" s="568"/>
      <c r="T23" s="1032"/>
      <c r="U23" s="1032"/>
      <c r="V23" s="568"/>
      <c r="W23" s="568"/>
      <c r="X23" s="1032"/>
      <c r="Y23" s="1034">
        <v>1</v>
      </c>
      <c r="Z23" s="568"/>
      <c r="AA23" s="568"/>
      <c r="AB23" s="1032"/>
      <c r="AC23" s="1032"/>
      <c r="AD23" s="955">
        <f t="shared" si="0"/>
        <v>1</v>
      </c>
    </row>
    <row r="24" spans="1:30" ht="14.65" customHeight="1" x14ac:dyDescent="0.35">
      <c r="A24" s="871">
        <v>45404</v>
      </c>
      <c r="B24" s="783" t="s">
        <v>2486</v>
      </c>
      <c r="C24" s="783" t="s">
        <v>7969</v>
      </c>
      <c r="D24" s="783" t="s">
        <v>5375</v>
      </c>
      <c r="E24" s="783" t="s">
        <v>175</v>
      </c>
      <c r="F24" s="543" t="s">
        <v>8033</v>
      </c>
      <c r="G24" s="511">
        <v>45390</v>
      </c>
      <c r="H24">
        <v>99</v>
      </c>
      <c r="I24">
        <v>0</v>
      </c>
      <c r="J24" s="767" t="s">
        <v>8034</v>
      </c>
      <c r="K24" s="929" t="s">
        <v>4664</v>
      </c>
      <c r="L24" s="140" t="s">
        <v>8006</v>
      </c>
      <c r="M24" s="140" t="s">
        <v>8035</v>
      </c>
      <c r="N24" s="1035" t="s">
        <v>4749</v>
      </c>
      <c r="O24" s="1035" t="s">
        <v>8036</v>
      </c>
      <c r="P24" s="1031"/>
      <c r="Q24" s="1031"/>
      <c r="T24" s="1031"/>
      <c r="U24" s="1031"/>
      <c r="X24" s="1031"/>
      <c r="Y24" s="1031"/>
      <c r="Z24" s="998">
        <v>1</v>
      </c>
      <c r="AA24" s="568"/>
      <c r="AB24" s="1031"/>
      <c r="AC24" s="1031"/>
      <c r="AD24" s="955">
        <f t="shared" si="0"/>
        <v>1</v>
      </c>
    </row>
    <row r="25" spans="1:30" ht="14.65" customHeight="1" x14ac:dyDescent="0.35">
      <c r="G25" s="511"/>
      <c r="P25" s="1031"/>
      <c r="Q25" s="1031"/>
      <c r="T25" s="1031"/>
      <c r="U25" s="1031"/>
      <c r="X25" s="1031"/>
      <c r="Y25" s="1031"/>
      <c r="Z25" s="568"/>
      <c r="AA25" s="568"/>
      <c r="AB25" s="1031"/>
      <c r="AC25" s="1031"/>
      <c r="AD25" s="955">
        <f t="shared" si="0"/>
        <v>0</v>
      </c>
    </row>
    <row r="26" spans="1:30" ht="14.65" customHeight="1" x14ac:dyDescent="0.35">
      <c r="G26" s="511"/>
      <c r="P26" s="1033">
        <f t="shared" ref="P26:AC26" si="1">SUM(P4:P25)</f>
        <v>4</v>
      </c>
      <c r="Q26" s="1033">
        <f t="shared" si="1"/>
        <v>2</v>
      </c>
      <c r="R26" s="955">
        <f t="shared" si="1"/>
        <v>3</v>
      </c>
      <c r="S26" s="955">
        <f t="shared" si="1"/>
        <v>5</v>
      </c>
      <c r="T26" s="1033">
        <f t="shared" si="1"/>
        <v>6</v>
      </c>
      <c r="U26" s="1033">
        <f t="shared" si="1"/>
        <v>4</v>
      </c>
      <c r="V26" s="955">
        <f t="shared" si="1"/>
        <v>5</v>
      </c>
      <c r="W26" s="955">
        <f t="shared" si="1"/>
        <v>3</v>
      </c>
      <c r="X26" s="1033">
        <f t="shared" si="1"/>
        <v>5</v>
      </c>
      <c r="Y26" s="1033">
        <f t="shared" si="1"/>
        <v>8</v>
      </c>
      <c r="Z26" s="568">
        <f t="shared" si="1"/>
        <v>6</v>
      </c>
      <c r="AA26" s="568">
        <f t="shared" si="1"/>
        <v>4</v>
      </c>
      <c r="AB26" s="955">
        <f t="shared" si="1"/>
        <v>6</v>
      </c>
      <c r="AC26" s="955">
        <f t="shared" si="1"/>
        <v>5</v>
      </c>
      <c r="AD26" s="955"/>
    </row>
    <row r="27" spans="1:30" ht="14.65" customHeight="1" x14ac:dyDescent="0.35">
      <c r="G27" s="511"/>
      <c r="H27">
        <f>SUM(H3:H26)</f>
        <v>2106.4</v>
      </c>
      <c r="Z27" s="568"/>
      <c r="AA27" s="568"/>
    </row>
    <row r="28" spans="1:30" ht="14.65" customHeight="1" x14ac:dyDescent="0.35">
      <c r="G28" s="511"/>
      <c r="Z28" s="568"/>
      <c r="AA28" s="568"/>
    </row>
    <row r="29" spans="1:30" ht="14.65" customHeight="1" x14ac:dyDescent="0.35">
      <c r="G29" s="511"/>
      <c r="Z29" s="568"/>
      <c r="AA29" s="568"/>
    </row>
    <row r="30" spans="1:30" ht="14.65" customHeight="1" x14ac:dyDescent="0.35">
      <c r="G30" s="511"/>
      <c r="Z30" s="568"/>
      <c r="AA30" s="568"/>
    </row>
    <row r="31" spans="1:30" ht="14.65" customHeight="1" x14ac:dyDescent="0.35">
      <c r="P31" s="1231">
        <v>45399</v>
      </c>
      <c r="Q31" s="1221"/>
      <c r="R31" s="1230">
        <v>45400</v>
      </c>
      <c r="S31" s="1221"/>
      <c r="T31" s="1231">
        <v>45401</v>
      </c>
      <c r="U31" s="1221"/>
      <c r="V31" s="1230">
        <v>45402</v>
      </c>
      <c r="W31" s="1221"/>
      <c r="X31" s="1231">
        <v>45403</v>
      </c>
      <c r="Y31" s="1221"/>
      <c r="Z31" s="1230">
        <v>45404</v>
      </c>
      <c r="AA31" s="1221"/>
      <c r="AB31" s="1231">
        <v>45405</v>
      </c>
      <c r="AC31" s="1221"/>
    </row>
    <row r="32" spans="1:30" ht="13.15" customHeight="1" x14ac:dyDescent="0.4">
      <c r="P32" s="1030" t="s">
        <v>7969</v>
      </c>
      <c r="Q32" s="1030" t="s">
        <v>3760</v>
      </c>
      <c r="R32" s="297" t="s">
        <v>7969</v>
      </c>
      <c r="S32" s="297" t="s">
        <v>3760</v>
      </c>
      <c r="T32" s="1030" t="s">
        <v>7969</v>
      </c>
      <c r="U32" s="1030" t="s">
        <v>3760</v>
      </c>
      <c r="V32" s="297" t="s">
        <v>7969</v>
      </c>
      <c r="W32" s="297" t="s">
        <v>3760</v>
      </c>
      <c r="X32" s="1030" t="s">
        <v>7969</v>
      </c>
      <c r="Y32" s="1030" t="s">
        <v>3760</v>
      </c>
      <c r="Z32" s="297" t="s">
        <v>7969</v>
      </c>
      <c r="AA32" s="297" t="s">
        <v>3760</v>
      </c>
      <c r="AB32" s="1030" t="s">
        <v>7969</v>
      </c>
      <c r="AC32" s="1030" t="s">
        <v>3760</v>
      </c>
    </row>
    <row r="54" spans="16:30" x14ac:dyDescent="0.35">
      <c r="P54" s="1031"/>
      <c r="Q54" s="1031"/>
      <c r="T54" s="1031"/>
      <c r="U54" s="1031"/>
      <c r="X54" s="1031"/>
      <c r="Y54" s="1031"/>
      <c r="Z54" s="568"/>
      <c r="AA54" s="568"/>
      <c r="AB54" s="1031"/>
      <c r="AC54" s="1031"/>
      <c r="AD54" s="955">
        <f>SUM(P54:AC54)</f>
        <v>0</v>
      </c>
    </row>
    <row r="55" spans="16:30" x14ac:dyDescent="0.35">
      <c r="P55" s="1033">
        <f t="shared" ref="P55:AC55" si="2">SUM(P33:P54)</f>
        <v>0</v>
      </c>
      <c r="Q55" s="1033">
        <f t="shared" si="2"/>
        <v>0</v>
      </c>
      <c r="R55" s="955">
        <f t="shared" si="2"/>
        <v>0</v>
      </c>
      <c r="S55" s="955">
        <f t="shared" si="2"/>
        <v>0</v>
      </c>
      <c r="T55" s="1033">
        <f t="shared" si="2"/>
        <v>0</v>
      </c>
      <c r="U55" s="1033">
        <f t="shared" si="2"/>
        <v>0</v>
      </c>
      <c r="V55" s="955">
        <f t="shared" si="2"/>
        <v>0</v>
      </c>
      <c r="W55" s="955">
        <f t="shared" si="2"/>
        <v>0</v>
      </c>
      <c r="X55" s="1033">
        <f t="shared" si="2"/>
        <v>0</v>
      </c>
      <c r="Y55" s="1033">
        <f t="shared" si="2"/>
        <v>0</v>
      </c>
      <c r="Z55" s="568">
        <f t="shared" si="2"/>
        <v>0</v>
      </c>
      <c r="AA55" s="568">
        <f t="shared" si="2"/>
        <v>0</v>
      </c>
      <c r="AB55" s="955">
        <f t="shared" si="2"/>
        <v>0</v>
      </c>
      <c r="AC55" s="955">
        <f t="shared" si="2"/>
        <v>0</v>
      </c>
      <c r="AD55" s="955"/>
    </row>
    <row r="65" spans="1:30" ht="14.65" customHeight="1" x14ac:dyDescent="0.35">
      <c r="A65" s="851">
        <v>45400</v>
      </c>
      <c r="B65" s="880" t="s">
        <v>2486</v>
      </c>
      <c r="C65" s="783" t="s">
        <v>6470</v>
      </c>
      <c r="D65" s="783" t="s">
        <v>5509</v>
      </c>
      <c r="E65" s="783" t="s">
        <v>174</v>
      </c>
      <c r="F65" s="1038" t="s">
        <v>8037</v>
      </c>
      <c r="G65" s="785">
        <v>45391</v>
      </c>
      <c r="H65" s="786">
        <v>150</v>
      </c>
      <c r="I65" s="784">
        <v>0</v>
      </c>
      <c r="J65" s="549" t="s">
        <v>8038</v>
      </c>
      <c r="K65" s="1036" t="s">
        <v>4664</v>
      </c>
      <c r="L65" s="1037" t="s">
        <v>8039</v>
      </c>
      <c r="M65" s="1037" t="s">
        <v>8040</v>
      </c>
      <c r="N65" s="791" t="s">
        <v>5874</v>
      </c>
      <c r="O65" s="791" t="s">
        <v>8041</v>
      </c>
      <c r="P65" s="1032"/>
      <c r="Q65" s="1032"/>
      <c r="R65" s="568">
        <v>1</v>
      </c>
      <c r="S65" s="568">
        <v>1</v>
      </c>
      <c r="T65" s="1032"/>
      <c r="U65" s="1032"/>
      <c r="V65" s="568"/>
      <c r="W65" s="568"/>
      <c r="X65" s="1032"/>
      <c r="Y65" s="1032"/>
      <c r="Z65" s="568"/>
      <c r="AA65" s="568"/>
      <c r="AB65" s="1032"/>
      <c r="AC65" s="1032"/>
      <c r="AD65" s="955"/>
    </row>
    <row r="66" spans="1:30" ht="14.65" customHeight="1" x14ac:dyDescent="0.35">
      <c r="A66" s="851">
        <v>45400</v>
      </c>
      <c r="B66" s="783" t="s">
        <v>2486</v>
      </c>
      <c r="C66" s="783" t="s">
        <v>7969</v>
      </c>
      <c r="D66" s="783" t="s">
        <v>5375</v>
      </c>
      <c r="E66" s="783" t="s">
        <v>111</v>
      </c>
      <c r="F66" s="784"/>
      <c r="G66" s="785">
        <v>45362</v>
      </c>
      <c r="H66" s="786">
        <v>79.2</v>
      </c>
      <c r="I66" s="784">
        <v>0</v>
      </c>
      <c r="J66" s="549" t="s">
        <v>8009</v>
      </c>
      <c r="K66" s="1036" t="s">
        <v>4955</v>
      </c>
      <c r="L66" s="1037" t="s">
        <v>8010</v>
      </c>
      <c r="M66" s="1037" t="s">
        <v>4264</v>
      </c>
      <c r="N66" s="551"/>
      <c r="O66" s="146" t="s">
        <v>8011</v>
      </c>
      <c r="P66" s="1032"/>
      <c r="Q66" s="1032"/>
      <c r="R66" s="568">
        <v>1</v>
      </c>
      <c r="S66" s="568"/>
      <c r="T66" s="1032">
        <v>1</v>
      </c>
      <c r="U66" s="1032"/>
      <c r="V66" s="568">
        <v>1</v>
      </c>
      <c r="W66" s="568"/>
      <c r="X66" s="1032">
        <v>1</v>
      </c>
      <c r="Y66" s="1032"/>
      <c r="Z66" s="568">
        <v>1</v>
      </c>
      <c r="AA66" s="568"/>
      <c r="AB66" s="1032">
        <v>1</v>
      </c>
      <c r="AC66" s="1032"/>
      <c r="AD66" s="955">
        <f t="shared" ref="AD66:AD71" si="3">SUM(P66:AC66)</f>
        <v>6</v>
      </c>
    </row>
    <row r="67" spans="1:30" ht="14.65" customHeight="1" x14ac:dyDescent="0.35">
      <c r="A67" s="851">
        <v>45400</v>
      </c>
      <c r="B67" s="783" t="s">
        <v>2486</v>
      </c>
      <c r="C67" s="783" t="s">
        <v>7969</v>
      </c>
      <c r="D67" s="783" t="s">
        <v>5375</v>
      </c>
      <c r="E67" s="783" t="s">
        <v>111</v>
      </c>
      <c r="F67" s="1038" t="s">
        <v>7977</v>
      </c>
      <c r="G67" s="785">
        <v>45361</v>
      </c>
      <c r="H67" s="786">
        <v>100</v>
      </c>
      <c r="I67" s="784">
        <v>0</v>
      </c>
      <c r="J67" s="549" t="s">
        <v>7978</v>
      </c>
      <c r="K67" s="1036" t="s">
        <v>4955</v>
      </c>
      <c r="L67" s="1037" t="s">
        <v>7979</v>
      </c>
      <c r="M67" s="1037" t="s">
        <v>7980</v>
      </c>
      <c r="N67" s="791"/>
      <c r="O67" s="791" t="s">
        <v>7981</v>
      </c>
      <c r="P67" s="1032"/>
      <c r="Q67" s="1032"/>
      <c r="R67" s="568">
        <v>1</v>
      </c>
      <c r="S67" s="568">
        <v>1</v>
      </c>
      <c r="T67" s="1032">
        <v>1</v>
      </c>
      <c r="U67" s="1032">
        <v>1</v>
      </c>
      <c r="V67" s="568"/>
      <c r="W67" s="568"/>
      <c r="X67" s="1032"/>
      <c r="Y67" s="1032"/>
      <c r="Z67" s="568"/>
      <c r="AA67" s="568"/>
      <c r="AB67" s="1032"/>
      <c r="AC67" s="1032"/>
      <c r="AD67" s="955">
        <f t="shared" si="3"/>
        <v>4</v>
      </c>
    </row>
    <row r="68" spans="1:30" ht="14.65" customHeight="1" x14ac:dyDescent="0.35">
      <c r="A68" s="851">
        <v>45400</v>
      </c>
      <c r="B68" s="880" t="s">
        <v>2486</v>
      </c>
      <c r="C68" s="783" t="s">
        <v>7969</v>
      </c>
      <c r="D68" s="783" t="s">
        <v>5375</v>
      </c>
      <c r="E68" s="783" t="s">
        <v>175</v>
      </c>
      <c r="F68" s="1038" t="s">
        <v>5283</v>
      </c>
      <c r="G68" s="785">
        <v>45077</v>
      </c>
      <c r="H68" s="786">
        <v>125</v>
      </c>
      <c r="I68" s="784">
        <v>0</v>
      </c>
      <c r="J68" s="549" t="s">
        <v>7994</v>
      </c>
      <c r="K68" s="1036" t="s">
        <v>4664</v>
      </c>
      <c r="L68" s="1037" t="s">
        <v>5834</v>
      </c>
      <c r="M68" s="1037" t="s">
        <v>6536</v>
      </c>
      <c r="N68" s="551" t="s">
        <v>5014</v>
      </c>
      <c r="O68" s="146" t="s">
        <v>7995</v>
      </c>
      <c r="P68" s="1032">
        <v>1</v>
      </c>
      <c r="Q68" s="1032"/>
      <c r="R68" s="568">
        <v>1</v>
      </c>
      <c r="S68" s="568">
        <v>1</v>
      </c>
      <c r="T68" s="1032">
        <v>1</v>
      </c>
      <c r="U68" s="1032">
        <v>1</v>
      </c>
      <c r="V68" s="568"/>
      <c r="W68" s="568"/>
      <c r="X68" s="1032"/>
      <c r="Y68" s="1032"/>
      <c r="Z68" s="568"/>
      <c r="AA68" s="568"/>
      <c r="AB68" s="1032"/>
      <c r="AC68" s="1032"/>
      <c r="AD68" s="955">
        <f t="shared" si="3"/>
        <v>5</v>
      </c>
    </row>
    <row r="69" spans="1:30" ht="14.65" customHeight="1" x14ac:dyDescent="0.35">
      <c r="A69" s="851">
        <v>45400</v>
      </c>
      <c r="B69" s="880" t="s">
        <v>2486</v>
      </c>
      <c r="C69" s="783" t="s">
        <v>3760</v>
      </c>
      <c r="D69" s="783" t="s">
        <v>5375</v>
      </c>
      <c r="E69" s="783" t="s">
        <v>174</v>
      </c>
      <c r="F69" s="1038" t="s">
        <v>8025</v>
      </c>
      <c r="G69" s="511">
        <v>45075</v>
      </c>
      <c r="H69" s="786">
        <v>99</v>
      </c>
      <c r="I69" s="784">
        <v>0</v>
      </c>
      <c r="J69" s="549" t="s">
        <v>8026</v>
      </c>
      <c r="K69" s="1036" t="s">
        <v>5725</v>
      </c>
      <c r="L69" s="1037" t="s">
        <v>4126</v>
      </c>
      <c r="M69" s="1037" t="s">
        <v>8027</v>
      </c>
      <c r="N69" s="551" t="s">
        <v>6099</v>
      </c>
      <c r="O69" s="146" t="s">
        <v>8028</v>
      </c>
      <c r="P69" s="1032"/>
      <c r="Q69" s="1032"/>
      <c r="R69" s="568"/>
      <c r="S69" s="998">
        <v>1</v>
      </c>
      <c r="T69" s="1032"/>
      <c r="U69" s="1032"/>
      <c r="V69" s="568"/>
      <c r="W69" s="568"/>
      <c r="X69" s="1032"/>
      <c r="Y69" s="1032"/>
      <c r="Z69" s="568"/>
      <c r="AA69" s="568"/>
      <c r="AB69" s="1032"/>
      <c r="AC69" s="1032"/>
      <c r="AD69" s="955">
        <f t="shared" si="3"/>
        <v>1</v>
      </c>
    </row>
    <row r="70" spans="1:30" ht="14.65" customHeight="1" x14ac:dyDescent="0.35">
      <c r="A70" s="851">
        <v>45400</v>
      </c>
      <c r="B70" s="783" t="s">
        <v>2486</v>
      </c>
      <c r="C70" s="783" t="s">
        <v>3760</v>
      </c>
      <c r="D70" s="783" t="s">
        <v>5375</v>
      </c>
      <c r="E70" s="783" t="s">
        <v>175</v>
      </c>
      <c r="F70" s="1038" t="s">
        <v>8020</v>
      </c>
      <c r="G70" s="785">
        <v>45234</v>
      </c>
      <c r="H70" s="786">
        <v>99</v>
      </c>
      <c r="I70" s="784">
        <v>0</v>
      </c>
      <c r="J70" s="549" t="s">
        <v>8021</v>
      </c>
      <c r="K70" s="1036" t="s">
        <v>4955</v>
      </c>
      <c r="L70" s="1037" t="s">
        <v>8022</v>
      </c>
      <c r="M70" s="1037" t="s">
        <v>8023</v>
      </c>
      <c r="N70" s="791" t="s">
        <v>5918</v>
      </c>
      <c r="O70" s="791" t="s">
        <v>8024</v>
      </c>
      <c r="P70" s="1032"/>
      <c r="Q70" s="1032"/>
      <c r="R70" s="568"/>
      <c r="S70" s="568">
        <v>1</v>
      </c>
      <c r="T70" s="1032"/>
      <c r="U70" s="1032">
        <v>1</v>
      </c>
      <c r="V70" s="568"/>
      <c r="W70" s="568">
        <v>1</v>
      </c>
      <c r="X70" s="1032"/>
      <c r="Y70" s="1032">
        <v>1</v>
      </c>
      <c r="Z70" s="568"/>
      <c r="AA70" s="568"/>
      <c r="AB70" s="1032"/>
      <c r="AC70" s="1032">
        <v>1</v>
      </c>
      <c r="AD70" s="955">
        <f t="shared" si="3"/>
        <v>5</v>
      </c>
    </row>
    <row r="71" spans="1:30" ht="14.65" customHeight="1" x14ac:dyDescent="0.35">
      <c r="A71" s="851">
        <v>45400</v>
      </c>
      <c r="B71" s="880" t="s">
        <v>2486</v>
      </c>
      <c r="C71" s="783" t="s">
        <v>3760</v>
      </c>
      <c r="D71" s="783" t="s">
        <v>5375</v>
      </c>
      <c r="E71" s="783" t="s">
        <v>174</v>
      </c>
      <c r="F71" s="1038" t="s">
        <v>8042</v>
      </c>
      <c r="G71" s="785">
        <v>45390</v>
      </c>
      <c r="H71" s="786">
        <v>99</v>
      </c>
      <c r="I71" s="784">
        <v>0</v>
      </c>
      <c r="J71" s="549" t="s">
        <v>8043</v>
      </c>
      <c r="K71" s="1036" t="s">
        <v>4664</v>
      </c>
      <c r="L71" s="1037" t="s">
        <v>4012</v>
      </c>
      <c r="M71" s="1037" t="s">
        <v>5363</v>
      </c>
      <c r="N71" s="791" t="s">
        <v>5741</v>
      </c>
      <c r="O71" s="791" t="s">
        <v>8044</v>
      </c>
      <c r="P71" s="1032"/>
      <c r="Q71" s="1032"/>
      <c r="R71" s="568"/>
      <c r="S71" s="568">
        <v>1</v>
      </c>
      <c r="T71" s="1032"/>
      <c r="U71" s="1032"/>
      <c r="V71" s="568"/>
      <c r="W71" s="568"/>
      <c r="X71" s="1032"/>
      <c r="Y71" s="1032"/>
      <c r="Z71" s="568"/>
      <c r="AA71" s="568"/>
      <c r="AB71" s="1032"/>
      <c r="AC71" s="1032"/>
      <c r="AD71" s="955">
        <f t="shared" si="3"/>
        <v>1</v>
      </c>
    </row>
    <row r="72" spans="1:30" ht="14.65" customHeight="1" x14ac:dyDescent="0.35">
      <c r="A72" s="851"/>
      <c r="B72" s="783"/>
      <c r="C72" s="783"/>
      <c r="D72" s="783"/>
      <c r="E72" s="783"/>
      <c r="F72" s="1038"/>
      <c r="G72" s="785"/>
      <c r="H72" s="786"/>
      <c r="I72" s="784"/>
      <c r="J72" s="549"/>
      <c r="K72" s="1036"/>
      <c r="L72" s="1037"/>
      <c r="M72" s="1037"/>
      <c r="N72" s="791"/>
      <c r="O72" s="791"/>
      <c r="P72" s="1032"/>
      <c r="Q72" s="1032"/>
      <c r="R72" s="568"/>
      <c r="S72" s="568"/>
      <c r="T72" s="1032"/>
      <c r="U72" s="1032"/>
      <c r="V72" s="568"/>
      <c r="W72" s="568"/>
      <c r="X72" s="1032"/>
      <c r="Y72" s="1032"/>
      <c r="Z72" s="568"/>
      <c r="AA72" s="568"/>
      <c r="AB72" s="1032"/>
      <c r="AC72" s="1032"/>
      <c r="AD72" s="955"/>
    </row>
    <row r="73" spans="1:30" ht="14.65" customHeight="1" x14ac:dyDescent="0.35">
      <c r="A73" s="851"/>
      <c r="B73" s="783"/>
      <c r="C73" s="783"/>
      <c r="D73" s="783"/>
      <c r="E73" s="783"/>
      <c r="F73" s="1038"/>
      <c r="G73" s="785"/>
      <c r="H73" s="786"/>
      <c r="I73" s="784"/>
      <c r="J73" s="549"/>
      <c r="K73" s="1036"/>
      <c r="L73" s="1037"/>
      <c r="M73" s="1037"/>
      <c r="N73" s="791"/>
      <c r="O73" s="791"/>
      <c r="P73" s="1032"/>
      <c r="Q73" s="1032"/>
      <c r="R73" s="568"/>
      <c r="S73" s="568"/>
      <c r="T73" s="1032"/>
      <c r="U73" s="1032"/>
      <c r="V73" s="568"/>
      <c r="W73" s="568"/>
      <c r="X73" s="1032"/>
      <c r="Y73" s="1032"/>
      <c r="Z73" s="568"/>
      <c r="AA73" s="568"/>
      <c r="AB73" s="1032"/>
      <c r="AC73" s="1032"/>
      <c r="AD73" s="955"/>
    </row>
    <row r="74" spans="1:30" ht="14.65" customHeight="1" x14ac:dyDescent="0.35">
      <c r="A74" s="851">
        <v>45402</v>
      </c>
      <c r="B74" s="783" t="s">
        <v>2486</v>
      </c>
      <c r="C74" s="783" t="s">
        <v>7969</v>
      </c>
      <c r="D74" s="783" t="s">
        <v>5375</v>
      </c>
      <c r="E74" s="783" t="s">
        <v>174</v>
      </c>
      <c r="F74" s="1038" t="s">
        <v>5311</v>
      </c>
      <c r="G74" s="785">
        <v>45331</v>
      </c>
      <c r="H74" s="786">
        <v>99</v>
      </c>
      <c r="I74" s="784">
        <v>0</v>
      </c>
      <c r="J74" s="549" t="s">
        <v>7970</v>
      </c>
      <c r="K74" s="1036" t="s">
        <v>4664</v>
      </c>
      <c r="L74" s="1037" t="s">
        <v>4039</v>
      </c>
      <c r="M74" s="1037" t="s">
        <v>7971</v>
      </c>
      <c r="N74" s="829" t="s">
        <v>4749</v>
      </c>
      <c r="O74" s="967" t="s">
        <v>7972</v>
      </c>
      <c r="P74" s="1032"/>
      <c r="Q74" s="1032"/>
      <c r="R74" s="568"/>
      <c r="S74" s="568"/>
      <c r="T74" s="1032"/>
      <c r="U74" s="1032"/>
      <c r="V74" s="998">
        <v>1</v>
      </c>
      <c r="W74" s="568"/>
      <c r="X74" s="1032"/>
      <c r="Y74" s="1032"/>
      <c r="Z74" s="568"/>
      <c r="AA74" s="568"/>
      <c r="AB74" s="1032"/>
      <c r="AC74" s="1032"/>
      <c r="AD74" s="955">
        <f>SUM(P74:AC74)</f>
        <v>1</v>
      </c>
    </row>
    <row r="75" spans="1:30" ht="14.65" customHeight="1" x14ac:dyDescent="0.35">
      <c r="A75" s="851">
        <v>45402</v>
      </c>
      <c r="B75" s="783" t="s">
        <v>2486</v>
      </c>
      <c r="C75" s="783" t="s">
        <v>7969</v>
      </c>
      <c r="D75" s="783" t="s">
        <v>5375</v>
      </c>
      <c r="E75" s="783" t="s">
        <v>174</v>
      </c>
      <c r="F75" s="1038" t="s">
        <v>5278</v>
      </c>
      <c r="G75" s="785">
        <v>45334</v>
      </c>
      <c r="H75" s="786">
        <v>99</v>
      </c>
      <c r="I75" s="784">
        <v>0</v>
      </c>
      <c r="J75" s="549" t="s">
        <v>7973</v>
      </c>
      <c r="K75" s="1036" t="s">
        <v>4664</v>
      </c>
      <c r="L75" s="1037" t="s">
        <v>7974</v>
      </c>
      <c r="M75" s="1037" t="s">
        <v>7975</v>
      </c>
      <c r="N75" s="829" t="s">
        <v>7559</v>
      </c>
      <c r="O75" s="967" t="s">
        <v>7976</v>
      </c>
      <c r="P75" s="1032"/>
      <c r="Q75" s="1032"/>
      <c r="R75" s="568"/>
      <c r="S75" s="568"/>
      <c r="T75" s="1032"/>
      <c r="U75" s="1032"/>
      <c r="V75" s="568">
        <v>1</v>
      </c>
      <c r="W75" s="568"/>
      <c r="X75" s="1032">
        <v>1</v>
      </c>
      <c r="Y75" s="1032">
        <v>1</v>
      </c>
      <c r="Z75" s="568"/>
      <c r="AA75" s="568"/>
      <c r="AB75" s="1032"/>
      <c r="AC75" s="1032"/>
      <c r="AD75" s="955">
        <f>SUM(P75:AC75)</f>
        <v>3</v>
      </c>
    </row>
    <row r="76" spans="1:30" ht="14.65" customHeight="1" x14ac:dyDescent="0.35">
      <c r="A76" s="851">
        <v>45402</v>
      </c>
      <c r="B76" s="783" t="s">
        <v>2486</v>
      </c>
      <c r="C76" s="783" t="s">
        <v>7969</v>
      </c>
      <c r="D76" s="783" t="s">
        <v>5375</v>
      </c>
      <c r="E76" s="783" t="s">
        <v>175</v>
      </c>
      <c r="F76" s="1038" t="s">
        <v>7982</v>
      </c>
      <c r="G76" s="785">
        <v>45386</v>
      </c>
      <c r="H76" s="786">
        <v>99</v>
      </c>
      <c r="I76" s="784">
        <v>0</v>
      </c>
      <c r="J76" s="549" t="s">
        <v>6503</v>
      </c>
      <c r="K76" s="1036" t="s">
        <v>4664</v>
      </c>
      <c r="L76" s="1037" t="s">
        <v>4761</v>
      </c>
      <c r="M76" s="1037" t="s">
        <v>7983</v>
      </c>
      <c r="N76" s="791" t="s">
        <v>4765</v>
      </c>
      <c r="O76" s="791" t="s">
        <v>7984</v>
      </c>
      <c r="P76" s="1032"/>
      <c r="Q76" s="1032"/>
      <c r="R76" s="568"/>
      <c r="S76" s="568"/>
      <c r="T76" s="1032"/>
      <c r="U76" s="1032"/>
      <c r="V76" s="568">
        <v>1</v>
      </c>
      <c r="W76" s="568"/>
      <c r="X76" s="1032">
        <v>1</v>
      </c>
      <c r="Y76" s="1032"/>
      <c r="Z76" s="568"/>
      <c r="AA76" s="568"/>
      <c r="AB76" s="1032"/>
      <c r="AC76" s="1032"/>
      <c r="AD76" s="955">
        <f>SUM(P76:AC76)</f>
        <v>2</v>
      </c>
    </row>
    <row r="77" spans="1:30" ht="14.65" customHeight="1" x14ac:dyDescent="0.35">
      <c r="A77" s="851">
        <v>45413</v>
      </c>
      <c r="B77" s="783" t="s">
        <v>2486</v>
      </c>
      <c r="C77" s="783" t="s">
        <v>7969</v>
      </c>
      <c r="D77" s="783" t="s">
        <v>5375</v>
      </c>
      <c r="E77" s="783" t="s">
        <v>111</v>
      </c>
      <c r="F77" s="784"/>
      <c r="G77" s="785">
        <v>45313</v>
      </c>
      <c r="H77" s="786">
        <v>79.2</v>
      </c>
      <c r="I77" s="784">
        <v>0</v>
      </c>
      <c r="J77" s="549" t="s">
        <v>8005</v>
      </c>
      <c r="K77" s="1036" t="s">
        <v>4664</v>
      </c>
      <c r="L77" s="1037" t="s">
        <v>8006</v>
      </c>
      <c r="M77" s="1037" t="s">
        <v>8007</v>
      </c>
      <c r="N77" s="551"/>
      <c r="O77" s="146" t="s">
        <v>8008</v>
      </c>
      <c r="P77" s="1032"/>
      <c r="Q77" s="1032"/>
      <c r="R77" s="568"/>
      <c r="S77" s="568"/>
      <c r="T77" s="1032"/>
      <c r="U77" s="1032"/>
      <c r="V77" s="568"/>
      <c r="W77" s="568"/>
      <c r="X77" s="1032"/>
      <c r="Y77" s="1032"/>
      <c r="Z77" s="568"/>
      <c r="AA77" s="568"/>
      <c r="AB77" s="1032"/>
      <c r="AC77" s="1032"/>
      <c r="AD77" s="955">
        <f>SUM(P77:AC77)</f>
        <v>0</v>
      </c>
    </row>
    <row r="78" spans="1:30" ht="14.65" customHeight="1" x14ac:dyDescent="0.35">
      <c r="A78" s="851"/>
      <c r="B78" s="783"/>
      <c r="C78" s="783"/>
      <c r="D78" s="783"/>
      <c r="E78" s="783"/>
      <c r="F78" s="1038"/>
      <c r="G78" s="785"/>
      <c r="H78" s="786"/>
      <c r="I78" s="784"/>
      <c r="J78" s="549"/>
      <c r="K78" s="1036"/>
      <c r="L78" s="1037"/>
      <c r="M78" s="1037"/>
      <c r="N78" s="551"/>
      <c r="O78" s="146"/>
      <c r="P78" s="1032"/>
      <c r="Q78" s="1032"/>
      <c r="R78" s="568"/>
      <c r="S78" s="568"/>
      <c r="T78" s="1032"/>
      <c r="U78" s="1032"/>
      <c r="V78" s="568"/>
      <c r="W78" s="568"/>
      <c r="X78" s="1032"/>
      <c r="Y78" s="1032"/>
      <c r="Z78" s="568"/>
      <c r="AA78" s="568"/>
      <c r="AB78" s="1032"/>
      <c r="AC78" s="1032"/>
      <c r="AD78" s="955"/>
    </row>
    <row r="79" spans="1:30" ht="14.65" customHeight="1" x14ac:dyDescent="0.35">
      <c r="D79" s="783"/>
      <c r="E79" s="783"/>
      <c r="F79" s="1038"/>
      <c r="J79" s="549"/>
      <c r="K79" s="1036"/>
      <c r="L79" s="1037"/>
      <c r="M79" s="1037"/>
    </row>
    <row r="80" spans="1:30" ht="14.65" customHeight="1" x14ac:dyDescent="0.35">
      <c r="A80" s="851">
        <v>45403</v>
      </c>
      <c r="B80" s="783" t="s">
        <v>2486</v>
      </c>
      <c r="C80" s="783" t="s">
        <v>3760</v>
      </c>
      <c r="D80" s="783" t="s">
        <v>5375</v>
      </c>
      <c r="E80" s="783" t="s">
        <v>175</v>
      </c>
      <c r="F80" s="1038" t="s">
        <v>7989</v>
      </c>
      <c r="G80" s="785">
        <v>45344</v>
      </c>
      <c r="H80" s="786">
        <v>99</v>
      </c>
      <c r="I80" s="784">
        <v>0</v>
      </c>
      <c r="J80" s="549" t="s">
        <v>7990</v>
      </c>
      <c r="K80" s="1036" t="s">
        <v>5045</v>
      </c>
      <c r="L80" s="1037" t="s">
        <v>7991</v>
      </c>
      <c r="M80" s="1037" t="s">
        <v>7992</v>
      </c>
      <c r="N80" s="551" t="s">
        <v>6512</v>
      </c>
      <c r="O80" s="146" t="s">
        <v>7993</v>
      </c>
      <c r="P80" s="1032"/>
      <c r="Q80" s="1032"/>
      <c r="R80" s="568"/>
      <c r="S80" s="568"/>
      <c r="T80" s="1032"/>
      <c r="U80" s="1032"/>
      <c r="V80" s="568"/>
      <c r="W80" s="568"/>
      <c r="X80" s="1032"/>
      <c r="Y80" s="1034">
        <v>1</v>
      </c>
      <c r="Z80" s="568"/>
      <c r="AA80" s="568"/>
      <c r="AB80" s="1032"/>
      <c r="AC80" s="1032"/>
      <c r="AD80" s="955">
        <f>SUM(P80:AC80)</f>
        <v>1</v>
      </c>
    </row>
    <row r="81" spans="1:30" ht="14.65" customHeight="1" x14ac:dyDescent="0.35">
      <c r="A81" s="851">
        <v>45403</v>
      </c>
      <c r="B81" s="783" t="s">
        <v>2486</v>
      </c>
      <c r="C81" s="783" t="s">
        <v>3760</v>
      </c>
      <c r="D81" s="783" t="s">
        <v>5375</v>
      </c>
      <c r="E81" s="783" t="s">
        <v>174</v>
      </c>
      <c r="F81" s="1038" t="s">
        <v>7985</v>
      </c>
      <c r="G81" s="785">
        <v>45082</v>
      </c>
      <c r="H81" s="786">
        <v>99</v>
      </c>
      <c r="I81" s="784">
        <v>0</v>
      </c>
      <c r="J81" s="549" t="s">
        <v>7986</v>
      </c>
      <c r="K81" s="1036" t="s">
        <v>4955</v>
      </c>
      <c r="L81" s="1037" t="s">
        <v>4559</v>
      </c>
      <c r="M81" s="1037" t="s">
        <v>7987</v>
      </c>
      <c r="N81" s="791" t="s">
        <v>4866</v>
      </c>
      <c r="O81" s="791" t="s">
        <v>7988</v>
      </c>
      <c r="P81" s="1032"/>
      <c r="Q81" s="1032"/>
      <c r="R81" s="568"/>
      <c r="S81" s="568"/>
      <c r="T81" s="1032"/>
      <c r="U81" s="1032"/>
      <c r="V81" s="568"/>
      <c r="W81" s="568"/>
      <c r="X81" s="1032"/>
      <c r="Y81" s="1034">
        <v>1</v>
      </c>
      <c r="Z81" s="568"/>
      <c r="AA81" s="568"/>
      <c r="AB81" s="1032"/>
      <c r="AC81" s="1032"/>
      <c r="AD81" s="955">
        <f>SUM(P81:AC81)</f>
        <v>1</v>
      </c>
    </row>
    <row r="82" spans="1:30" ht="14.65" customHeight="1" x14ac:dyDescent="0.35">
      <c r="A82" s="851">
        <v>45403</v>
      </c>
      <c r="B82" s="880" t="s">
        <v>2486</v>
      </c>
      <c r="C82" s="783" t="s">
        <v>3760</v>
      </c>
      <c r="D82" s="783" t="s">
        <v>5375</v>
      </c>
      <c r="E82" s="783" t="s">
        <v>174</v>
      </c>
      <c r="F82" s="1038" t="s">
        <v>8029</v>
      </c>
      <c r="G82" s="511">
        <v>45282</v>
      </c>
      <c r="H82" s="507">
        <v>60</v>
      </c>
      <c r="I82" s="484">
        <v>0</v>
      </c>
      <c r="J82" s="549" t="s">
        <v>8030</v>
      </c>
      <c r="K82" s="1036" t="s">
        <v>4955</v>
      </c>
      <c r="L82" s="1037" t="s">
        <v>4179</v>
      </c>
      <c r="M82" s="1037" t="s">
        <v>8031</v>
      </c>
      <c r="N82" s="829" t="s">
        <v>5676</v>
      </c>
      <c r="O82" s="829" t="s">
        <v>8032</v>
      </c>
      <c r="P82" s="1032"/>
      <c r="Q82" s="1032"/>
      <c r="R82" s="568"/>
      <c r="S82" s="568"/>
      <c r="T82" s="1032"/>
      <c r="U82" s="1032"/>
      <c r="V82" s="568"/>
      <c r="W82" s="568"/>
      <c r="X82" s="1032"/>
      <c r="Y82" s="1034">
        <v>1</v>
      </c>
      <c r="Z82" s="568"/>
      <c r="AA82" s="568"/>
      <c r="AB82" s="1032"/>
      <c r="AC82" s="1032"/>
      <c r="AD82" s="955">
        <f>SUM(P82:AC82)</f>
        <v>1</v>
      </c>
    </row>
    <row r="83" spans="1:30" ht="14.65" customHeight="1" x14ac:dyDescent="0.35">
      <c r="A83" s="851">
        <v>45403</v>
      </c>
      <c r="B83" s="880" t="s">
        <v>2486</v>
      </c>
      <c r="C83" s="783" t="s">
        <v>3760</v>
      </c>
      <c r="D83" s="783" t="s">
        <v>5375</v>
      </c>
      <c r="E83" s="783" t="s">
        <v>174</v>
      </c>
      <c r="F83" s="1038" t="s">
        <v>8029</v>
      </c>
      <c r="G83" s="511">
        <v>45282</v>
      </c>
      <c r="H83" s="507">
        <v>60</v>
      </c>
      <c r="I83" s="484">
        <v>0</v>
      </c>
      <c r="J83" s="549" t="s">
        <v>8030</v>
      </c>
      <c r="K83" s="1036" t="s">
        <v>4955</v>
      </c>
      <c r="L83" s="1037" t="s">
        <v>4179</v>
      </c>
      <c r="M83" s="1037" t="s">
        <v>8031</v>
      </c>
      <c r="N83" s="829" t="s">
        <v>5676</v>
      </c>
      <c r="O83" s="829" t="s">
        <v>8032</v>
      </c>
      <c r="P83" s="1032"/>
      <c r="Q83" s="1032"/>
      <c r="R83" s="568"/>
      <c r="S83" s="568"/>
      <c r="T83" s="1032"/>
      <c r="U83" s="1032"/>
      <c r="V83" s="568"/>
      <c r="W83" s="568"/>
      <c r="X83" s="1032"/>
      <c r="Y83" s="1034">
        <v>1</v>
      </c>
      <c r="Z83" s="568"/>
      <c r="AA83" s="568"/>
      <c r="AB83" s="1032"/>
      <c r="AC83" s="1032"/>
      <c r="AD83" s="955">
        <f>SUM(P83:AC83)</f>
        <v>1</v>
      </c>
    </row>
    <row r="84" spans="1:30" ht="14.65" customHeight="1" x14ac:dyDescent="0.35">
      <c r="A84" s="851">
        <v>45403</v>
      </c>
      <c r="B84" s="783" t="s">
        <v>2486</v>
      </c>
      <c r="C84" s="783" t="s">
        <v>3760</v>
      </c>
      <c r="D84" s="783" t="s">
        <v>5375</v>
      </c>
      <c r="E84" s="783" t="s">
        <v>175</v>
      </c>
      <c r="F84" s="1038" t="s">
        <v>8012</v>
      </c>
      <c r="G84" s="785">
        <v>45377</v>
      </c>
      <c r="H84" s="786">
        <v>99</v>
      </c>
      <c r="I84" s="784">
        <v>0</v>
      </c>
      <c r="J84" s="549" t="s">
        <v>8013</v>
      </c>
      <c r="K84" s="1036" t="s">
        <v>4664</v>
      </c>
      <c r="L84" s="1037" t="s">
        <v>518</v>
      </c>
      <c r="M84" s="1037" t="s">
        <v>8014</v>
      </c>
      <c r="N84" s="551" t="s">
        <v>5485</v>
      </c>
      <c r="O84" s="146" t="s">
        <v>8015</v>
      </c>
      <c r="P84" s="1032"/>
      <c r="Q84" s="1032">
        <v>1</v>
      </c>
      <c r="R84" s="568"/>
      <c r="S84" s="568"/>
      <c r="T84" s="1032"/>
      <c r="U84" s="1032"/>
      <c r="V84" s="568"/>
      <c r="W84" s="568">
        <v>1</v>
      </c>
      <c r="X84" s="1032"/>
      <c r="Y84" s="1032">
        <v>1</v>
      </c>
      <c r="Z84" s="568"/>
      <c r="AA84" s="568"/>
      <c r="AB84" s="1032"/>
      <c r="AC84" s="1032"/>
      <c r="AD84" s="955">
        <f>SUM(P84:AC84)</f>
        <v>3</v>
      </c>
    </row>
    <row r="85" spans="1:30" ht="14.65" customHeight="1" x14ac:dyDescent="0.35">
      <c r="D85" s="783"/>
      <c r="E85" s="783"/>
      <c r="F85" s="1038"/>
      <c r="J85" s="549"/>
      <c r="K85" s="1036"/>
      <c r="L85" s="1037"/>
      <c r="M85" s="1037"/>
    </row>
    <row r="86" spans="1:30" ht="14.65" customHeight="1" x14ac:dyDescent="0.35">
      <c r="A86" s="851"/>
      <c r="B86" s="851"/>
      <c r="D86" s="783"/>
      <c r="E86" s="783"/>
      <c r="F86" s="1038"/>
      <c r="J86" s="549"/>
      <c r="K86" s="1036"/>
      <c r="L86" s="1037"/>
      <c r="M86" s="1037"/>
    </row>
    <row r="87" spans="1:30" ht="14.65" customHeight="1" x14ac:dyDescent="0.35">
      <c r="A87" s="851"/>
      <c r="B87" s="851"/>
      <c r="D87" s="783"/>
      <c r="E87" s="783"/>
      <c r="F87" s="1038"/>
      <c r="J87" s="549"/>
      <c r="K87" s="1036"/>
      <c r="L87" s="1037"/>
      <c r="M87" s="1037"/>
    </row>
    <row r="88" spans="1:30" ht="14.65" customHeight="1" x14ac:dyDescent="0.35">
      <c r="A88" s="871">
        <v>45404</v>
      </c>
      <c r="B88" s="783" t="s">
        <v>2486</v>
      </c>
      <c r="C88" s="783" t="s">
        <v>6470</v>
      </c>
      <c r="D88" s="783" t="s">
        <v>5509</v>
      </c>
      <c r="E88" s="783" t="s">
        <v>175</v>
      </c>
      <c r="F88" s="1038" t="s">
        <v>8000</v>
      </c>
      <c r="G88" s="785">
        <v>45378</v>
      </c>
      <c r="H88" s="786">
        <v>150</v>
      </c>
      <c r="I88" s="784">
        <v>0</v>
      </c>
      <c r="J88" s="549" t="s">
        <v>8001</v>
      </c>
      <c r="K88" s="1036" t="s">
        <v>4664</v>
      </c>
      <c r="L88" s="1037" t="s">
        <v>8002</v>
      </c>
      <c r="M88" s="1037" t="s">
        <v>3998</v>
      </c>
      <c r="N88" s="882" t="s">
        <v>4749</v>
      </c>
      <c r="O88" s="791" t="s">
        <v>8003</v>
      </c>
      <c r="P88" s="1032">
        <v>1</v>
      </c>
      <c r="Q88" s="1032">
        <v>1</v>
      </c>
      <c r="R88" s="568"/>
      <c r="S88" s="568"/>
      <c r="T88" s="1032">
        <v>1</v>
      </c>
      <c r="U88" s="1032">
        <v>1</v>
      </c>
      <c r="V88" s="568"/>
      <c r="W88" s="568"/>
      <c r="X88" s="1032"/>
      <c r="Y88" s="1032"/>
      <c r="Z88" s="568">
        <v>1</v>
      </c>
      <c r="AA88" s="568">
        <v>1</v>
      </c>
      <c r="AB88" s="1032">
        <v>1</v>
      </c>
      <c r="AC88" s="1032">
        <v>1</v>
      </c>
      <c r="AD88" s="955">
        <f t="shared" ref="AD88:AD94" si="4">SUM(P88:AC88)</f>
        <v>8</v>
      </c>
    </row>
    <row r="89" spans="1:30" ht="11.75" customHeight="1" x14ac:dyDescent="0.35">
      <c r="A89" s="871">
        <v>45404</v>
      </c>
      <c r="B89" s="783" t="s">
        <v>2486</v>
      </c>
      <c r="C89" s="783" t="s">
        <v>6470</v>
      </c>
      <c r="D89" s="783" t="s">
        <v>5509</v>
      </c>
      <c r="E89" s="783" t="s">
        <v>175</v>
      </c>
      <c r="F89" s="1038" t="s">
        <v>8004</v>
      </c>
      <c r="G89" s="785">
        <v>45380</v>
      </c>
      <c r="H89" s="786">
        <v>140</v>
      </c>
      <c r="I89" s="784">
        <v>0</v>
      </c>
      <c r="J89" s="549" t="s">
        <v>6842</v>
      </c>
      <c r="K89" s="1036" t="s">
        <v>4955</v>
      </c>
      <c r="L89" s="1037" t="s">
        <v>4262</v>
      </c>
      <c r="M89" s="1037" t="s">
        <v>4271</v>
      </c>
      <c r="N89" s="551" t="s">
        <v>5008</v>
      </c>
      <c r="O89" s="146" t="s">
        <v>4530</v>
      </c>
      <c r="P89" s="1032"/>
      <c r="Q89" s="1032"/>
      <c r="R89" s="568"/>
      <c r="S89" s="568"/>
      <c r="T89" s="1032"/>
      <c r="U89" s="1032"/>
      <c r="V89" s="568">
        <v>1</v>
      </c>
      <c r="W89" s="568">
        <v>1</v>
      </c>
      <c r="X89" s="1032">
        <v>1</v>
      </c>
      <c r="Y89" s="1032">
        <v>1</v>
      </c>
      <c r="Z89" s="568">
        <v>1</v>
      </c>
      <c r="AA89" s="568">
        <v>1</v>
      </c>
      <c r="AB89" s="1032">
        <v>1</v>
      </c>
      <c r="AC89" s="1032">
        <v>1</v>
      </c>
      <c r="AD89" s="955">
        <f t="shared" si="4"/>
        <v>8</v>
      </c>
    </row>
    <row r="90" spans="1:30" ht="14.65" customHeight="1" x14ac:dyDescent="0.35">
      <c r="A90" s="871">
        <v>45404</v>
      </c>
      <c r="B90" s="783" t="s">
        <v>2486</v>
      </c>
      <c r="C90" s="783" t="s">
        <v>7969</v>
      </c>
      <c r="D90" s="783" t="s">
        <v>5375</v>
      </c>
      <c r="E90" s="783" t="s">
        <v>175</v>
      </c>
      <c r="F90" s="1038" t="s">
        <v>8033</v>
      </c>
      <c r="G90" s="511">
        <v>45390</v>
      </c>
      <c r="H90">
        <v>99</v>
      </c>
      <c r="I90">
        <v>0</v>
      </c>
      <c r="J90" s="549" t="s">
        <v>8034</v>
      </c>
      <c r="K90" s="1036" t="s">
        <v>4664</v>
      </c>
      <c r="L90" s="1037" t="s">
        <v>8006</v>
      </c>
      <c r="M90" s="1037" t="s">
        <v>8035</v>
      </c>
      <c r="N90" s="1035" t="s">
        <v>4749</v>
      </c>
      <c r="O90" s="1035" t="s">
        <v>8036</v>
      </c>
      <c r="P90" s="1031"/>
      <c r="Q90" s="1031"/>
      <c r="T90" s="1031"/>
      <c r="U90" s="1031"/>
      <c r="X90" s="1031"/>
      <c r="Y90" s="1031"/>
      <c r="Z90" s="998">
        <v>1</v>
      </c>
      <c r="AA90" s="568"/>
      <c r="AB90" s="1031"/>
      <c r="AC90" s="1031"/>
      <c r="AD90" s="955">
        <f t="shared" si="4"/>
        <v>1</v>
      </c>
    </row>
    <row r="91" spans="1:30" ht="14.65" customHeight="1" x14ac:dyDescent="0.35">
      <c r="A91" s="871">
        <v>45404</v>
      </c>
      <c r="B91" s="783" t="s">
        <v>2486</v>
      </c>
      <c r="C91" s="783" t="s">
        <v>7969</v>
      </c>
      <c r="D91" s="783" t="s">
        <v>5375</v>
      </c>
      <c r="E91" s="783" t="s">
        <v>174</v>
      </c>
      <c r="F91" s="1038" t="s">
        <v>8016</v>
      </c>
      <c r="G91" s="785">
        <v>45330</v>
      </c>
      <c r="H91" s="786">
        <v>99</v>
      </c>
      <c r="I91" s="784">
        <v>0</v>
      </c>
      <c r="J91" s="549" t="s">
        <v>8017</v>
      </c>
      <c r="K91" s="1036" t="s">
        <v>4955</v>
      </c>
      <c r="L91" s="1037" t="s">
        <v>2623</v>
      </c>
      <c r="M91" s="1037" t="s">
        <v>4135</v>
      </c>
      <c r="N91" s="551" t="s">
        <v>5454</v>
      </c>
      <c r="O91" s="146" t="s">
        <v>8018</v>
      </c>
      <c r="P91" s="1032">
        <v>1</v>
      </c>
      <c r="Q91" s="1032"/>
      <c r="R91" s="568"/>
      <c r="S91" s="568"/>
      <c r="T91" s="1032">
        <v>1</v>
      </c>
      <c r="U91" s="1032"/>
      <c r="V91" s="568"/>
      <c r="W91" s="568"/>
      <c r="X91" s="1032"/>
      <c r="Y91" s="1032"/>
      <c r="Z91" s="568">
        <v>1</v>
      </c>
      <c r="AA91" s="568"/>
      <c r="AB91" s="1032">
        <v>1</v>
      </c>
      <c r="AC91" s="1032"/>
      <c r="AD91" s="955">
        <f t="shared" si="4"/>
        <v>4</v>
      </c>
    </row>
    <row r="92" spans="1:30" ht="14.65" customHeight="1" x14ac:dyDescent="0.35">
      <c r="A92" s="871">
        <v>45404</v>
      </c>
      <c r="B92" s="783" t="s">
        <v>2486</v>
      </c>
      <c r="C92" s="783" t="s">
        <v>7969</v>
      </c>
      <c r="D92" s="783" t="s">
        <v>5375</v>
      </c>
      <c r="E92" s="783" t="s">
        <v>174</v>
      </c>
      <c r="F92" s="1038" t="s">
        <v>8016</v>
      </c>
      <c r="G92" s="785">
        <v>45330</v>
      </c>
      <c r="H92" s="786">
        <v>99</v>
      </c>
      <c r="I92" s="784">
        <v>0</v>
      </c>
      <c r="J92" s="549" t="s">
        <v>8017</v>
      </c>
      <c r="K92" s="1036" t="s">
        <v>4664</v>
      </c>
      <c r="L92" s="1037" t="s">
        <v>6713</v>
      </c>
      <c r="M92" s="1037" t="s">
        <v>4135</v>
      </c>
      <c r="N92" s="551" t="s">
        <v>5454</v>
      </c>
      <c r="O92" s="146" t="s">
        <v>8019</v>
      </c>
      <c r="P92" s="1032">
        <v>1</v>
      </c>
      <c r="Q92" s="1032"/>
      <c r="R92" s="568"/>
      <c r="S92" s="568"/>
      <c r="T92" s="1032">
        <v>1</v>
      </c>
      <c r="U92" s="1032"/>
      <c r="V92" s="568"/>
      <c r="W92" s="568"/>
      <c r="X92" s="1032"/>
      <c r="Y92" s="1032"/>
      <c r="Z92" s="568">
        <v>1</v>
      </c>
      <c r="AA92" s="568"/>
      <c r="AB92" s="1032">
        <v>1</v>
      </c>
      <c r="AC92" s="1032"/>
      <c r="AD92" s="955">
        <f t="shared" si="4"/>
        <v>4</v>
      </c>
    </row>
    <row r="93" spans="1:30" ht="14.65" customHeight="1" x14ac:dyDescent="0.35">
      <c r="A93" s="871">
        <v>45404</v>
      </c>
      <c r="B93" s="783" t="s">
        <v>2486</v>
      </c>
      <c r="C93" s="783" t="s">
        <v>3760</v>
      </c>
      <c r="D93" s="783" t="s">
        <v>5375</v>
      </c>
      <c r="E93" s="783" t="s">
        <v>174</v>
      </c>
      <c r="F93" s="1038" t="s">
        <v>7448</v>
      </c>
      <c r="G93" s="785">
        <v>45237</v>
      </c>
      <c r="H93" s="786">
        <v>125</v>
      </c>
      <c r="I93" s="784">
        <v>0</v>
      </c>
      <c r="J93" s="549" t="s">
        <v>7451</v>
      </c>
      <c r="K93" s="1036" t="s">
        <v>4664</v>
      </c>
      <c r="L93" s="1037" t="s">
        <v>7449</v>
      </c>
      <c r="M93" s="1037" t="s">
        <v>7450</v>
      </c>
      <c r="N93" s="829" t="s">
        <v>4755</v>
      </c>
      <c r="O93" s="829" t="s">
        <v>7452</v>
      </c>
      <c r="P93" s="1032"/>
      <c r="Q93" s="1032"/>
      <c r="R93" s="568"/>
      <c r="S93" s="568"/>
      <c r="T93" s="1032"/>
      <c r="U93" s="1032"/>
      <c r="V93" s="568"/>
      <c r="W93" s="568"/>
      <c r="X93" s="1032"/>
      <c r="Y93" s="1032"/>
      <c r="Z93" s="568"/>
      <c r="AA93" s="568">
        <v>1</v>
      </c>
      <c r="AB93" s="1032"/>
      <c r="AC93" s="1032">
        <v>1</v>
      </c>
      <c r="AD93" s="955">
        <f t="shared" si="4"/>
        <v>2</v>
      </c>
    </row>
    <row r="94" spans="1:30" ht="14.65" customHeight="1" x14ac:dyDescent="0.35">
      <c r="A94" s="871">
        <v>45404</v>
      </c>
      <c r="B94" s="880" t="s">
        <v>2486</v>
      </c>
      <c r="C94" s="783" t="s">
        <v>3760</v>
      </c>
      <c r="D94" s="783" t="s">
        <v>5375</v>
      </c>
      <c r="E94" s="783" t="s">
        <v>175</v>
      </c>
      <c r="F94" s="1038" t="s">
        <v>7996</v>
      </c>
      <c r="G94" s="785">
        <v>45377</v>
      </c>
      <c r="H94" s="786">
        <v>99</v>
      </c>
      <c r="I94" s="784">
        <v>0</v>
      </c>
      <c r="J94" s="549" t="s">
        <v>7997</v>
      </c>
      <c r="K94" s="1036" t="s">
        <v>4664</v>
      </c>
      <c r="L94" s="1037" t="s">
        <v>3993</v>
      </c>
      <c r="M94" s="1037" t="s">
        <v>7998</v>
      </c>
      <c r="N94" s="551" t="s">
        <v>5454</v>
      </c>
      <c r="O94" s="146" t="s">
        <v>7999</v>
      </c>
      <c r="P94" s="1032"/>
      <c r="Q94" s="1032"/>
      <c r="R94" s="568"/>
      <c r="S94" s="568">
        <v>1</v>
      </c>
      <c r="T94" s="1032"/>
      <c r="U94" s="1032"/>
      <c r="V94" s="568"/>
      <c r="W94" s="568"/>
      <c r="X94" s="1032"/>
      <c r="Y94" s="1032"/>
      <c r="Z94" s="568"/>
      <c r="AA94" s="568">
        <v>1</v>
      </c>
      <c r="AB94" s="1032"/>
      <c r="AC94" s="1032">
        <v>1</v>
      </c>
      <c r="AD94" s="955">
        <f t="shared" si="4"/>
        <v>3</v>
      </c>
    </row>
  </sheetData>
  <mergeCells count="14">
    <mergeCell ref="R2:S2"/>
    <mergeCell ref="P2:Q2"/>
    <mergeCell ref="X31:Y31"/>
    <mergeCell ref="V31:W31"/>
    <mergeCell ref="AB31:AC31"/>
    <mergeCell ref="Z31:AA31"/>
    <mergeCell ref="P31:Q31"/>
    <mergeCell ref="T31:U31"/>
    <mergeCell ref="R31:S31"/>
    <mergeCell ref="V2:W2"/>
    <mergeCell ref="T2:U2"/>
    <mergeCell ref="Z2:AA2"/>
    <mergeCell ref="X2:Y2"/>
    <mergeCell ref="AB2:AC2"/>
  </mergeCells>
  <conditionalFormatting sqref="AD4:AD25 AD54 AD60:AD62 AD65:AD78 AD80:AD84 AD88:AD94">
    <cfRule type="cellIs" dxfId="8" priority="4" operator="lessThan">
      <formula>2</formula>
    </cfRule>
  </conditionalFormatting>
  <conditionalFormatting sqref="C60:C62 C65:C78 C80:C84 C88:C94">
    <cfRule type="containsText" dxfId="7" priority="1" operator="containsText" text="pm">
      <formula>NOT(ISERROR(SEARCH("pm",C60)))</formula>
    </cfRule>
    <cfRule type="containsText" dxfId="6" priority="2" operator="containsText" text="AM">
      <formula>NOT(ISERROR(SEARCH("AM",C60)))</formula>
    </cfRule>
  </conditionalFormatting>
  <hyperlinks>
    <hyperlink ref="J6" r:id="rId1" xr:uid="{00000000-0004-0000-2200-000000000000}"/>
    <hyperlink ref="J20" r:id="rId2" xr:uid="{00000000-0004-0000-2200-000001000000}"/>
    <hyperlink ref="J21" r:id="rId3" xr:uid="{00000000-0004-0000-2200-000002000000}"/>
    <hyperlink ref="J67" r:id="rId4" xr:uid="{00000000-0004-0000-2200-000003000000}"/>
    <hyperlink ref="J69" r:id="rId5" xr:uid="{00000000-0004-0000-2200-000004000000}"/>
    <hyperlink ref="J70" r:id="rId6" xr:uid="{00000000-0004-0000-2200-000005000000}"/>
  </hyperlinks>
  <pageMargins left="0.7" right="0.7" top="0.75" bottom="0.75" header="0.3" footer="0.3"/>
  <pageSetup paperSize="9" scale="15" orientation="landscape"/>
  <legacyDrawing r:id="rId7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>
    <tabColor rgb="FFFFC000"/>
  </sheetPr>
  <dimension ref="A1:H41"/>
  <sheetViews>
    <sheetView workbookViewId="0">
      <selection activeCell="C8" sqref="C8"/>
    </sheetView>
  </sheetViews>
  <sheetFormatPr defaultRowHeight="12.75" x14ac:dyDescent="0.35"/>
  <cols>
    <col min="1" max="1" width="36.86328125" style="1205" bestFit="1" customWidth="1"/>
    <col min="2" max="2" width="17.53125" style="1205" bestFit="1" customWidth="1"/>
    <col min="3" max="3" width="11.46484375" style="1205" bestFit="1" customWidth="1"/>
    <col min="4" max="4" width="8.6640625" style="1205" bestFit="1" customWidth="1"/>
    <col min="5" max="5" width="7.86328125" style="1205" bestFit="1" customWidth="1"/>
    <col min="6" max="6" width="12.33203125" style="1205" bestFit="1" customWidth="1"/>
    <col min="7" max="7" width="7.86328125" style="1205" bestFit="1" customWidth="1"/>
    <col min="8" max="8" width="12.33203125" style="1205" bestFit="1" customWidth="1"/>
  </cols>
  <sheetData>
    <row r="1" spans="1:6" x14ac:dyDescent="0.35">
      <c r="A1" s="716" t="s">
        <v>191</v>
      </c>
      <c r="B1" t="s">
        <v>5372</v>
      </c>
    </row>
    <row r="3" spans="1:6" x14ac:dyDescent="0.35">
      <c r="A3" s="716" t="s">
        <v>5373</v>
      </c>
      <c r="B3" s="716" t="s">
        <v>2842</v>
      </c>
    </row>
    <row r="4" spans="1:6" x14ac:dyDescent="0.35">
      <c r="A4" s="716" t="s">
        <v>2843</v>
      </c>
      <c r="B4" t="s">
        <v>4376</v>
      </c>
      <c r="C4" t="s">
        <v>316</v>
      </c>
      <c r="D4" t="s">
        <v>4370</v>
      </c>
      <c r="E4" t="s">
        <v>2846</v>
      </c>
      <c r="F4" t="s">
        <v>2845</v>
      </c>
    </row>
    <row r="5" spans="1:6" x14ac:dyDescent="0.35">
      <c r="A5" s="717" t="s">
        <v>1058</v>
      </c>
      <c r="B5" s="572">
        <v>1580</v>
      </c>
      <c r="C5" s="572"/>
      <c r="D5" s="572"/>
      <c r="E5" s="572"/>
      <c r="F5" s="572">
        <v>1580</v>
      </c>
    </row>
    <row r="6" spans="1:6" x14ac:dyDescent="0.35">
      <c r="A6" s="717" t="s">
        <v>8045</v>
      </c>
      <c r="B6" s="572">
        <v>1190</v>
      </c>
      <c r="C6" s="572"/>
      <c r="D6" s="572"/>
      <c r="E6" s="572"/>
      <c r="F6" s="572">
        <v>1190</v>
      </c>
    </row>
    <row r="7" spans="1:6" x14ac:dyDescent="0.35">
      <c r="A7" s="717" t="s">
        <v>2576</v>
      </c>
      <c r="B7" s="572">
        <v>721.5</v>
      </c>
      <c r="C7" s="572"/>
      <c r="D7" s="572"/>
      <c r="E7" s="572"/>
      <c r="F7" s="572">
        <v>721.5</v>
      </c>
    </row>
    <row r="8" spans="1:6" x14ac:dyDescent="0.35">
      <c r="A8" s="717" t="s">
        <v>2195</v>
      </c>
      <c r="B8" s="572"/>
      <c r="C8" s="572">
        <v>475</v>
      </c>
      <c r="D8" s="572">
        <v>225</v>
      </c>
      <c r="E8" s="572"/>
      <c r="F8" s="572">
        <v>700</v>
      </c>
    </row>
    <row r="9" spans="1:6" x14ac:dyDescent="0.35">
      <c r="A9" s="717" t="s">
        <v>8046</v>
      </c>
      <c r="B9" s="572"/>
      <c r="C9" s="572">
        <v>275</v>
      </c>
      <c r="D9" s="572"/>
      <c r="E9" s="572"/>
      <c r="F9" s="572">
        <v>275</v>
      </c>
    </row>
    <row r="10" spans="1:6" x14ac:dyDescent="0.35">
      <c r="A10" s="717" t="s">
        <v>1236</v>
      </c>
      <c r="B10" s="572">
        <v>270</v>
      </c>
      <c r="C10" s="572"/>
      <c r="D10" s="572"/>
      <c r="E10" s="572"/>
      <c r="F10" s="572">
        <v>270</v>
      </c>
    </row>
    <row r="11" spans="1:6" x14ac:dyDescent="0.35">
      <c r="A11" s="717" t="s">
        <v>8047</v>
      </c>
      <c r="B11" s="572"/>
      <c r="C11" s="572">
        <v>250</v>
      </c>
      <c r="D11" s="572"/>
      <c r="E11" s="572"/>
      <c r="F11" s="572">
        <v>250</v>
      </c>
    </row>
    <row r="12" spans="1:6" x14ac:dyDescent="0.35">
      <c r="A12" s="717" t="s">
        <v>8048</v>
      </c>
      <c r="B12" s="572">
        <v>45</v>
      </c>
      <c r="C12" s="572"/>
      <c r="D12" s="572"/>
      <c r="E12" s="572"/>
      <c r="F12" s="572">
        <v>45</v>
      </c>
    </row>
    <row r="13" spans="1:6" x14ac:dyDescent="0.35">
      <c r="A13" s="717" t="s">
        <v>8049</v>
      </c>
      <c r="B13" s="572">
        <v>45</v>
      </c>
      <c r="C13" s="572"/>
      <c r="D13" s="572"/>
      <c r="E13" s="572"/>
      <c r="F13" s="572">
        <v>45</v>
      </c>
    </row>
    <row r="14" spans="1:6" x14ac:dyDescent="0.35">
      <c r="A14" s="717" t="s">
        <v>2846</v>
      </c>
      <c r="B14" s="572"/>
      <c r="C14" s="572"/>
      <c r="D14" s="572"/>
      <c r="E14" s="572"/>
      <c r="F14" s="572"/>
    </row>
    <row r="15" spans="1:6" x14ac:dyDescent="0.35">
      <c r="A15" s="717" t="s">
        <v>2845</v>
      </c>
      <c r="B15" s="572">
        <v>3851.5</v>
      </c>
      <c r="C15" s="572">
        <v>1000</v>
      </c>
      <c r="D15" s="572">
        <v>225</v>
      </c>
      <c r="E15" s="572"/>
      <c r="F15" s="572">
        <v>5076.5</v>
      </c>
    </row>
    <row r="27" spans="1:6" x14ac:dyDescent="0.35">
      <c r="A27" s="716" t="s">
        <v>4934</v>
      </c>
      <c r="B27" t="s">
        <v>5372</v>
      </c>
    </row>
    <row r="29" spans="1:6" x14ac:dyDescent="0.35">
      <c r="A29" s="716" t="s">
        <v>5383</v>
      </c>
      <c r="B29" s="716" t="s">
        <v>2842</v>
      </c>
    </row>
    <row r="30" spans="1:6" x14ac:dyDescent="0.35">
      <c r="A30" s="716" t="s">
        <v>2843</v>
      </c>
      <c r="B30" t="s">
        <v>4376</v>
      </c>
      <c r="C30" t="s">
        <v>316</v>
      </c>
      <c r="D30" t="s">
        <v>4370</v>
      </c>
      <c r="E30" t="s">
        <v>2846</v>
      </c>
      <c r="F30" t="s">
        <v>2845</v>
      </c>
    </row>
    <row r="31" spans="1:6" x14ac:dyDescent="0.35">
      <c r="A31" s="717" t="s">
        <v>1236</v>
      </c>
      <c r="B31" s="572">
        <v>9</v>
      </c>
      <c r="C31" s="572"/>
      <c r="D31" s="572"/>
      <c r="E31" s="572"/>
      <c r="F31" s="572">
        <v>9</v>
      </c>
    </row>
    <row r="32" spans="1:6" x14ac:dyDescent="0.35">
      <c r="A32" s="717" t="s">
        <v>8045</v>
      </c>
      <c r="B32" s="572">
        <v>5</v>
      </c>
      <c r="C32" s="572"/>
      <c r="D32" s="572"/>
      <c r="E32" s="572"/>
      <c r="F32" s="572">
        <v>5</v>
      </c>
    </row>
    <row r="33" spans="1:6" x14ac:dyDescent="0.35">
      <c r="A33" s="717" t="s">
        <v>1058</v>
      </c>
      <c r="B33" s="572">
        <v>4</v>
      </c>
      <c r="C33" s="572"/>
      <c r="D33" s="572"/>
      <c r="E33" s="572"/>
      <c r="F33" s="572">
        <v>4</v>
      </c>
    </row>
    <row r="34" spans="1:6" x14ac:dyDescent="0.35">
      <c r="A34" s="717" t="s">
        <v>2576</v>
      </c>
      <c r="B34" s="572">
        <v>4</v>
      </c>
      <c r="C34" s="572"/>
      <c r="D34" s="572"/>
      <c r="E34" s="572"/>
      <c r="F34" s="572">
        <v>4</v>
      </c>
    </row>
    <row r="35" spans="1:6" x14ac:dyDescent="0.35">
      <c r="A35" s="717" t="s">
        <v>2195</v>
      </c>
      <c r="B35" s="572"/>
      <c r="C35" s="572">
        <v>2</v>
      </c>
      <c r="D35" s="572">
        <v>1</v>
      </c>
      <c r="E35" s="572"/>
      <c r="F35" s="572">
        <v>3</v>
      </c>
    </row>
    <row r="36" spans="1:6" x14ac:dyDescent="0.35">
      <c r="A36" s="717" t="s">
        <v>8048</v>
      </c>
      <c r="B36" s="572">
        <v>1</v>
      </c>
      <c r="C36" s="572"/>
      <c r="D36" s="572"/>
      <c r="E36" s="572"/>
      <c r="F36" s="572">
        <v>1</v>
      </c>
    </row>
    <row r="37" spans="1:6" x14ac:dyDescent="0.35">
      <c r="A37" s="717" t="s">
        <v>8046</v>
      </c>
      <c r="B37" s="572"/>
      <c r="C37" s="572">
        <v>1</v>
      </c>
      <c r="D37" s="572"/>
      <c r="E37" s="572"/>
      <c r="F37" s="572">
        <v>1</v>
      </c>
    </row>
    <row r="38" spans="1:6" x14ac:dyDescent="0.35">
      <c r="A38" s="717" t="s">
        <v>8047</v>
      </c>
      <c r="B38" s="572"/>
      <c r="C38" s="572">
        <v>1</v>
      </c>
      <c r="D38" s="572"/>
      <c r="E38" s="572"/>
      <c r="F38" s="572">
        <v>1</v>
      </c>
    </row>
    <row r="39" spans="1:6" x14ac:dyDescent="0.35">
      <c r="A39" s="717" t="s">
        <v>8049</v>
      </c>
      <c r="B39" s="572">
        <v>1</v>
      </c>
      <c r="C39" s="572"/>
      <c r="D39" s="572"/>
      <c r="E39" s="572"/>
      <c r="F39" s="572">
        <v>1</v>
      </c>
    </row>
    <row r="40" spans="1:6" x14ac:dyDescent="0.35">
      <c r="A40" s="717" t="s">
        <v>2846</v>
      </c>
      <c r="B40" s="572"/>
      <c r="C40" s="572"/>
      <c r="D40" s="572"/>
      <c r="E40" s="572"/>
      <c r="F40" s="572"/>
    </row>
    <row r="41" spans="1:6" x14ac:dyDescent="0.35">
      <c r="A41" s="717" t="s">
        <v>2845</v>
      </c>
      <c r="B41" s="572">
        <v>24</v>
      </c>
      <c r="C41" s="572">
        <v>4</v>
      </c>
      <c r="D41" s="572">
        <v>1</v>
      </c>
      <c r="E41" s="572"/>
      <c r="F41" s="572">
        <v>29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>
    <tabColor rgb="FFFF0066"/>
    <pageSetUpPr fitToPage="1"/>
  </sheetPr>
  <dimension ref="A2:ED84"/>
  <sheetViews>
    <sheetView topLeftCell="G1" workbookViewId="0">
      <selection activeCell="G21" sqref="G21"/>
    </sheetView>
  </sheetViews>
  <sheetFormatPr defaultColWidth="9.1328125" defaultRowHeight="13.5" x14ac:dyDescent="0.35"/>
  <cols>
    <col min="1" max="1" width="5.19921875" style="75" customWidth="1"/>
    <col min="2" max="2" width="11.19921875" style="588" bestFit="1" customWidth="1"/>
    <col min="3" max="3" width="12.46484375" style="1" customWidth="1"/>
    <col min="4" max="4" width="13" style="1" customWidth="1"/>
    <col min="5" max="5" width="10.796875" style="588" customWidth="1"/>
    <col min="6" max="6" width="18.19921875" style="588" customWidth="1"/>
    <col min="7" max="7" width="37.6640625" style="588" customWidth="1"/>
    <col min="8" max="8" width="9.1328125" style="588" customWidth="1"/>
    <col min="9" max="9" width="18.1328125" style="588" customWidth="1"/>
    <col min="10" max="10" width="16.1328125" style="588" bestFit="1" customWidth="1"/>
    <col min="11" max="11" width="8.46484375" style="656" hidden="1" customWidth="1"/>
    <col min="12" max="12" width="14.46484375" style="656" hidden="1" customWidth="1"/>
    <col min="13" max="13" width="17.46484375" style="656" customWidth="1"/>
    <col min="14" max="14" width="10.1328125" style="656" bestFit="1" customWidth="1"/>
    <col min="15" max="15" width="8.86328125" style="591" customWidth="1"/>
    <col min="16" max="16" width="15.53125" style="591" hidden="1" customWidth="1"/>
    <col min="17" max="17" width="11.796875" style="591" hidden="1" customWidth="1"/>
    <col min="18" max="18" width="9.46484375" style="591" customWidth="1"/>
    <col min="19" max="19" width="12.19921875" style="588" hidden="1" customWidth="1"/>
    <col min="20" max="20" width="11.1328125" style="588" hidden="1" customWidth="1"/>
    <col min="21" max="21" width="11.33203125" style="588" hidden="1" customWidth="1"/>
    <col min="22" max="22" width="8.46484375" style="588" hidden="1" customWidth="1"/>
    <col min="23" max="23" width="8.53125" style="588" hidden="1" customWidth="1"/>
    <col min="24" max="24" width="11.19921875" style="588" hidden="1" customWidth="1"/>
    <col min="25" max="25" width="12" style="588" hidden="1" customWidth="1"/>
    <col min="26" max="26" width="10.33203125" style="588" hidden="1" customWidth="1"/>
    <col min="27" max="28" width="10.19921875" style="588" hidden="1" customWidth="1"/>
    <col min="29" max="34" width="13.46484375" style="664" hidden="1" customWidth="1"/>
    <col min="35" max="37" width="13.19921875" style="664" hidden="1" customWidth="1"/>
    <col min="38" max="42" width="13.19921875" style="588" hidden="1" customWidth="1"/>
    <col min="43" max="43" width="12.53125" style="588" hidden="1" customWidth="1"/>
    <col min="44" max="44" width="11.796875" style="588" hidden="1" customWidth="1"/>
    <col min="45" max="45" width="12.46484375" style="588" hidden="1" customWidth="1"/>
    <col min="46" max="46" width="12.19921875" style="588" hidden="1" customWidth="1"/>
    <col min="47" max="47" width="12.1328125" style="588" hidden="1" customWidth="1"/>
    <col min="48" max="48" width="11.53125" style="588" hidden="1" customWidth="1"/>
    <col min="49" max="49" width="12" style="588" hidden="1" customWidth="1"/>
    <col min="50" max="50" width="11.1328125" style="588" hidden="1" customWidth="1"/>
    <col min="51" max="51" width="11.46484375" style="588" hidden="1" customWidth="1"/>
    <col min="52" max="52" width="11.86328125" style="588" hidden="1" customWidth="1"/>
    <col min="53" max="53" width="10.86328125" style="588" hidden="1" customWidth="1"/>
    <col min="54" max="54" width="12.46484375" style="588" hidden="1" customWidth="1"/>
    <col min="55" max="55" width="11.6640625" style="588" hidden="1" customWidth="1"/>
    <col min="56" max="56" width="11.46484375" style="588" hidden="1" customWidth="1"/>
    <col min="57" max="66" width="12.53125" style="588" hidden="1" customWidth="1"/>
    <col min="67" max="68" width="11" style="588" hidden="1" customWidth="1"/>
    <col min="69" max="69" width="11.53125" style="588" hidden="1" customWidth="1"/>
    <col min="70" max="73" width="9.1328125" style="588" hidden="1" customWidth="1"/>
    <col min="74" max="74" width="12.19921875" style="588" hidden="1" customWidth="1"/>
    <col min="75" max="75" width="11.33203125" style="588" hidden="1" customWidth="1"/>
    <col min="76" max="78" width="12.1328125" style="588" hidden="1" customWidth="1"/>
    <col min="79" max="79" width="12.46484375" style="588" hidden="1" customWidth="1"/>
    <col min="80" max="81" width="12.1328125" style="588" hidden="1" customWidth="1"/>
    <col min="82" max="82" width="11.1328125" style="588" hidden="1" customWidth="1"/>
    <col min="83" max="83" width="11.796875" style="588" hidden="1" customWidth="1"/>
    <col min="84" max="84" width="12.1328125" style="588" hidden="1" customWidth="1"/>
    <col min="85" max="85" width="11.796875" style="588" hidden="1" customWidth="1"/>
    <col min="86" max="86" width="11.86328125" style="588" hidden="1" customWidth="1"/>
    <col min="87" max="88" width="12.1328125" style="588" hidden="1" customWidth="1"/>
    <col min="89" max="89" width="12.19921875" style="588" hidden="1" customWidth="1"/>
    <col min="90" max="90" width="12.1328125" style="588" bestFit="1" customWidth="1"/>
    <col min="91" max="91" width="11.86328125" style="588" bestFit="1" customWidth="1"/>
    <col min="92" max="92" width="12.1328125" style="588" bestFit="1" customWidth="1"/>
    <col min="93" max="93" width="12.1328125" style="588" customWidth="1"/>
    <col min="94" max="95" width="9.1328125" style="588" customWidth="1"/>
    <col min="96" max="96" width="11.33203125" style="588" bestFit="1" customWidth="1"/>
    <col min="97" max="97" width="10.6640625" style="588" bestFit="1" customWidth="1"/>
    <col min="98" max="98" width="12.46484375" style="588" bestFit="1" customWidth="1"/>
    <col min="99" max="99" width="11.796875" style="588" bestFit="1" customWidth="1"/>
    <col min="100" max="100" width="12.1328125" style="588" bestFit="1" customWidth="1"/>
    <col min="101" max="102" width="9.1328125" style="588" customWidth="1"/>
    <col min="103" max="103" width="10.796875" style="588" bestFit="1" customWidth="1"/>
    <col min="104" max="104" width="11.1328125" style="588" bestFit="1" customWidth="1"/>
    <col min="105" max="105" width="12.1328125" style="588" bestFit="1" customWidth="1"/>
    <col min="106" max="106" width="10.19921875" style="588" bestFit="1" customWidth="1"/>
    <col min="107" max="107" width="10.53125" style="588" bestFit="1" customWidth="1"/>
    <col min="108" max="109" width="9.1328125" style="588" customWidth="1"/>
    <col min="110" max="110" width="12.1328125" style="588" bestFit="1" customWidth="1"/>
    <col min="111" max="112" width="9.1328125" style="588" customWidth="1"/>
    <col min="113" max="113" width="11.6640625" style="588" bestFit="1" customWidth="1"/>
    <col min="114" max="115" width="11.86328125" style="588" bestFit="1" customWidth="1"/>
    <col min="116" max="116" width="11.33203125" style="588" bestFit="1" customWidth="1"/>
    <col min="117" max="117" width="11.1328125" style="588" bestFit="1" customWidth="1"/>
    <col min="118" max="118" width="10.53125" style="588" bestFit="1" customWidth="1"/>
    <col min="119" max="119" width="11.46484375" style="588" bestFit="1" customWidth="1"/>
    <col min="120" max="120" width="11.796875" style="588" bestFit="1" customWidth="1"/>
    <col min="121" max="121" width="11.33203125" style="588" bestFit="1" customWidth="1"/>
    <col min="122" max="122" width="11.1328125" style="588" bestFit="1" customWidth="1"/>
    <col min="123" max="123" width="9.1328125" style="588" customWidth="1"/>
    <col min="124" max="16384" width="9.1328125" style="588"/>
  </cols>
  <sheetData>
    <row r="2" spans="1:122" ht="24.75" customHeight="1" x14ac:dyDescent="0.35">
      <c r="G2" s="589"/>
      <c r="I2" s="621" t="s">
        <v>8050</v>
      </c>
      <c r="J2" s="589"/>
      <c r="K2" s="654"/>
      <c r="L2" s="655"/>
      <c r="M2" s="655"/>
      <c r="N2" s="655"/>
      <c r="O2" s="589"/>
      <c r="P2" s="589"/>
      <c r="Q2" s="589"/>
      <c r="R2" s="589"/>
    </row>
    <row r="3" spans="1:122" ht="12.75" customHeight="1" x14ac:dyDescent="0.35">
      <c r="G3" s="589"/>
      <c r="I3" s="589"/>
      <c r="J3" s="589"/>
      <c r="K3" s="654"/>
      <c r="L3" s="655"/>
      <c r="M3" s="655"/>
      <c r="N3" s="655"/>
      <c r="O3" s="589"/>
      <c r="P3" s="589"/>
      <c r="Q3" s="589"/>
      <c r="R3" s="589"/>
    </row>
    <row r="4" spans="1:122" ht="12.75" customHeight="1" x14ac:dyDescent="0.35">
      <c r="G4" s="589"/>
      <c r="I4" s="589"/>
      <c r="J4" s="589"/>
      <c r="K4" s="654"/>
      <c r="L4" s="655"/>
      <c r="M4" s="655"/>
      <c r="N4" s="655"/>
      <c r="O4" s="589"/>
      <c r="P4" s="589"/>
      <c r="Q4" s="589"/>
      <c r="R4" s="589"/>
    </row>
    <row r="5" spans="1:122" x14ac:dyDescent="0.35">
      <c r="F5" s="590" t="s">
        <v>8051</v>
      </c>
    </row>
    <row r="6" spans="1:122" x14ac:dyDescent="0.35">
      <c r="F6" s="592" t="s">
        <v>8052</v>
      </c>
    </row>
    <row r="7" spans="1:122" x14ac:dyDescent="0.35">
      <c r="F7" s="593" t="s">
        <v>8053</v>
      </c>
    </row>
    <row r="9" spans="1:122" s="598" customFormat="1" ht="38.25" customHeight="1" x14ac:dyDescent="0.35">
      <c r="A9" s="251" t="s">
        <v>4501</v>
      </c>
      <c r="B9" s="594" t="s">
        <v>4504</v>
      </c>
      <c r="C9" s="250" t="s">
        <v>129</v>
      </c>
      <c r="D9" s="249" t="s">
        <v>3880</v>
      </c>
      <c r="E9" s="595" t="s">
        <v>191</v>
      </c>
      <c r="F9" s="595" t="s">
        <v>8054</v>
      </c>
      <c r="G9" s="594" t="s">
        <v>4502</v>
      </c>
      <c r="H9" s="594" t="s">
        <v>4938</v>
      </c>
      <c r="I9" s="594" t="s">
        <v>4939</v>
      </c>
      <c r="J9" s="594" t="s">
        <v>4940</v>
      </c>
      <c r="K9" s="596" t="s">
        <v>4941</v>
      </c>
      <c r="L9" s="596" t="s">
        <v>4942</v>
      </c>
      <c r="M9" s="596" t="s">
        <v>8055</v>
      </c>
      <c r="N9" s="596" t="s">
        <v>8056</v>
      </c>
      <c r="O9" s="597" t="s">
        <v>8057</v>
      </c>
      <c r="P9" s="596" t="s">
        <v>8058</v>
      </c>
      <c r="Q9" s="597" t="s">
        <v>8059</v>
      </c>
      <c r="R9" s="597" t="s">
        <v>3974</v>
      </c>
      <c r="S9" s="614" t="s">
        <v>8060</v>
      </c>
      <c r="T9" s="614" t="s">
        <v>8061</v>
      </c>
      <c r="U9" s="614" t="s">
        <v>8062</v>
      </c>
      <c r="V9" s="614" t="s">
        <v>8063</v>
      </c>
      <c r="W9" s="614" t="s">
        <v>8064</v>
      </c>
      <c r="X9" s="614" t="s">
        <v>8065</v>
      </c>
      <c r="Y9" s="614" t="s">
        <v>8066</v>
      </c>
      <c r="Z9" s="614" t="s">
        <v>8067</v>
      </c>
      <c r="AA9" s="614" t="s">
        <v>8068</v>
      </c>
      <c r="AB9" s="614" t="s">
        <v>8069</v>
      </c>
      <c r="AC9" s="614" t="s">
        <v>8070</v>
      </c>
      <c r="AD9" s="614" t="s">
        <v>8071</v>
      </c>
      <c r="AE9" s="614" t="s">
        <v>8072</v>
      </c>
      <c r="AF9" s="614" t="s">
        <v>8073</v>
      </c>
      <c r="AG9" s="614" t="s">
        <v>8074</v>
      </c>
      <c r="AH9" s="614" t="s">
        <v>8075</v>
      </c>
      <c r="AI9" s="614" t="s">
        <v>8076</v>
      </c>
      <c r="AJ9" s="614" t="s">
        <v>8077</v>
      </c>
      <c r="AK9" s="614" t="s">
        <v>8078</v>
      </c>
      <c r="AL9" s="614" t="s">
        <v>8079</v>
      </c>
      <c r="AM9" s="614" t="s">
        <v>8080</v>
      </c>
      <c r="AN9" s="614" t="s">
        <v>8081</v>
      </c>
      <c r="AO9" s="614" t="s">
        <v>8082</v>
      </c>
      <c r="AP9" s="614" t="s">
        <v>8083</v>
      </c>
      <c r="AQ9" s="614" t="s">
        <v>8084</v>
      </c>
      <c r="AR9" s="614" t="s">
        <v>8085</v>
      </c>
      <c r="AS9" s="614" t="s">
        <v>8086</v>
      </c>
      <c r="AT9" s="614" t="s">
        <v>8087</v>
      </c>
      <c r="AU9" s="614" t="s">
        <v>8065</v>
      </c>
      <c r="AV9" s="614" t="s">
        <v>181</v>
      </c>
      <c r="AW9" s="614" t="s">
        <v>8088</v>
      </c>
      <c r="AX9" s="614" t="s">
        <v>8068</v>
      </c>
      <c r="AY9" s="614" t="s">
        <v>8089</v>
      </c>
      <c r="AZ9" s="614" t="s">
        <v>8090</v>
      </c>
      <c r="BA9" s="614" t="s">
        <v>8091</v>
      </c>
      <c r="BB9" s="614" t="s">
        <v>8092</v>
      </c>
      <c r="BC9" s="614" t="s">
        <v>8093</v>
      </c>
      <c r="BD9" s="614" t="s">
        <v>8094</v>
      </c>
      <c r="BE9" s="614" t="s">
        <v>8095</v>
      </c>
      <c r="BF9" s="614" t="s">
        <v>8096</v>
      </c>
      <c r="BG9" s="614" t="s">
        <v>8097</v>
      </c>
      <c r="BH9" s="614" t="s">
        <v>8098</v>
      </c>
      <c r="BI9" s="614" t="s">
        <v>8099</v>
      </c>
      <c r="BJ9" s="614" t="s">
        <v>8100</v>
      </c>
      <c r="BK9" s="614" t="s">
        <v>8101</v>
      </c>
      <c r="BL9" s="614" t="s">
        <v>8102</v>
      </c>
      <c r="BM9" s="614"/>
      <c r="BN9" s="614" t="s">
        <v>8103</v>
      </c>
      <c r="BO9" s="614" t="s">
        <v>8104</v>
      </c>
      <c r="BP9" s="614" t="s">
        <v>8105</v>
      </c>
      <c r="BQ9" s="614" t="s">
        <v>8106</v>
      </c>
      <c r="BR9" s="614" t="s">
        <v>8107</v>
      </c>
      <c r="BS9" s="614" t="s">
        <v>8108</v>
      </c>
      <c r="BT9" s="614" t="s">
        <v>8109</v>
      </c>
      <c r="BU9" s="614" t="s">
        <v>8110</v>
      </c>
      <c r="BV9" s="614" t="s">
        <v>8111</v>
      </c>
      <c r="BW9" s="614" t="s">
        <v>8112</v>
      </c>
      <c r="BX9" s="614" t="s">
        <v>8113</v>
      </c>
      <c r="BY9" s="614" t="s">
        <v>8114</v>
      </c>
      <c r="BZ9" s="614" t="s">
        <v>8115</v>
      </c>
      <c r="CA9" s="614" t="s">
        <v>8116</v>
      </c>
      <c r="CB9" s="614" t="s">
        <v>8117</v>
      </c>
      <c r="CC9" s="614" t="s">
        <v>8118</v>
      </c>
      <c r="CD9" s="614" t="s">
        <v>8119</v>
      </c>
      <c r="CE9" s="614" t="s">
        <v>8120</v>
      </c>
      <c r="CF9" s="614" t="s">
        <v>8121</v>
      </c>
      <c r="CG9" s="614" t="s">
        <v>8122</v>
      </c>
      <c r="CH9" s="614" t="s">
        <v>8123</v>
      </c>
      <c r="CI9" s="614" t="s">
        <v>8124</v>
      </c>
      <c r="CJ9" s="614" t="s">
        <v>8125</v>
      </c>
      <c r="CK9" s="614" t="s">
        <v>8126</v>
      </c>
      <c r="CL9" s="614" t="s">
        <v>8127</v>
      </c>
      <c r="CM9" s="614" t="s">
        <v>8128</v>
      </c>
      <c r="CN9" s="614" t="s">
        <v>8129</v>
      </c>
      <c r="CO9" s="614" t="s">
        <v>8130</v>
      </c>
      <c r="CP9" s="614" t="s">
        <v>8131</v>
      </c>
      <c r="CQ9" s="614" t="s">
        <v>8132</v>
      </c>
      <c r="CR9" s="614" t="s">
        <v>8133</v>
      </c>
      <c r="CS9" s="614" t="s">
        <v>8134</v>
      </c>
      <c r="CT9" s="614" t="s">
        <v>8135</v>
      </c>
      <c r="CU9" s="614" t="s">
        <v>8136</v>
      </c>
      <c r="CV9" s="614" t="s">
        <v>8137</v>
      </c>
      <c r="CW9" s="614" t="s">
        <v>8138</v>
      </c>
      <c r="CX9" s="614" t="s">
        <v>8139</v>
      </c>
      <c r="CY9" s="614" t="s">
        <v>8140</v>
      </c>
      <c r="CZ9" s="614" t="s">
        <v>8141</v>
      </c>
      <c r="DA9" s="614" t="s">
        <v>8142</v>
      </c>
      <c r="DB9" s="614" t="s">
        <v>8143</v>
      </c>
      <c r="DC9" s="614" t="s">
        <v>8144</v>
      </c>
      <c r="DD9" s="614" t="s">
        <v>8145</v>
      </c>
      <c r="DE9" s="614" t="s">
        <v>8146</v>
      </c>
      <c r="DF9" s="614" t="s">
        <v>8147</v>
      </c>
      <c r="DG9" s="614" t="s">
        <v>8148</v>
      </c>
      <c r="DH9" s="614" t="s">
        <v>8149</v>
      </c>
      <c r="DI9" s="614" t="s">
        <v>8150</v>
      </c>
      <c r="DJ9" s="614" t="s">
        <v>8151</v>
      </c>
      <c r="DK9" s="614" t="s">
        <v>8152</v>
      </c>
      <c r="DL9" s="614" t="s">
        <v>8153</v>
      </c>
      <c r="DM9" s="614" t="s">
        <v>8154</v>
      </c>
      <c r="DN9" s="614" t="s">
        <v>8155</v>
      </c>
      <c r="DO9" s="614" t="s">
        <v>8156</v>
      </c>
      <c r="DP9" s="614" t="s">
        <v>8157</v>
      </c>
      <c r="DQ9" s="614" t="s">
        <v>8158</v>
      </c>
      <c r="DR9" s="614" t="s">
        <v>8159</v>
      </c>
    </row>
    <row r="10" spans="1:122" ht="9" customHeight="1" x14ac:dyDescent="0.35">
      <c r="A10" s="186"/>
      <c r="B10" s="599"/>
      <c r="C10" s="248"/>
      <c r="D10" s="248"/>
      <c r="E10" s="599"/>
      <c r="F10" s="599"/>
      <c r="G10" s="600"/>
      <c r="H10" s="601"/>
      <c r="I10" s="601"/>
      <c r="J10" s="601"/>
      <c r="K10" s="602"/>
      <c r="L10" s="657"/>
      <c r="M10" s="657"/>
      <c r="N10" s="657"/>
      <c r="O10" s="603"/>
      <c r="P10" s="603"/>
      <c r="Q10" s="603"/>
      <c r="R10" s="603"/>
      <c r="AL10" s="672"/>
      <c r="AM10" s="672"/>
      <c r="AN10" s="672"/>
      <c r="AO10" s="672"/>
      <c r="AP10" s="672"/>
      <c r="AQ10" s="672"/>
      <c r="AR10" s="672"/>
      <c r="AS10" s="672"/>
      <c r="AT10" s="672"/>
      <c r="AU10" s="672"/>
      <c r="BE10" s="779"/>
      <c r="BF10" s="779"/>
      <c r="BG10" s="779"/>
      <c r="BH10" s="779"/>
      <c r="BI10" s="779"/>
      <c r="BJ10" s="779"/>
      <c r="BK10" s="779"/>
      <c r="BL10" s="779"/>
      <c r="BM10" s="779"/>
      <c r="BN10" s="779"/>
      <c r="BO10" s="779"/>
      <c r="BP10" s="779"/>
      <c r="BQ10" s="779"/>
      <c r="BR10" s="779"/>
      <c r="CB10" s="779"/>
      <c r="CC10" s="779"/>
      <c r="CD10" s="779"/>
      <c r="CE10" s="779"/>
      <c r="CF10" s="779"/>
      <c r="CG10" s="779"/>
      <c r="CH10" s="779"/>
      <c r="CI10" s="779"/>
      <c r="CJ10" s="779"/>
    </row>
    <row r="11" spans="1:122" ht="14.65" customHeight="1" x14ac:dyDescent="0.35">
      <c r="A11" s="75">
        <v>1</v>
      </c>
      <c r="B11" s="855">
        <v>43131</v>
      </c>
      <c r="C11" s="609">
        <v>395</v>
      </c>
      <c r="D11" s="609">
        <v>0</v>
      </c>
      <c r="E11" s="636" t="s">
        <v>5440</v>
      </c>
      <c r="F11" s="636" t="s">
        <v>175</v>
      </c>
      <c r="G11" s="902" t="s">
        <v>8160</v>
      </c>
      <c r="H11" s="239" t="s">
        <v>4664</v>
      </c>
      <c r="I11" s="239" t="s">
        <v>4145</v>
      </c>
      <c r="J11" s="240" t="s">
        <v>4002</v>
      </c>
      <c r="K11" s="658"/>
      <c r="L11" s="662">
        <v>7470403496</v>
      </c>
      <c r="M11" s="662"/>
      <c r="N11" s="662" t="s">
        <v>8161</v>
      </c>
      <c r="O11" s="645">
        <f t="shared" ref="O11:O21" si="0">COUNTA(S11:EB11)</f>
        <v>6</v>
      </c>
      <c r="P11" s="645"/>
      <c r="Q11" s="645"/>
      <c r="R11" s="726">
        <v>43191</v>
      </c>
      <c r="S11" s="644"/>
      <c r="T11" s="644"/>
      <c r="U11" s="644">
        <v>43206</v>
      </c>
      <c r="V11" s="644"/>
      <c r="W11" s="644"/>
      <c r="X11" s="644"/>
      <c r="Y11" s="644"/>
      <c r="Z11" s="644"/>
      <c r="AA11" s="644"/>
      <c r="AB11" s="644"/>
      <c r="AC11" s="672"/>
      <c r="AD11" s="672"/>
      <c r="AE11" s="672"/>
      <c r="AF11" s="672"/>
      <c r="AG11" s="679"/>
      <c r="AH11" s="672">
        <v>43411</v>
      </c>
      <c r="AI11" s="679"/>
      <c r="AJ11" s="672"/>
      <c r="AK11" s="672"/>
      <c r="AL11" s="672">
        <v>43474</v>
      </c>
      <c r="AM11" s="672"/>
      <c r="AN11" s="672"/>
      <c r="AO11" s="672">
        <v>43517</v>
      </c>
      <c r="AP11" s="672"/>
      <c r="AQ11" s="672"/>
      <c r="AR11" s="672"/>
      <c r="AS11" s="672"/>
      <c r="AT11" s="679">
        <v>43584</v>
      </c>
      <c r="AU11" s="672"/>
      <c r="BE11" s="779"/>
      <c r="BF11" s="779"/>
      <c r="BG11" s="779"/>
      <c r="BH11" s="779"/>
      <c r="BI11" s="779"/>
      <c r="BJ11" s="779"/>
      <c r="BK11" s="779"/>
      <c r="BL11" s="779"/>
      <c r="BM11" s="779"/>
      <c r="BN11" s="779"/>
      <c r="BO11" s="779"/>
      <c r="BP11" s="779"/>
      <c r="BQ11" s="779"/>
      <c r="BR11" s="779"/>
      <c r="BV11" s="779"/>
      <c r="BW11" s="779"/>
      <c r="BX11" s="779"/>
      <c r="BY11" s="779"/>
      <c r="BZ11" s="779"/>
      <c r="CA11" s="779"/>
      <c r="CB11" s="779"/>
      <c r="CC11" s="779"/>
      <c r="CD11" s="779"/>
      <c r="CE11" s="779"/>
      <c r="CF11" s="779"/>
      <c r="CG11" s="779">
        <v>44480</v>
      </c>
      <c r="CH11" s="779"/>
      <c r="CI11" s="779"/>
      <c r="CJ11" s="779"/>
      <c r="CK11" s="779"/>
      <c r="CL11" s="779"/>
      <c r="CM11" s="779"/>
      <c r="CN11" s="779"/>
      <c r="CO11" s="779"/>
      <c r="CP11" s="779"/>
      <c r="CQ11" s="779"/>
      <c r="CR11" s="779"/>
      <c r="CS11" s="779"/>
      <c r="CT11" s="779"/>
      <c r="CU11" s="779"/>
      <c r="CV11" s="779"/>
      <c r="CW11" s="779"/>
      <c r="CX11" s="779"/>
      <c r="CY11" s="779"/>
      <c r="CZ11" s="779"/>
      <c r="DA11" s="779"/>
      <c r="DB11" s="779"/>
      <c r="DC11" s="779"/>
      <c r="DD11" s="779"/>
      <c r="DE11" s="779"/>
      <c r="DF11" s="779"/>
      <c r="DG11" s="779"/>
      <c r="DH11" s="779"/>
      <c r="DI11" s="779"/>
      <c r="DJ11" s="779"/>
      <c r="DK11" s="779"/>
      <c r="DL11" s="779"/>
      <c r="DM11" s="779"/>
      <c r="DN11" s="779"/>
      <c r="DO11" s="779"/>
      <c r="DP11" s="779"/>
      <c r="DR11" s="779"/>
    </row>
    <row r="12" spans="1:122" ht="14.65" customHeight="1" x14ac:dyDescent="0.35">
      <c r="A12" s="75">
        <v>2</v>
      </c>
      <c r="O12" s="645">
        <f t="shared" si="0"/>
        <v>0</v>
      </c>
      <c r="DG12" s="779"/>
      <c r="DH12" s="779"/>
      <c r="DI12" s="779"/>
      <c r="DJ12" s="779"/>
      <c r="DK12" s="779"/>
      <c r="DL12" s="779"/>
      <c r="DM12" s="779"/>
      <c r="DN12" s="779"/>
      <c r="DO12" s="779"/>
      <c r="DP12" s="779"/>
      <c r="DR12" s="779"/>
    </row>
    <row r="13" spans="1:122" ht="18" customHeight="1" x14ac:dyDescent="0.35">
      <c r="A13" s="846">
        <v>3</v>
      </c>
      <c r="B13" s="855">
        <v>43793</v>
      </c>
      <c r="C13" s="609">
        <v>395</v>
      </c>
      <c r="D13" s="609">
        <v>0</v>
      </c>
      <c r="E13" s="636" t="s">
        <v>8162</v>
      </c>
      <c r="F13" s="636" t="s">
        <v>175</v>
      </c>
      <c r="G13" s="858" t="s">
        <v>4150</v>
      </c>
      <c r="H13" s="239" t="s">
        <v>4664</v>
      </c>
      <c r="I13" s="239" t="s">
        <v>520</v>
      </c>
      <c r="J13" s="240" t="s">
        <v>521</v>
      </c>
      <c r="N13" s="656" t="s">
        <v>8161</v>
      </c>
      <c r="O13" s="645">
        <f t="shared" si="0"/>
        <v>1</v>
      </c>
      <c r="R13" s="726">
        <v>43862</v>
      </c>
      <c r="BE13" s="779"/>
      <c r="BF13" s="779"/>
      <c r="BG13" s="779">
        <v>43871</v>
      </c>
      <c r="BH13" s="779"/>
      <c r="BI13" s="779"/>
      <c r="BJ13" s="779"/>
      <c r="BK13" s="779"/>
      <c r="BL13" s="779"/>
      <c r="BM13" s="779"/>
      <c r="BN13" s="779"/>
      <c r="BO13" s="779"/>
      <c r="BP13" s="779"/>
      <c r="BQ13" s="779"/>
      <c r="BR13" s="779"/>
      <c r="BV13" s="779"/>
      <c r="BW13" s="779"/>
      <c r="BX13" s="779"/>
      <c r="BY13" s="779"/>
      <c r="BZ13" s="779"/>
      <c r="CA13" s="779"/>
      <c r="CB13" s="779"/>
      <c r="CC13" s="779"/>
      <c r="CD13" s="779"/>
      <c r="CE13" s="779"/>
      <c r="CF13" s="779"/>
      <c r="CG13" s="779"/>
      <c r="CH13" s="779"/>
      <c r="CI13" s="779"/>
      <c r="CJ13" s="779"/>
      <c r="CK13" s="779"/>
      <c r="CL13" s="779"/>
      <c r="CM13" s="779"/>
      <c r="CN13" s="779"/>
      <c r="CO13" s="779"/>
      <c r="CP13" s="779"/>
      <c r="CQ13" s="779"/>
      <c r="CR13" s="779"/>
      <c r="CS13" s="779"/>
      <c r="CT13" s="779"/>
      <c r="CU13" s="779"/>
      <c r="CV13" s="779"/>
      <c r="CW13" s="779"/>
      <c r="CX13" s="779"/>
      <c r="CY13" s="779"/>
      <c r="CZ13" s="779"/>
      <c r="DA13" s="779"/>
      <c r="DB13" s="779"/>
      <c r="DC13" s="779"/>
      <c r="DD13" s="779"/>
      <c r="DE13" s="779"/>
      <c r="DF13" s="779"/>
      <c r="DG13" s="779"/>
      <c r="DH13" s="779"/>
      <c r="DI13" s="779"/>
      <c r="DJ13" s="779"/>
      <c r="DK13" s="779"/>
      <c r="DL13" s="779"/>
      <c r="DM13" s="779"/>
      <c r="DN13" s="779"/>
      <c r="DO13" s="779"/>
      <c r="DP13" s="779"/>
      <c r="DR13" s="779"/>
    </row>
    <row r="14" spans="1:122" ht="15" customHeight="1" x14ac:dyDescent="0.35">
      <c r="A14" s="75">
        <v>4</v>
      </c>
      <c r="B14" s="855">
        <v>43836</v>
      </c>
      <c r="C14" s="609">
        <v>0</v>
      </c>
      <c r="D14" s="609">
        <v>0</v>
      </c>
      <c r="E14" s="636" t="s">
        <v>8163</v>
      </c>
      <c r="F14" s="636" t="s">
        <v>8164</v>
      </c>
      <c r="G14" s="858" t="s">
        <v>8165</v>
      </c>
      <c r="H14" s="239" t="s">
        <v>4664</v>
      </c>
      <c r="I14" s="239" t="s">
        <v>532</v>
      </c>
      <c r="J14" s="240" t="s">
        <v>4468</v>
      </c>
      <c r="N14" s="656" t="s">
        <v>8166</v>
      </c>
      <c r="O14" s="645">
        <f t="shared" si="0"/>
        <v>2</v>
      </c>
      <c r="R14" s="726">
        <v>43862</v>
      </c>
      <c r="BE14" s="779"/>
      <c r="BF14" s="779"/>
      <c r="BG14" s="779">
        <v>43871</v>
      </c>
      <c r="BH14" s="779"/>
      <c r="BI14" s="779"/>
      <c r="BJ14" s="779">
        <v>43922</v>
      </c>
      <c r="BK14" s="779"/>
      <c r="BL14" s="779"/>
      <c r="BM14" s="779"/>
      <c r="BN14" s="779"/>
      <c r="BO14" s="779"/>
      <c r="BP14" s="779"/>
      <c r="BQ14" s="779"/>
      <c r="BR14" s="779"/>
      <c r="BV14" s="779"/>
      <c r="BW14" s="779"/>
      <c r="BX14" s="779"/>
      <c r="BY14" s="779"/>
      <c r="BZ14" s="779"/>
      <c r="CA14" s="779"/>
      <c r="CB14" s="779"/>
      <c r="CC14" s="779"/>
      <c r="CD14" s="779"/>
      <c r="CE14" s="779"/>
      <c r="CF14" s="779"/>
      <c r="CG14" s="779"/>
      <c r="CH14" s="779"/>
      <c r="CI14" s="779"/>
      <c r="CJ14" s="779"/>
      <c r="CK14" s="779"/>
      <c r="CL14" s="779"/>
      <c r="CM14" s="779"/>
      <c r="CN14" s="779"/>
      <c r="CO14" s="779"/>
      <c r="CP14" s="779"/>
      <c r="CQ14" s="779"/>
      <c r="CR14" s="779"/>
      <c r="CS14" s="779"/>
      <c r="CT14" s="779"/>
      <c r="CU14" s="779"/>
      <c r="CV14" s="779"/>
      <c r="CW14" s="779"/>
      <c r="CX14" s="779"/>
      <c r="CY14" s="779"/>
      <c r="CZ14" s="779"/>
      <c r="DA14" s="779"/>
      <c r="DB14" s="779"/>
      <c r="DC14" s="779"/>
      <c r="DD14" s="779"/>
      <c r="DE14" s="779"/>
      <c r="DF14" s="779"/>
      <c r="DG14" s="779"/>
      <c r="DH14" s="779"/>
      <c r="DI14" s="779"/>
      <c r="DJ14" s="779"/>
      <c r="DK14" s="779"/>
      <c r="DL14" s="779"/>
      <c r="DM14" s="779"/>
      <c r="DN14" s="779"/>
      <c r="DO14" s="779"/>
      <c r="DP14" s="779"/>
      <c r="DR14" s="779"/>
    </row>
    <row r="15" spans="1:122" ht="18" customHeight="1" x14ac:dyDescent="0.35">
      <c r="A15" s="846">
        <v>5</v>
      </c>
      <c r="B15" s="616">
        <v>43836</v>
      </c>
      <c r="C15" s="4">
        <v>395</v>
      </c>
      <c r="D15" s="4"/>
      <c r="E15" s="617" t="s">
        <v>8167</v>
      </c>
      <c r="F15" s="617" t="s">
        <v>175</v>
      </c>
      <c r="G15" s="730" t="s">
        <v>8168</v>
      </c>
      <c r="H15" s="91" t="s">
        <v>5045</v>
      </c>
      <c r="I15" s="91" t="s">
        <v>4443</v>
      </c>
      <c r="J15" s="93" t="s">
        <v>4444</v>
      </c>
      <c r="N15" s="656" t="s">
        <v>8166</v>
      </c>
      <c r="O15" s="645">
        <f t="shared" si="0"/>
        <v>4</v>
      </c>
      <c r="R15" s="726" t="s">
        <v>8169</v>
      </c>
      <c r="BI15" s="779"/>
      <c r="BJ15" s="779">
        <v>43922</v>
      </c>
      <c r="BP15" s="779"/>
      <c r="BQ15" s="779"/>
      <c r="BR15" s="779"/>
      <c r="BV15" s="779">
        <v>3.333333333333333</v>
      </c>
      <c r="BW15" s="779"/>
      <c r="BX15" s="779">
        <v>44158</v>
      </c>
      <c r="BY15" s="779"/>
      <c r="BZ15" s="779"/>
      <c r="CA15" s="779">
        <v>44312</v>
      </c>
      <c r="CB15" s="779"/>
      <c r="CC15" s="779"/>
      <c r="CD15" s="779"/>
      <c r="CE15" s="779"/>
      <c r="CF15" s="779"/>
      <c r="CG15" s="779"/>
      <c r="CH15" s="779"/>
      <c r="CI15" s="779"/>
      <c r="CJ15" s="779"/>
      <c r="CK15" s="779"/>
      <c r="CL15" s="779"/>
      <c r="CM15" s="779"/>
      <c r="CN15" s="779"/>
      <c r="CO15" s="779"/>
      <c r="CP15" s="779"/>
      <c r="CQ15" s="779"/>
      <c r="CR15" s="779"/>
      <c r="CS15" s="779"/>
      <c r="CT15" s="779"/>
      <c r="CU15" s="779"/>
      <c r="CV15" s="779"/>
      <c r="CW15" s="779"/>
      <c r="CX15" s="779"/>
      <c r="CY15" s="779"/>
      <c r="CZ15" s="779"/>
      <c r="DA15" s="779"/>
      <c r="DB15" s="779"/>
      <c r="DC15" s="779"/>
      <c r="DD15" s="779"/>
      <c r="DE15" s="779"/>
      <c r="DF15" s="779"/>
      <c r="DG15" s="779"/>
      <c r="DH15" s="779"/>
      <c r="DI15" s="779"/>
      <c r="DJ15" s="779"/>
      <c r="DK15" s="779"/>
      <c r="DL15" s="779"/>
      <c r="DM15" s="779"/>
      <c r="DN15" s="779"/>
      <c r="DO15" s="779"/>
      <c r="DP15" s="779"/>
      <c r="DR15" s="779"/>
    </row>
    <row r="16" spans="1:122" ht="18" customHeight="1" x14ac:dyDescent="0.35">
      <c r="A16" s="75">
        <v>6</v>
      </c>
      <c r="B16" s="855">
        <v>43841</v>
      </c>
      <c r="C16" s="609">
        <v>395</v>
      </c>
      <c r="D16" s="609"/>
      <c r="E16" s="636" t="s">
        <v>8170</v>
      </c>
      <c r="F16" s="636" t="s">
        <v>175</v>
      </c>
      <c r="G16" s="858" t="s">
        <v>5873</v>
      </c>
      <c r="H16" s="239" t="s">
        <v>4664</v>
      </c>
      <c r="I16" s="239" t="s">
        <v>4472</v>
      </c>
      <c r="J16" s="240" t="s">
        <v>4473</v>
      </c>
      <c r="K16" s="859"/>
      <c r="L16" s="859"/>
      <c r="M16" s="859"/>
      <c r="N16" s="656" t="s">
        <v>8161</v>
      </c>
      <c r="O16" s="645">
        <f t="shared" si="0"/>
        <v>5</v>
      </c>
      <c r="R16" s="726" t="s">
        <v>8169</v>
      </c>
      <c r="BE16" s="779"/>
      <c r="BF16" s="779"/>
      <c r="BG16" s="779">
        <v>43871</v>
      </c>
      <c r="BH16" s="779"/>
      <c r="BI16" s="779"/>
      <c r="BJ16" s="779"/>
      <c r="BK16" s="779"/>
      <c r="BP16" s="779"/>
      <c r="BQ16" s="779"/>
      <c r="BR16" s="779"/>
      <c r="BV16" s="779"/>
      <c r="BW16" s="779">
        <v>44123</v>
      </c>
      <c r="BX16" s="779"/>
      <c r="BY16" s="779"/>
      <c r="BZ16" s="779"/>
      <c r="CA16" s="779"/>
      <c r="CB16" s="779"/>
      <c r="CC16" s="779"/>
      <c r="CD16" s="779"/>
      <c r="CE16" s="779"/>
      <c r="CF16" s="779"/>
      <c r="CG16" s="779">
        <v>44480</v>
      </c>
      <c r="CH16" s="779"/>
      <c r="CI16" s="779"/>
      <c r="CJ16" s="779">
        <v>44529</v>
      </c>
      <c r="CK16" s="779">
        <v>44538</v>
      </c>
      <c r="CL16" s="779"/>
      <c r="CM16" s="779"/>
      <c r="CN16" s="779"/>
      <c r="CO16" s="779"/>
      <c r="CP16" s="779"/>
      <c r="CQ16" s="779"/>
      <c r="CR16" s="779"/>
      <c r="CS16" s="779"/>
      <c r="CT16" s="779"/>
      <c r="CU16" s="779"/>
      <c r="CV16" s="779"/>
      <c r="CW16" s="779"/>
      <c r="CX16" s="779"/>
      <c r="CY16" s="779"/>
      <c r="CZ16" s="779"/>
      <c r="DA16" s="779"/>
      <c r="DB16" s="779"/>
      <c r="DC16" s="779"/>
      <c r="DD16" s="779"/>
      <c r="DE16" s="779"/>
      <c r="DF16" s="779"/>
      <c r="DG16" s="779"/>
      <c r="DH16" s="779"/>
      <c r="DI16" s="779"/>
      <c r="DJ16" s="779"/>
      <c r="DK16" s="779"/>
      <c r="DL16" s="779"/>
      <c r="DM16" s="779"/>
      <c r="DN16" s="779"/>
      <c r="DO16" s="779"/>
      <c r="DP16" s="779"/>
      <c r="DR16" s="779"/>
    </row>
    <row r="17" spans="1:134" ht="18" customHeight="1" x14ac:dyDescent="0.35">
      <c r="A17" s="846">
        <v>7</v>
      </c>
      <c r="B17" s="855">
        <v>44420</v>
      </c>
      <c r="C17" s="609">
        <v>395</v>
      </c>
      <c r="D17" s="609"/>
      <c r="E17" s="636" t="s">
        <v>8171</v>
      </c>
      <c r="F17" s="636" t="s">
        <v>174</v>
      </c>
      <c r="G17" s="858" t="s">
        <v>8172</v>
      </c>
      <c r="H17" s="239" t="s">
        <v>5756</v>
      </c>
      <c r="I17" s="239" t="s">
        <v>4979</v>
      </c>
      <c r="J17" s="240" t="s">
        <v>4210</v>
      </c>
      <c r="M17" s="656" t="s">
        <v>8173</v>
      </c>
      <c r="N17" s="656" t="s">
        <v>8166</v>
      </c>
      <c r="O17" s="645">
        <f t="shared" si="0"/>
        <v>3</v>
      </c>
      <c r="R17" s="726">
        <v>44409</v>
      </c>
      <c r="BE17" s="779"/>
      <c r="BF17" s="779"/>
      <c r="BG17" s="779"/>
      <c r="BH17" s="779"/>
      <c r="BI17" s="779"/>
      <c r="BJ17" s="779"/>
      <c r="BK17" s="779"/>
      <c r="BL17" s="779"/>
      <c r="BM17" s="779"/>
      <c r="BN17" s="779"/>
      <c r="BO17" s="779"/>
      <c r="BP17" s="779"/>
      <c r="BQ17" s="779"/>
      <c r="BR17" s="779"/>
      <c r="CB17" s="779"/>
      <c r="CC17" s="779"/>
      <c r="CD17" s="779"/>
      <c r="CE17" s="779">
        <v>44440</v>
      </c>
      <c r="CF17" s="779"/>
      <c r="CG17" s="779"/>
      <c r="CH17" s="779"/>
      <c r="CI17" s="779"/>
      <c r="CJ17" s="779"/>
      <c r="CK17" s="779">
        <v>44538</v>
      </c>
      <c r="CL17" s="779"/>
      <c r="CM17" s="779"/>
      <c r="CN17" s="779"/>
      <c r="CO17" s="779"/>
      <c r="CS17" s="779"/>
      <c r="CT17" s="779"/>
      <c r="CU17" s="779"/>
      <c r="CV17" s="779"/>
      <c r="CW17" s="779"/>
      <c r="CX17" s="779"/>
      <c r="CY17" s="779"/>
      <c r="CZ17" s="779"/>
      <c r="DA17" s="779"/>
      <c r="DB17" s="779"/>
      <c r="DC17" s="779"/>
      <c r="DD17" s="779"/>
      <c r="DE17" s="779"/>
      <c r="DF17" s="779">
        <v>44902</v>
      </c>
      <c r="DG17" s="779"/>
      <c r="DH17" s="779"/>
      <c r="DI17" s="779"/>
      <c r="DJ17" s="779"/>
      <c r="DK17" s="779"/>
      <c r="DL17" s="779"/>
      <c r="DM17" s="779"/>
      <c r="DN17" s="779"/>
      <c r="DO17" s="779"/>
      <c r="DP17" s="779"/>
      <c r="DQ17" s="779"/>
      <c r="DR17" s="779"/>
    </row>
    <row r="18" spans="1:134" ht="18" customHeight="1" x14ac:dyDescent="0.35">
      <c r="A18" s="75">
        <v>8</v>
      </c>
      <c r="B18" s="616">
        <v>44652</v>
      </c>
      <c r="C18" s="4">
        <v>395</v>
      </c>
      <c r="D18" s="4"/>
      <c r="E18" s="617" t="s">
        <v>8174</v>
      </c>
      <c r="F18" s="617" t="s">
        <v>126</v>
      </c>
      <c r="G18" s="730" t="s">
        <v>8175</v>
      </c>
      <c r="H18" s="91" t="s">
        <v>4664</v>
      </c>
      <c r="I18" s="91" t="s">
        <v>8006</v>
      </c>
      <c r="J18" s="93" t="s">
        <v>8176</v>
      </c>
      <c r="M18" s="656" t="s">
        <v>8177</v>
      </c>
      <c r="N18" s="656" t="s">
        <v>8166</v>
      </c>
      <c r="O18" s="645">
        <f t="shared" si="0"/>
        <v>2</v>
      </c>
      <c r="R18" s="726" t="s">
        <v>8178</v>
      </c>
      <c r="CK18" s="779"/>
      <c r="CL18" s="779"/>
      <c r="CM18" s="779"/>
      <c r="CN18" s="779"/>
      <c r="CO18" s="779"/>
      <c r="CT18" s="779">
        <v>44690</v>
      </c>
      <c r="CU18" s="779">
        <v>44707</v>
      </c>
      <c r="CV18" s="779"/>
      <c r="CW18" s="779"/>
      <c r="CX18" s="779"/>
      <c r="CY18" s="779"/>
      <c r="CZ18" s="779"/>
      <c r="DA18" s="779"/>
      <c r="DB18" s="779"/>
      <c r="DC18" s="779"/>
      <c r="DD18" s="779"/>
      <c r="DE18" s="779"/>
      <c r="DF18" s="779"/>
      <c r="DG18" s="779"/>
      <c r="DH18" s="779"/>
      <c r="DI18" s="779"/>
      <c r="DJ18" s="779"/>
      <c r="DK18" s="779"/>
      <c r="DL18" s="779"/>
      <c r="DM18" s="779"/>
      <c r="DN18" s="779"/>
      <c r="DO18" s="779"/>
      <c r="DP18" s="779"/>
      <c r="DQ18" s="779"/>
      <c r="DR18" s="779"/>
    </row>
    <row r="19" spans="1:134" ht="18" customHeight="1" x14ac:dyDescent="0.35">
      <c r="A19" s="846">
        <v>9</v>
      </c>
      <c r="B19" s="616">
        <v>44859</v>
      </c>
      <c r="C19" s="4">
        <v>395</v>
      </c>
      <c r="D19" s="1">
        <v>0</v>
      </c>
      <c r="E19" s="617" t="s">
        <v>8179</v>
      </c>
      <c r="F19" s="617" t="s">
        <v>174</v>
      </c>
      <c r="G19" s="1043" t="s">
        <v>8180</v>
      </c>
      <c r="H19" s="91" t="s">
        <v>4664</v>
      </c>
      <c r="I19" s="91" t="s">
        <v>6713</v>
      </c>
      <c r="J19" s="91" t="s">
        <v>4449</v>
      </c>
      <c r="K19" s="616"/>
      <c r="L19" s="4"/>
      <c r="M19" s="1" t="s">
        <v>8181</v>
      </c>
      <c r="N19" s="656" t="s">
        <v>8166</v>
      </c>
      <c r="O19" s="645">
        <f t="shared" si="0"/>
        <v>2</v>
      </c>
      <c r="R19" s="726">
        <v>45658</v>
      </c>
      <c r="DJ19" s="779">
        <v>44984</v>
      </c>
      <c r="DL19" s="779"/>
      <c r="DM19" s="779">
        <v>45118</v>
      </c>
      <c r="DN19" s="779"/>
      <c r="DO19" s="779"/>
      <c r="DP19" s="779"/>
      <c r="DQ19" s="779"/>
      <c r="DR19" s="779"/>
    </row>
    <row r="20" spans="1:134" ht="18" customHeight="1" x14ac:dyDescent="0.35">
      <c r="A20" s="75">
        <v>10</v>
      </c>
      <c r="B20" s="616">
        <v>45498</v>
      </c>
      <c r="C20" s="1">
        <v>395</v>
      </c>
      <c r="E20" s="588" t="s">
        <v>8182</v>
      </c>
      <c r="F20" s="588" t="s">
        <v>174</v>
      </c>
      <c r="G20" s="1043" t="s">
        <v>4538</v>
      </c>
      <c r="H20" s="91" t="s">
        <v>4955</v>
      </c>
      <c r="I20" s="91" t="s">
        <v>4539</v>
      </c>
      <c r="J20" s="91" t="s">
        <v>4540</v>
      </c>
      <c r="M20" s="1042" t="s">
        <v>4541</v>
      </c>
      <c r="N20" s="656" t="s">
        <v>8166</v>
      </c>
      <c r="O20" s="645">
        <f t="shared" si="0"/>
        <v>1</v>
      </c>
      <c r="R20" s="726" t="s">
        <v>8183</v>
      </c>
      <c r="DR20" s="779">
        <v>45519</v>
      </c>
    </row>
    <row r="21" spans="1:134" ht="18" customHeight="1" x14ac:dyDescent="0.35">
      <c r="A21" s="846">
        <v>11</v>
      </c>
      <c r="B21" s="616">
        <v>45628</v>
      </c>
      <c r="C21" s="1">
        <v>395</v>
      </c>
      <c r="D21" s="1">
        <v>0</v>
      </c>
      <c r="E21" s="588" t="s">
        <v>8184</v>
      </c>
      <c r="F21" s="588" t="s">
        <v>174</v>
      </c>
      <c r="G21" s="1043" t="s">
        <v>8185</v>
      </c>
      <c r="H21" s="91" t="s">
        <v>4664</v>
      </c>
      <c r="I21" s="91" t="s">
        <v>4145</v>
      </c>
      <c r="J21" s="91" t="s">
        <v>8186</v>
      </c>
      <c r="M21" s="1042" t="s">
        <v>7116</v>
      </c>
      <c r="N21" s="656" t="s">
        <v>8166</v>
      </c>
      <c r="O21" s="645">
        <f t="shared" si="0"/>
        <v>0</v>
      </c>
      <c r="R21" s="726">
        <v>45627</v>
      </c>
      <c r="DR21" s="779"/>
    </row>
    <row r="22" spans="1:134" ht="18" customHeight="1" x14ac:dyDescent="0.35">
      <c r="A22" s="75">
        <v>12</v>
      </c>
      <c r="B22" s="616"/>
      <c r="G22" s="1043"/>
      <c r="H22" s="91"/>
      <c r="I22" s="91"/>
      <c r="J22" s="91"/>
      <c r="M22" s="1042"/>
      <c r="O22" s="645"/>
      <c r="R22" s="726"/>
      <c r="DR22" s="779"/>
    </row>
    <row r="23" spans="1:134" ht="18" customHeight="1" x14ac:dyDescent="0.35">
      <c r="A23" s="75">
        <v>13</v>
      </c>
      <c r="B23" s="616"/>
      <c r="G23" s="1043"/>
      <c r="H23" s="91"/>
      <c r="I23" s="91"/>
      <c r="J23" s="91"/>
      <c r="M23" s="1042"/>
      <c r="O23" s="645"/>
      <c r="R23" s="726"/>
      <c r="DR23" s="779"/>
    </row>
    <row r="24" spans="1:134" ht="18" customHeight="1" x14ac:dyDescent="0.35">
      <c r="A24" s="75">
        <v>14</v>
      </c>
      <c r="B24" s="616"/>
      <c r="G24" s="1043"/>
      <c r="H24" s="91"/>
      <c r="I24" s="91"/>
      <c r="J24" s="91"/>
      <c r="M24" s="1042"/>
      <c r="O24" s="645"/>
      <c r="R24" s="726"/>
      <c r="DL24" s="779"/>
      <c r="DM24" s="779"/>
      <c r="DN24" s="779"/>
      <c r="DO24" s="779"/>
      <c r="DP24" s="779"/>
      <c r="DQ24" s="779"/>
      <c r="DR24" s="779"/>
    </row>
    <row r="25" spans="1:134" ht="18" customHeight="1" x14ac:dyDescent="0.35">
      <c r="B25" s="616"/>
      <c r="G25" s="1043"/>
      <c r="H25" s="91"/>
      <c r="I25" s="91"/>
      <c r="J25" s="91"/>
      <c r="M25" s="1042"/>
      <c r="O25" s="645"/>
      <c r="R25" s="726"/>
      <c r="CM25" s="779"/>
      <c r="CN25" s="779"/>
      <c r="CO25" s="779"/>
      <c r="CT25" s="779"/>
      <c r="CU25" s="779"/>
      <c r="CV25" s="779"/>
      <c r="CW25" s="779"/>
      <c r="CX25" s="779"/>
      <c r="CY25" s="779"/>
      <c r="CZ25" s="779"/>
      <c r="DA25" s="779"/>
      <c r="DB25" s="779"/>
      <c r="DC25" s="779"/>
      <c r="DD25" s="779"/>
      <c r="DE25" s="779"/>
      <c r="DF25" s="779"/>
      <c r="DG25" s="779"/>
      <c r="DH25" s="779"/>
      <c r="DI25" s="779"/>
      <c r="DJ25" s="779"/>
      <c r="DK25" s="779"/>
      <c r="DL25" s="779"/>
      <c r="DM25" s="779"/>
      <c r="DN25" s="779"/>
      <c r="DO25" s="779"/>
      <c r="DP25" s="779"/>
      <c r="DQ25" s="779"/>
      <c r="DR25" s="779"/>
    </row>
    <row r="26" spans="1:134" ht="18" customHeight="1" x14ac:dyDescent="0.35">
      <c r="B26" s="616"/>
      <c r="G26" s="730"/>
      <c r="H26" s="91"/>
      <c r="I26" s="91"/>
      <c r="J26" s="91"/>
      <c r="O26" s="645"/>
      <c r="R26" s="726"/>
      <c r="BE26" s="779"/>
      <c r="BF26" s="779"/>
      <c r="BG26" s="779"/>
      <c r="BH26" s="779"/>
      <c r="BI26" s="779"/>
      <c r="BJ26" s="779"/>
      <c r="BK26" s="779"/>
      <c r="BL26" s="779"/>
      <c r="BM26" s="779"/>
      <c r="BN26" s="779"/>
      <c r="BO26" s="779"/>
      <c r="BP26" s="779"/>
      <c r="BQ26" s="779"/>
      <c r="BR26" s="779"/>
      <c r="CB26" s="779"/>
      <c r="CC26" s="779"/>
      <c r="CD26" s="779"/>
      <c r="CE26" s="779"/>
      <c r="CF26" s="779"/>
      <c r="CG26" s="779"/>
      <c r="CH26" s="779"/>
      <c r="CI26" s="779"/>
      <c r="CJ26" s="779"/>
      <c r="CK26" s="779"/>
      <c r="CL26" s="779"/>
      <c r="CM26" s="779"/>
      <c r="CN26" s="779"/>
      <c r="CO26" s="779"/>
      <c r="CT26" s="779"/>
      <c r="CU26" s="779"/>
      <c r="CV26" s="779"/>
      <c r="CW26" s="779"/>
      <c r="CX26" s="779"/>
      <c r="CY26" s="779"/>
      <c r="CZ26" s="779"/>
      <c r="DA26" s="779"/>
      <c r="DB26" s="779"/>
      <c r="DC26" s="779"/>
      <c r="DD26" s="779"/>
      <c r="DE26" s="779"/>
      <c r="DF26" s="779"/>
      <c r="DG26" s="779"/>
      <c r="DH26" s="779"/>
      <c r="DI26" s="779"/>
      <c r="DJ26" s="779"/>
      <c r="DK26" s="779"/>
      <c r="DL26" s="779"/>
      <c r="DM26" s="779"/>
      <c r="DN26" s="779"/>
      <c r="DO26" s="779"/>
      <c r="DP26" s="779"/>
      <c r="DQ26" s="779"/>
      <c r="DR26" s="779"/>
    </row>
    <row r="27" spans="1:134" ht="18" customHeight="1" x14ac:dyDescent="0.35">
      <c r="B27" s="616"/>
      <c r="G27" s="730"/>
      <c r="H27" s="91"/>
      <c r="I27" s="91"/>
      <c r="J27" s="91"/>
      <c r="O27" s="645"/>
      <c r="R27" s="726"/>
      <c r="BE27" s="779"/>
      <c r="BF27" s="779"/>
      <c r="BG27" s="779"/>
      <c r="BH27" s="779"/>
      <c r="BI27" s="779"/>
      <c r="BJ27" s="779"/>
      <c r="BK27" s="779"/>
      <c r="BL27" s="779"/>
      <c r="BM27" s="779"/>
      <c r="BN27" s="779"/>
      <c r="BO27" s="779"/>
      <c r="BP27" s="779"/>
      <c r="BQ27" s="779"/>
      <c r="BR27" s="779"/>
      <c r="CB27" s="779"/>
      <c r="CC27" s="779"/>
      <c r="CD27" s="779"/>
      <c r="CE27" s="779"/>
      <c r="CF27" s="779"/>
      <c r="CG27" s="779"/>
      <c r="CH27" s="779"/>
      <c r="CI27" s="779"/>
      <c r="CJ27" s="779"/>
      <c r="CK27" s="779"/>
      <c r="CL27" s="779"/>
      <c r="CM27" s="779"/>
      <c r="CN27" s="779"/>
      <c r="CO27" s="779"/>
      <c r="CT27" s="779"/>
      <c r="CU27" s="779"/>
      <c r="CV27" s="779"/>
      <c r="CW27" s="779"/>
      <c r="CX27" s="779"/>
      <c r="CY27" s="779"/>
      <c r="CZ27" s="779"/>
      <c r="DA27" s="779"/>
      <c r="DB27" s="779"/>
      <c r="DC27" s="779"/>
      <c r="DD27" s="779"/>
      <c r="DE27" s="779"/>
      <c r="DF27" s="779"/>
      <c r="DG27" s="779"/>
      <c r="DH27" s="779"/>
      <c r="DI27" s="779"/>
      <c r="DJ27" s="779"/>
      <c r="DK27" s="779"/>
      <c r="DL27" s="779"/>
      <c r="DM27" s="779"/>
      <c r="DN27" s="779"/>
      <c r="DO27" s="779"/>
      <c r="DP27" s="779"/>
      <c r="DQ27" s="779"/>
    </row>
    <row r="28" spans="1:134" ht="18" customHeight="1" x14ac:dyDescent="0.35">
      <c r="A28" s="247"/>
      <c r="O28" s="774">
        <f>SUM(S28:CB28)</f>
        <v>14</v>
      </c>
      <c r="P28" s="645">
        <f>COUNTA(P11:P14)</f>
        <v>0</v>
      </c>
      <c r="Q28" s="645">
        <f>COUNTA(Q11:Q14)</f>
        <v>0</v>
      </c>
      <c r="R28" s="645"/>
      <c r="S28" s="645">
        <f t="shared" ref="S28:AX28" si="1">COUNTA(S11:S25)</f>
        <v>0</v>
      </c>
      <c r="T28" s="645">
        <f t="shared" si="1"/>
        <v>0</v>
      </c>
      <c r="U28" s="645">
        <f t="shared" si="1"/>
        <v>1</v>
      </c>
      <c r="V28" s="645">
        <f t="shared" si="1"/>
        <v>0</v>
      </c>
      <c r="W28" s="645">
        <f t="shared" si="1"/>
        <v>0</v>
      </c>
      <c r="X28" s="645">
        <f t="shared" si="1"/>
        <v>0</v>
      </c>
      <c r="Y28" s="645">
        <f t="shared" si="1"/>
        <v>0</v>
      </c>
      <c r="Z28" s="645">
        <f t="shared" si="1"/>
        <v>0</v>
      </c>
      <c r="AA28" s="645">
        <f t="shared" si="1"/>
        <v>0</v>
      </c>
      <c r="AB28" s="645">
        <f t="shared" si="1"/>
        <v>0</v>
      </c>
      <c r="AC28" s="645">
        <f t="shared" si="1"/>
        <v>0</v>
      </c>
      <c r="AD28" s="645">
        <f t="shared" si="1"/>
        <v>0</v>
      </c>
      <c r="AE28" s="645">
        <f t="shared" si="1"/>
        <v>0</v>
      </c>
      <c r="AF28" s="645">
        <f t="shared" si="1"/>
        <v>0</v>
      </c>
      <c r="AG28" s="645">
        <f t="shared" si="1"/>
        <v>0</v>
      </c>
      <c r="AH28" s="645">
        <f t="shared" si="1"/>
        <v>1</v>
      </c>
      <c r="AI28" s="645">
        <f t="shared" si="1"/>
        <v>0</v>
      </c>
      <c r="AJ28" s="645">
        <f t="shared" si="1"/>
        <v>0</v>
      </c>
      <c r="AK28" s="645">
        <f t="shared" si="1"/>
        <v>0</v>
      </c>
      <c r="AL28" s="645">
        <f t="shared" si="1"/>
        <v>1</v>
      </c>
      <c r="AM28" s="645">
        <f t="shared" si="1"/>
        <v>0</v>
      </c>
      <c r="AN28" s="645">
        <f t="shared" si="1"/>
        <v>0</v>
      </c>
      <c r="AO28" s="645">
        <f t="shared" si="1"/>
        <v>1</v>
      </c>
      <c r="AP28" s="645">
        <f t="shared" si="1"/>
        <v>0</v>
      </c>
      <c r="AQ28" s="645">
        <f t="shared" si="1"/>
        <v>0</v>
      </c>
      <c r="AR28" s="645">
        <f t="shared" si="1"/>
        <v>0</v>
      </c>
      <c r="AS28" s="645">
        <f t="shared" si="1"/>
        <v>0</v>
      </c>
      <c r="AT28" s="645">
        <f t="shared" si="1"/>
        <v>1</v>
      </c>
      <c r="AU28" s="645">
        <f t="shared" si="1"/>
        <v>0</v>
      </c>
      <c r="AV28" s="645">
        <f t="shared" si="1"/>
        <v>0</v>
      </c>
      <c r="AW28" s="645">
        <f t="shared" si="1"/>
        <v>0</v>
      </c>
      <c r="AX28" s="645">
        <f t="shared" si="1"/>
        <v>0</v>
      </c>
      <c r="AY28" s="645">
        <f t="shared" ref="AY28:CD28" si="2">COUNTA(AY11:AY25)</f>
        <v>0</v>
      </c>
      <c r="AZ28" s="645">
        <f t="shared" si="2"/>
        <v>0</v>
      </c>
      <c r="BA28" s="645">
        <f t="shared" si="2"/>
        <v>0</v>
      </c>
      <c r="BB28" s="645">
        <f t="shared" si="2"/>
        <v>0</v>
      </c>
      <c r="BC28" s="645">
        <f t="shared" si="2"/>
        <v>0</v>
      </c>
      <c r="BD28" s="645">
        <f t="shared" si="2"/>
        <v>0</v>
      </c>
      <c r="BE28" s="645">
        <f t="shared" si="2"/>
        <v>0</v>
      </c>
      <c r="BF28" s="645">
        <f t="shared" si="2"/>
        <v>0</v>
      </c>
      <c r="BG28" s="645">
        <f t="shared" si="2"/>
        <v>3</v>
      </c>
      <c r="BH28" s="645">
        <f t="shared" si="2"/>
        <v>0</v>
      </c>
      <c r="BI28" s="645">
        <f t="shared" si="2"/>
        <v>0</v>
      </c>
      <c r="BJ28" s="645">
        <f t="shared" si="2"/>
        <v>2</v>
      </c>
      <c r="BK28" s="645">
        <f t="shared" si="2"/>
        <v>0</v>
      </c>
      <c r="BL28" s="645">
        <f t="shared" si="2"/>
        <v>0</v>
      </c>
      <c r="BM28" s="645">
        <f t="shared" si="2"/>
        <v>0</v>
      </c>
      <c r="BN28" s="645">
        <f t="shared" si="2"/>
        <v>0</v>
      </c>
      <c r="BO28" s="645">
        <f t="shared" si="2"/>
        <v>0</v>
      </c>
      <c r="BP28" s="645">
        <f t="shared" si="2"/>
        <v>0</v>
      </c>
      <c r="BQ28" s="645">
        <f t="shared" si="2"/>
        <v>0</v>
      </c>
      <c r="BR28" s="645">
        <f t="shared" si="2"/>
        <v>0</v>
      </c>
      <c r="BS28" s="645">
        <f t="shared" si="2"/>
        <v>0</v>
      </c>
      <c r="BT28" s="645">
        <f t="shared" si="2"/>
        <v>0</v>
      </c>
      <c r="BU28" s="645">
        <f t="shared" si="2"/>
        <v>0</v>
      </c>
      <c r="BV28" s="645">
        <f t="shared" si="2"/>
        <v>1</v>
      </c>
      <c r="BW28" s="645">
        <f t="shared" si="2"/>
        <v>1</v>
      </c>
      <c r="BX28" s="645">
        <f t="shared" si="2"/>
        <v>1</v>
      </c>
      <c r="BY28" s="645">
        <f t="shared" si="2"/>
        <v>0</v>
      </c>
      <c r="BZ28" s="645">
        <f t="shared" si="2"/>
        <v>0</v>
      </c>
      <c r="CA28" s="645">
        <f t="shared" si="2"/>
        <v>1</v>
      </c>
      <c r="CB28" s="645">
        <f t="shared" si="2"/>
        <v>0</v>
      </c>
      <c r="CC28" s="645">
        <f t="shared" si="2"/>
        <v>0</v>
      </c>
      <c r="CD28" s="645">
        <f t="shared" si="2"/>
        <v>0</v>
      </c>
      <c r="CE28" s="645">
        <f t="shared" ref="CE28:DJ28" si="3">COUNTA(CE11:CE25)</f>
        <v>1</v>
      </c>
      <c r="CF28" s="645">
        <f t="shared" si="3"/>
        <v>0</v>
      </c>
      <c r="CG28" s="645">
        <f t="shared" si="3"/>
        <v>2</v>
      </c>
      <c r="CH28" s="645">
        <f t="shared" si="3"/>
        <v>0</v>
      </c>
      <c r="CI28" s="645">
        <f t="shared" si="3"/>
        <v>0</v>
      </c>
      <c r="CJ28" s="645">
        <f t="shared" si="3"/>
        <v>1</v>
      </c>
      <c r="CK28" s="645">
        <f t="shared" si="3"/>
        <v>2</v>
      </c>
      <c r="CL28" s="645">
        <f t="shared" si="3"/>
        <v>0</v>
      </c>
      <c r="CM28" s="645">
        <f t="shared" si="3"/>
        <v>0</v>
      </c>
      <c r="CN28" s="645">
        <f t="shared" si="3"/>
        <v>0</v>
      </c>
      <c r="CO28" s="645">
        <f t="shared" si="3"/>
        <v>0</v>
      </c>
      <c r="CP28" s="645">
        <f t="shared" si="3"/>
        <v>0</v>
      </c>
      <c r="CQ28" s="645">
        <f t="shared" si="3"/>
        <v>0</v>
      </c>
      <c r="CR28" s="645">
        <f t="shared" si="3"/>
        <v>0</v>
      </c>
      <c r="CS28" s="645">
        <f t="shared" si="3"/>
        <v>0</v>
      </c>
      <c r="CT28" s="645">
        <f t="shared" si="3"/>
        <v>1</v>
      </c>
      <c r="CU28" s="645">
        <f t="shared" si="3"/>
        <v>1</v>
      </c>
      <c r="CV28" s="645">
        <f t="shared" si="3"/>
        <v>0</v>
      </c>
      <c r="CW28" s="645">
        <f t="shared" si="3"/>
        <v>0</v>
      </c>
      <c r="CX28" s="645">
        <f t="shared" si="3"/>
        <v>0</v>
      </c>
      <c r="CY28" s="645">
        <f t="shared" si="3"/>
        <v>0</v>
      </c>
      <c r="CZ28" s="645">
        <f t="shared" si="3"/>
        <v>0</v>
      </c>
      <c r="DA28" s="645">
        <f t="shared" si="3"/>
        <v>0</v>
      </c>
      <c r="DB28" s="645">
        <f t="shared" si="3"/>
        <v>0</v>
      </c>
      <c r="DC28" s="645">
        <f t="shared" si="3"/>
        <v>0</v>
      </c>
      <c r="DD28" s="645">
        <f t="shared" si="3"/>
        <v>0</v>
      </c>
      <c r="DE28" s="645">
        <f t="shared" si="3"/>
        <v>0</v>
      </c>
      <c r="DF28" s="645">
        <f t="shared" si="3"/>
        <v>1</v>
      </c>
      <c r="DG28" s="645">
        <f t="shared" si="3"/>
        <v>0</v>
      </c>
      <c r="DH28" s="645">
        <f t="shared" si="3"/>
        <v>0</v>
      </c>
      <c r="DI28" s="645">
        <f t="shared" si="3"/>
        <v>0</v>
      </c>
      <c r="DJ28" s="645">
        <f t="shared" si="3"/>
        <v>1</v>
      </c>
      <c r="DK28" s="645">
        <f t="shared" ref="DK28:ED28" si="4">COUNTA(DK11:DK25)</f>
        <v>0</v>
      </c>
      <c r="DL28" s="645">
        <f t="shared" si="4"/>
        <v>0</v>
      </c>
      <c r="DM28" s="645">
        <f t="shared" si="4"/>
        <v>1</v>
      </c>
      <c r="DN28" s="645">
        <f t="shared" si="4"/>
        <v>0</v>
      </c>
      <c r="DO28" s="645">
        <f t="shared" si="4"/>
        <v>0</v>
      </c>
      <c r="DP28" s="645">
        <f t="shared" si="4"/>
        <v>0</v>
      </c>
      <c r="DQ28" s="645">
        <f t="shared" si="4"/>
        <v>0</v>
      </c>
      <c r="DR28" s="645">
        <f t="shared" si="4"/>
        <v>1</v>
      </c>
      <c r="DS28" s="645">
        <f t="shared" si="4"/>
        <v>0</v>
      </c>
      <c r="DT28" s="645">
        <f t="shared" si="4"/>
        <v>0</v>
      </c>
      <c r="DU28" s="645">
        <f t="shared" si="4"/>
        <v>0</v>
      </c>
      <c r="DV28" s="645">
        <f t="shared" si="4"/>
        <v>0</v>
      </c>
      <c r="DW28" s="645">
        <f t="shared" si="4"/>
        <v>0</v>
      </c>
      <c r="DX28" s="645">
        <f t="shared" si="4"/>
        <v>0</v>
      </c>
      <c r="DY28" s="645">
        <f t="shared" si="4"/>
        <v>0</v>
      </c>
      <c r="DZ28" s="645">
        <f t="shared" si="4"/>
        <v>0</v>
      </c>
      <c r="EA28" s="645">
        <f t="shared" si="4"/>
        <v>0</v>
      </c>
      <c r="EB28" s="645">
        <f t="shared" si="4"/>
        <v>0</v>
      </c>
      <c r="EC28" s="645">
        <f t="shared" si="4"/>
        <v>0</v>
      </c>
      <c r="ED28" s="645">
        <f t="shared" si="4"/>
        <v>0</v>
      </c>
    </row>
    <row r="29" spans="1:134" ht="18" customHeight="1" x14ac:dyDescent="0.35">
      <c r="A29" s="247"/>
      <c r="B29" s="773" t="s">
        <v>8187</v>
      </c>
      <c r="C29" s="4"/>
      <c r="D29" s="588"/>
      <c r="F29" s="617"/>
      <c r="G29" s="730"/>
      <c r="H29" s="91"/>
      <c r="I29" s="91"/>
      <c r="J29" s="93"/>
      <c r="K29" s="664"/>
      <c r="L29" s="664"/>
      <c r="M29" s="664"/>
      <c r="N29" s="664"/>
      <c r="O29" s="645"/>
      <c r="P29" s="645"/>
      <c r="Q29" s="645"/>
      <c r="R29" s="645"/>
      <c r="T29" s="618"/>
      <c r="U29" s="618"/>
      <c r="V29" s="618"/>
      <c r="W29" s="618"/>
      <c r="X29" s="618"/>
      <c r="Y29" s="618"/>
      <c r="Z29" s="618"/>
      <c r="AA29" s="618"/>
      <c r="AB29" s="618"/>
      <c r="AC29" s="673"/>
      <c r="AD29" s="673"/>
      <c r="AE29" s="673"/>
      <c r="AL29" s="672"/>
      <c r="AM29" s="672"/>
      <c r="AN29" s="672"/>
      <c r="AO29" s="672"/>
      <c r="AP29" s="672"/>
      <c r="AQ29" s="672"/>
      <c r="AR29" s="672"/>
      <c r="AS29" s="672"/>
      <c r="AT29" s="672"/>
      <c r="AU29" s="672"/>
      <c r="CZ29" s="779"/>
      <c r="DA29" s="779"/>
      <c r="DB29" s="779"/>
      <c r="DC29" s="779"/>
      <c r="DD29" s="779"/>
      <c r="DE29" s="779"/>
      <c r="DF29" s="779"/>
      <c r="DG29" s="779"/>
      <c r="DH29" s="779"/>
      <c r="DI29" s="779"/>
      <c r="DJ29" s="779"/>
      <c r="DK29" s="779"/>
      <c r="DL29" s="779"/>
      <c r="DM29" s="779"/>
      <c r="DN29" s="779"/>
      <c r="DO29" s="779"/>
      <c r="DP29" s="779"/>
      <c r="DQ29" s="779"/>
    </row>
    <row r="30" spans="1:134" ht="18" customHeight="1" x14ac:dyDescent="0.35">
      <c r="A30" s="247"/>
      <c r="B30" s="773"/>
      <c r="C30" s="4"/>
      <c r="D30" s="588"/>
      <c r="F30" s="617"/>
      <c r="G30" s="730"/>
      <c r="H30" s="91"/>
      <c r="I30" s="91"/>
      <c r="J30" s="93"/>
      <c r="K30" s="664"/>
      <c r="L30" s="664"/>
      <c r="M30" s="664"/>
      <c r="N30" s="664"/>
      <c r="O30" s="645"/>
      <c r="P30" s="645"/>
      <c r="Q30" s="645"/>
      <c r="R30" s="645"/>
      <c r="T30" s="618"/>
      <c r="U30" s="618"/>
      <c r="V30" s="618"/>
      <c r="W30" s="618"/>
      <c r="X30" s="618"/>
      <c r="Y30" s="618"/>
      <c r="Z30" s="618"/>
      <c r="AA30" s="618"/>
      <c r="AB30" s="618"/>
      <c r="AC30" s="673"/>
      <c r="AD30" s="673"/>
      <c r="AE30" s="673"/>
      <c r="AL30" s="672"/>
      <c r="AM30" s="672"/>
      <c r="AN30" s="672"/>
      <c r="AO30" s="672"/>
      <c r="AP30" s="672"/>
      <c r="AQ30" s="672"/>
      <c r="AR30" s="672"/>
      <c r="AS30" s="672"/>
      <c r="AT30" s="672"/>
      <c r="AU30" s="672"/>
      <c r="CZ30" s="779"/>
      <c r="DA30" s="779"/>
      <c r="DB30" s="779"/>
      <c r="DC30" s="779"/>
      <c r="DD30" s="779"/>
      <c r="DE30" s="779"/>
      <c r="DF30" s="779"/>
      <c r="DG30" s="779"/>
      <c r="DH30" s="779"/>
      <c r="DI30" s="779"/>
      <c r="DJ30" s="779"/>
      <c r="DK30" s="779"/>
      <c r="DL30" s="779"/>
      <c r="DM30" s="779"/>
      <c r="DN30" s="779"/>
      <c r="DO30" s="779"/>
      <c r="DP30" s="779"/>
      <c r="DQ30" s="779"/>
    </row>
    <row r="31" spans="1:134" ht="18" customHeight="1" x14ac:dyDescent="0.35">
      <c r="A31" s="247"/>
      <c r="B31" s="616">
        <v>44805</v>
      </c>
      <c r="C31" s="4">
        <v>318.75</v>
      </c>
      <c r="E31" s="617" t="s">
        <v>8188</v>
      </c>
      <c r="F31" s="617" t="s">
        <v>175</v>
      </c>
      <c r="G31" s="730" t="s">
        <v>8189</v>
      </c>
      <c r="H31" s="753" t="s">
        <v>4664</v>
      </c>
      <c r="I31" s="753" t="s">
        <v>8190</v>
      </c>
      <c r="J31" s="753" t="s">
        <v>5903</v>
      </c>
      <c r="K31" s="658">
        <v>45</v>
      </c>
      <c r="L31" s="659">
        <v>7910195549</v>
      </c>
      <c r="M31" s="659" t="s">
        <v>8161</v>
      </c>
      <c r="N31" s="659" t="s">
        <v>8161</v>
      </c>
      <c r="O31" s="645">
        <f>COUNTA(S31:EB31)</f>
        <v>5</v>
      </c>
      <c r="P31" s="645" t="s">
        <v>8191</v>
      </c>
      <c r="Q31" s="745">
        <v>43740</v>
      </c>
      <c r="R31" s="726">
        <v>44805</v>
      </c>
      <c r="CK31" s="779"/>
      <c r="CL31" s="779"/>
      <c r="CM31" s="779"/>
      <c r="CN31" s="779"/>
      <c r="CO31" s="779"/>
      <c r="CT31" s="779"/>
      <c r="CU31" s="779"/>
      <c r="CV31" s="779"/>
      <c r="CW31" s="779"/>
      <c r="CX31" s="779"/>
      <c r="CY31" s="779"/>
      <c r="CZ31" s="779"/>
      <c r="DA31" s="779"/>
      <c r="DB31" s="779"/>
      <c r="DC31" s="779"/>
      <c r="DD31" s="779"/>
      <c r="DE31" s="779"/>
      <c r="DF31" s="779"/>
      <c r="DG31" s="779"/>
      <c r="DH31" s="779"/>
      <c r="DI31" s="779"/>
      <c r="DJ31" s="779">
        <v>44984</v>
      </c>
      <c r="DK31" s="779"/>
      <c r="DL31" s="779">
        <v>45106</v>
      </c>
      <c r="DM31" s="779"/>
      <c r="DN31" s="779"/>
      <c r="DO31" s="779">
        <v>45258</v>
      </c>
      <c r="DP31" s="779">
        <v>45404</v>
      </c>
      <c r="DQ31" s="779">
        <v>45428</v>
      </c>
    </row>
    <row r="32" spans="1:134" ht="18" customHeight="1" x14ac:dyDescent="0.35">
      <c r="A32" s="247"/>
      <c r="B32" s="616">
        <v>44996</v>
      </c>
      <c r="C32" s="4">
        <v>395</v>
      </c>
      <c r="D32" s="1">
        <v>0</v>
      </c>
      <c r="E32" s="617" t="s">
        <v>8192</v>
      </c>
      <c r="F32" s="617" t="s">
        <v>174</v>
      </c>
      <c r="G32" s="730" t="s">
        <v>8193</v>
      </c>
      <c r="H32" s="753" t="s">
        <v>4664</v>
      </c>
      <c r="I32" s="753" t="s">
        <v>518</v>
      </c>
      <c r="J32" s="753" t="s">
        <v>8194</v>
      </c>
      <c r="K32" s="616"/>
      <c r="L32" s="4"/>
      <c r="M32" s="664" t="s">
        <v>8166</v>
      </c>
      <c r="N32" s="656" t="s">
        <v>8166</v>
      </c>
      <c r="O32" s="645">
        <f>COUNTA(S32:EB32)</f>
        <v>4</v>
      </c>
      <c r="R32" s="726" t="s">
        <v>8195</v>
      </c>
      <c r="CR32" s="779"/>
      <c r="DK32" s="779">
        <v>45027</v>
      </c>
      <c r="DL32" s="779"/>
      <c r="DM32" s="779">
        <v>45118</v>
      </c>
      <c r="DN32" s="779">
        <v>45230</v>
      </c>
      <c r="DO32" s="779">
        <v>45258</v>
      </c>
      <c r="DP32" s="779"/>
      <c r="DQ32" s="779"/>
    </row>
    <row r="33" spans="1:121" ht="18" customHeight="1" x14ac:dyDescent="0.35">
      <c r="A33" s="247"/>
      <c r="B33" s="616">
        <v>44265</v>
      </c>
      <c r="C33" s="4">
        <v>395</v>
      </c>
      <c r="D33" s="4"/>
      <c r="E33" s="588" t="s">
        <v>8196</v>
      </c>
      <c r="F33" s="588" t="s">
        <v>175</v>
      </c>
      <c r="G33" s="730" t="s">
        <v>8197</v>
      </c>
      <c r="H33" s="239" t="s">
        <v>4664</v>
      </c>
      <c r="I33" s="239" t="s">
        <v>6713</v>
      </c>
      <c r="J33" s="239" t="s">
        <v>8198</v>
      </c>
      <c r="K33" s="656" t="s">
        <v>6107</v>
      </c>
      <c r="L33" s="656" t="s">
        <v>8199</v>
      </c>
      <c r="M33" s="656" t="s">
        <v>8199</v>
      </c>
      <c r="N33" s="656" t="s">
        <v>8166</v>
      </c>
      <c r="O33" s="645">
        <f>COUNTA(S33:DE33)</f>
        <v>6</v>
      </c>
      <c r="R33" s="726" t="s">
        <v>8200</v>
      </c>
      <c r="BE33" s="779"/>
      <c r="BF33" s="779"/>
      <c r="BG33" s="779"/>
      <c r="BH33" s="779"/>
      <c r="BI33" s="779"/>
      <c r="BJ33" s="779"/>
      <c r="BK33" s="779"/>
      <c r="BL33" s="779"/>
      <c r="BM33" s="779"/>
      <c r="BN33" s="779"/>
      <c r="BO33" s="779"/>
      <c r="BP33" s="779"/>
      <c r="BQ33" s="779"/>
      <c r="BR33" s="779"/>
      <c r="CA33" s="779">
        <v>44312</v>
      </c>
      <c r="CB33" s="779"/>
      <c r="CC33" s="779"/>
      <c r="CD33" s="779">
        <v>44418</v>
      </c>
      <c r="CE33" s="779"/>
      <c r="CF33" s="779"/>
      <c r="CG33" s="779">
        <v>44480</v>
      </c>
      <c r="CH33" s="779"/>
      <c r="CI33" s="779"/>
      <c r="CJ33" s="779">
        <v>44529</v>
      </c>
      <c r="CK33" s="779"/>
      <c r="CL33" s="779"/>
      <c r="CM33" s="779">
        <v>44585</v>
      </c>
      <c r="CN33" s="779"/>
      <c r="CO33" s="779"/>
      <c r="CQ33" s="779"/>
      <c r="CR33" s="779"/>
      <c r="CS33" s="779"/>
      <c r="CT33" s="779"/>
      <c r="CU33" s="779"/>
      <c r="CV33" s="779">
        <v>44720</v>
      </c>
      <c r="CW33" s="779"/>
      <c r="CX33" s="779"/>
      <c r="CY33" s="779"/>
      <c r="CZ33" s="779"/>
      <c r="DA33" s="779"/>
      <c r="DB33" s="779"/>
      <c r="DC33" s="779"/>
      <c r="DD33" s="779"/>
      <c r="DE33" s="779"/>
      <c r="DF33" s="779"/>
      <c r="DG33" s="779"/>
      <c r="DH33" s="779"/>
      <c r="DI33" s="779"/>
      <c r="DJ33" s="779"/>
      <c r="DK33" s="779"/>
      <c r="DL33" s="779"/>
      <c r="DM33" s="779"/>
      <c r="DN33" s="779"/>
      <c r="DO33" s="779"/>
      <c r="DP33" s="779"/>
      <c r="DQ33" s="779"/>
    </row>
    <row r="34" spans="1:121" ht="18" customHeight="1" x14ac:dyDescent="0.35">
      <c r="A34" s="247"/>
      <c r="B34" s="616">
        <v>44281</v>
      </c>
      <c r="C34" s="4">
        <v>395</v>
      </c>
      <c r="D34" s="4"/>
      <c r="E34" s="617" t="s">
        <v>8201</v>
      </c>
      <c r="F34" s="617" t="s">
        <v>174</v>
      </c>
      <c r="G34" s="730" t="s">
        <v>8202</v>
      </c>
      <c r="H34" s="239" t="s">
        <v>4955</v>
      </c>
      <c r="I34" s="239" t="s">
        <v>5352</v>
      </c>
      <c r="J34" s="240" t="s">
        <v>8203</v>
      </c>
      <c r="M34" s="656" t="s">
        <v>8204</v>
      </c>
      <c r="N34" s="656" t="s">
        <v>8166</v>
      </c>
      <c r="O34" s="645">
        <f>COUNTA(S34:DE34)</f>
        <v>7</v>
      </c>
      <c r="R34" s="726" t="s">
        <v>8200</v>
      </c>
      <c r="CA34" s="779">
        <v>44312</v>
      </c>
      <c r="CB34" s="779"/>
      <c r="CC34" s="779">
        <v>44391</v>
      </c>
      <c r="CD34" s="779"/>
      <c r="CE34" s="779"/>
      <c r="CF34" s="779"/>
      <c r="CG34" s="779"/>
      <c r="CH34" s="779"/>
      <c r="CI34" s="779">
        <v>44508</v>
      </c>
      <c r="CJ34" s="779"/>
      <c r="CK34" s="779"/>
      <c r="CL34" s="779"/>
      <c r="CM34" s="779">
        <v>44585</v>
      </c>
      <c r="CN34" s="779"/>
      <c r="CO34" s="779"/>
      <c r="CT34" s="779"/>
      <c r="CU34" s="779"/>
      <c r="CV34" s="779"/>
      <c r="CW34" s="779"/>
      <c r="CX34" s="779"/>
      <c r="CY34" s="779">
        <v>44770</v>
      </c>
      <c r="CZ34" s="779">
        <v>44819</v>
      </c>
      <c r="DA34" s="779"/>
      <c r="DB34" s="779">
        <v>44845</v>
      </c>
      <c r="DC34" s="779"/>
      <c r="DD34" s="779"/>
      <c r="DE34" s="779"/>
      <c r="DF34" s="779"/>
      <c r="DG34" s="779"/>
      <c r="DH34" s="779"/>
      <c r="DI34" s="779"/>
      <c r="DJ34" s="779"/>
      <c r="DK34" s="779"/>
      <c r="DL34" s="779"/>
      <c r="DM34" s="779"/>
      <c r="DN34" s="779"/>
      <c r="DO34" s="779"/>
      <c r="DP34" s="779"/>
      <c r="DQ34" s="779"/>
    </row>
    <row r="35" spans="1:121" ht="18" customHeight="1" x14ac:dyDescent="0.35">
      <c r="A35" s="247"/>
      <c r="B35" s="616">
        <v>43727</v>
      </c>
      <c r="C35" s="4">
        <v>335.75</v>
      </c>
      <c r="D35" s="4">
        <v>0</v>
      </c>
      <c r="E35" s="617" t="s">
        <v>8205</v>
      </c>
      <c r="F35" s="617" t="s">
        <v>175</v>
      </c>
      <c r="G35" s="730" t="s">
        <v>8206</v>
      </c>
      <c r="H35" s="753" t="s">
        <v>5045</v>
      </c>
      <c r="I35" s="754" t="s">
        <v>4159</v>
      </c>
      <c r="J35" s="753" t="s">
        <v>4457</v>
      </c>
      <c r="K35" s="664"/>
      <c r="L35" s="664"/>
      <c r="M35" s="664" t="s">
        <v>8166</v>
      </c>
      <c r="N35" s="664" t="s">
        <v>8166</v>
      </c>
      <c r="O35" s="645">
        <f>COUNTA(S35:DE35)</f>
        <v>6</v>
      </c>
      <c r="R35" s="726">
        <v>43739</v>
      </c>
      <c r="BD35" s="779">
        <v>43754</v>
      </c>
      <c r="BE35" s="779"/>
      <c r="BF35" s="779"/>
      <c r="BG35" s="779">
        <v>43871</v>
      </c>
      <c r="BH35" s="779"/>
      <c r="BI35" s="779"/>
      <c r="BJ35" s="779"/>
      <c r="BK35" s="779"/>
      <c r="BL35" s="779"/>
      <c r="BM35" s="779"/>
      <c r="BN35" s="779"/>
      <c r="BO35" s="779"/>
      <c r="BP35" s="779"/>
      <c r="BQ35" s="779"/>
      <c r="BR35" s="779"/>
      <c r="BV35" s="779"/>
      <c r="BW35" s="779"/>
      <c r="BX35" s="779"/>
      <c r="BY35" s="779"/>
      <c r="BZ35" s="779"/>
      <c r="CA35" s="779"/>
      <c r="CB35" s="779"/>
      <c r="CC35" s="779">
        <v>44391</v>
      </c>
      <c r="CD35" s="779"/>
      <c r="CE35" s="779"/>
      <c r="CF35" s="779"/>
      <c r="CG35" s="779"/>
      <c r="CH35" s="779"/>
      <c r="CI35" s="779"/>
      <c r="CJ35" s="779"/>
      <c r="CK35" s="779"/>
      <c r="CL35" s="779"/>
      <c r="CM35" s="779"/>
      <c r="CN35" s="779">
        <v>44595</v>
      </c>
      <c r="CO35" s="779"/>
      <c r="CP35" s="779"/>
      <c r="CQ35" s="779"/>
      <c r="CR35" s="779"/>
      <c r="CS35" s="779">
        <v>44672</v>
      </c>
      <c r="CT35" s="779"/>
      <c r="CU35" s="779"/>
      <c r="CV35" s="779"/>
      <c r="CW35" s="779"/>
      <c r="CX35" s="779"/>
      <c r="CY35" s="779"/>
      <c r="CZ35" s="779"/>
      <c r="DA35" s="779"/>
      <c r="DB35" s="779"/>
      <c r="DC35" s="779">
        <v>44852</v>
      </c>
      <c r="DD35" s="779"/>
      <c r="DE35" s="779"/>
      <c r="DF35" s="779"/>
      <c r="DG35" s="779"/>
      <c r="DH35" s="779"/>
      <c r="DI35" s="779"/>
      <c r="DJ35" s="779"/>
      <c r="DK35" s="779"/>
      <c r="DL35" s="779"/>
      <c r="DM35" s="779"/>
      <c r="DN35" s="779"/>
      <c r="DO35" s="779"/>
      <c r="DP35" s="779"/>
      <c r="DQ35" s="779"/>
    </row>
    <row r="36" spans="1:121" ht="18" customHeight="1" x14ac:dyDescent="0.35">
      <c r="A36" s="846">
        <v>1</v>
      </c>
      <c r="B36" s="616">
        <v>43131</v>
      </c>
      <c r="C36" s="4">
        <f>335.75+200</f>
        <v>535.75</v>
      </c>
      <c r="D36" s="617"/>
      <c r="E36" s="617" t="s">
        <v>8207</v>
      </c>
      <c r="F36" s="617" t="s">
        <v>1031</v>
      </c>
      <c r="G36" s="5" t="s">
        <v>5864</v>
      </c>
      <c r="H36" s="753" t="s">
        <v>5394</v>
      </c>
      <c r="I36" s="753" t="s">
        <v>1032</v>
      </c>
      <c r="J36" s="754" t="s">
        <v>3992</v>
      </c>
      <c r="K36" s="658">
        <v>41</v>
      </c>
      <c r="L36" s="658">
        <v>7866614574</v>
      </c>
      <c r="M36" s="658" t="s">
        <v>8166</v>
      </c>
      <c r="N36" s="658" t="s">
        <v>8166</v>
      </c>
      <c r="O36" s="645">
        <f>COUNTA(S36:CZ36)</f>
        <v>8</v>
      </c>
      <c r="P36" s="645" t="s">
        <v>8191</v>
      </c>
      <c r="Q36" s="645"/>
      <c r="R36" s="726">
        <v>43191</v>
      </c>
      <c r="S36" s="644"/>
      <c r="T36" s="644">
        <v>43195</v>
      </c>
      <c r="U36" s="644"/>
      <c r="V36" s="644"/>
      <c r="W36" s="644"/>
      <c r="X36" s="644"/>
      <c r="Y36" s="644">
        <v>43255</v>
      </c>
      <c r="Z36" s="644"/>
      <c r="AA36" s="644">
        <v>43291</v>
      </c>
      <c r="AB36" s="644"/>
      <c r="AC36" s="672"/>
      <c r="AD36" s="672">
        <v>43341</v>
      </c>
      <c r="AE36" s="672"/>
      <c r="AF36" s="672"/>
      <c r="AG36" s="680"/>
      <c r="AH36" s="672"/>
      <c r="AI36" s="679"/>
      <c r="AJ36" s="672"/>
      <c r="AK36" s="672"/>
      <c r="AL36" s="672"/>
      <c r="AM36" s="672"/>
      <c r="AN36" s="672">
        <v>43502</v>
      </c>
      <c r="AO36" s="672"/>
      <c r="AP36" s="672"/>
      <c r="AQ36" s="672"/>
      <c r="AR36" s="672"/>
      <c r="AS36" s="672"/>
      <c r="AT36" s="672"/>
      <c r="AU36" s="672"/>
      <c r="BE36" s="779"/>
      <c r="BF36" s="779"/>
      <c r="BG36" s="779"/>
      <c r="BH36" s="779"/>
      <c r="BI36" s="779"/>
      <c r="BJ36" s="779"/>
      <c r="BK36" s="779"/>
      <c r="BL36" s="779"/>
      <c r="BM36" s="779"/>
      <c r="BN36" s="779"/>
      <c r="BO36" s="779"/>
      <c r="BP36" s="779"/>
      <c r="BQ36" s="779"/>
      <c r="BR36" s="779"/>
      <c r="BV36" s="779"/>
      <c r="BW36" s="779"/>
      <c r="BX36" s="779"/>
      <c r="BY36" s="779"/>
      <c r="BZ36" s="779"/>
      <c r="CA36" s="779"/>
      <c r="CB36" s="779"/>
      <c r="CC36" s="779">
        <v>44391</v>
      </c>
      <c r="CD36" s="779"/>
      <c r="CE36" s="779"/>
      <c r="CF36" s="779"/>
      <c r="CG36" s="779"/>
      <c r="CH36" s="779"/>
      <c r="CI36" s="779"/>
      <c r="CJ36" s="779"/>
      <c r="CK36" s="779"/>
      <c r="CL36" s="779"/>
      <c r="CM36" s="779"/>
      <c r="CN36" s="779">
        <v>44595</v>
      </c>
      <c r="CO36" s="779"/>
      <c r="CP36" s="779"/>
      <c r="CQ36" s="779"/>
      <c r="CR36" s="779"/>
      <c r="CS36" s="779">
        <v>44672</v>
      </c>
      <c r="CT36" s="779"/>
      <c r="CU36" s="779"/>
      <c r="CV36" s="779"/>
      <c r="CW36" s="779"/>
      <c r="CX36" s="779"/>
      <c r="CY36" s="779"/>
      <c r="CZ36" s="779"/>
      <c r="DA36" s="779"/>
      <c r="DB36" s="779"/>
      <c r="DC36" s="779"/>
      <c r="DD36" s="779"/>
      <c r="DE36" s="779"/>
      <c r="DF36" s="779"/>
      <c r="DG36" s="779"/>
      <c r="DH36" s="779"/>
      <c r="DI36" s="779"/>
      <c r="DJ36" s="779"/>
      <c r="DK36" s="779"/>
      <c r="DL36" s="779"/>
      <c r="DM36" s="779"/>
      <c r="DN36" s="779"/>
      <c r="DO36" s="779"/>
      <c r="DP36" s="779"/>
      <c r="DQ36" s="779"/>
    </row>
    <row r="37" spans="1:121" ht="18" customHeight="1" x14ac:dyDescent="0.35">
      <c r="A37" s="852"/>
      <c r="B37" s="616">
        <v>44449</v>
      </c>
      <c r="C37" s="1">
        <v>150</v>
      </c>
      <c r="D37" s="1" t="s">
        <v>8208</v>
      </c>
      <c r="E37" s="588" t="s">
        <v>8209</v>
      </c>
      <c r="F37" s="588" t="s">
        <v>174</v>
      </c>
      <c r="G37" s="730" t="s">
        <v>8210</v>
      </c>
      <c r="H37" s="753" t="s">
        <v>4664</v>
      </c>
      <c r="I37" s="753" t="s">
        <v>8211</v>
      </c>
      <c r="J37" s="753" t="s">
        <v>8212</v>
      </c>
      <c r="M37" s="656" t="s">
        <v>8166</v>
      </c>
      <c r="N37" s="656" t="s">
        <v>8166</v>
      </c>
      <c r="O37" s="645">
        <f>COUNTA(S37:CP37)</f>
        <v>1</v>
      </c>
      <c r="R37" s="726">
        <v>44440</v>
      </c>
      <c r="BE37" s="779"/>
      <c r="BF37" s="779"/>
      <c r="BG37" s="779"/>
      <c r="BH37" s="779"/>
      <c r="BI37" s="779"/>
      <c r="BJ37" s="779"/>
      <c r="BK37" s="779"/>
      <c r="BL37" s="779"/>
      <c r="BM37" s="779"/>
      <c r="BN37" s="779"/>
      <c r="BO37" s="779"/>
      <c r="BP37" s="779"/>
      <c r="BQ37" s="779"/>
      <c r="BR37" s="779"/>
      <c r="CB37" s="779"/>
      <c r="CC37" s="779"/>
      <c r="CD37" s="779"/>
      <c r="CE37" s="779"/>
      <c r="CF37" s="779"/>
      <c r="CG37" s="779"/>
      <c r="CH37" s="779"/>
      <c r="CI37" s="779"/>
      <c r="CJ37" s="779">
        <v>44529</v>
      </c>
    </row>
    <row r="38" spans="1:121" ht="18" customHeight="1" x14ac:dyDescent="0.35">
      <c r="A38" s="852"/>
      <c r="B38" s="616">
        <v>43614</v>
      </c>
      <c r="C38" s="4">
        <v>395</v>
      </c>
      <c r="D38" s="588">
        <v>0</v>
      </c>
      <c r="E38" s="588" t="s">
        <v>8213</v>
      </c>
      <c r="F38" s="617" t="s">
        <v>174</v>
      </c>
      <c r="G38" s="730" t="s">
        <v>8214</v>
      </c>
      <c r="H38" s="753" t="s">
        <v>4664</v>
      </c>
      <c r="I38" s="753" t="s">
        <v>8215</v>
      </c>
      <c r="J38" s="753" t="s">
        <v>8216</v>
      </c>
      <c r="K38" s="588"/>
      <c r="L38" s="588"/>
      <c r="M38" s="660" t="s">
        <v>8161</v>
      </c>
      <c r="N38" s="664" t="s">
        <v>8161</v>
      </c>
      <c r="O38" s="645">
        <f>COUNTA(S38:BD38)</f>
        <v>6</v>
      </c>
      <c r="P38" s="588"/>
      <c r="Q38" s="645" t="s">
        <v>151</v>
      </c>
      <c r="R38" s="726">
        <v>43586</v>
      </c>
      <c r="AC38" s="588"/>
      <c r="AD38" s="588"/>
      <c r="AE38" s="588"/>
      <c r="AF38" s="588"/>
      <c r="AG38" s="588"/>
      <c r="AH38" s="588"/>
      <c r="AI38" s="588"/>
      <c r="AJ38" s="588"/>
      <c r="AK38" s="588"/>
      <c r="AV38" s="672">
        <v>43618</v>
      </c>
      <c r="AW38" s="672">
        <v>43635</v>
      </c>
      <c r="AX38" s="672">
        <v>43650</v>
      </c>
      <c r="AY38" s="672">
        <v>43671</v>
      </c>
      <c r="AZ38" s="672">
        <v>43690</v>
      </c>
      <c r="BA38" s="672">
        <v>43718</v>
      </c>
    </row>
    <row r="39" spans="1:121" ht="18" customHeight="1" x14ac:dyDescent="0.35">
      <c r="A39" s="247"/>
      <c r="B39" s="616">
        <v>43133</v>
      </c>
      <c r="C39" s="617">
        <v>395</v>
      </c>
      <c r="D39" s="617">
        <v>0</v>
      </c>
      <c r="E39" s="617" t="s">
        <v>8217</v>
      </c>
      <c r="F39" s="617" t="s">
        <v>175</v>
      </c>
      <c r="G39" s="5" t="s">
        <v>4157</v>
      </c>
      <c r="H39" s="753" t="s">
        <v>5045</v>
      </c>
      <c r="I39" s="753" t="s">
        <v>3977</v>
      </c>
      <c r="J39" s="753" t="s">
        <v>3978</v>
      </c>
      <c r="K39" s="658"/>
      <c r="L39" s="660">
        <v>7790819935</v>
      </c>
      <c r="M39" s="660" t="s">
        <v>8161</v>
      </c>
      <c r="N39" s="660" t="s">
        <v>8161</v>
      </c>
      <c r="O39" s="645">
        <f>COUNTA(S39:BD39)</f>
        <v>9</v>
      </c>
      <c r="P39" s="645" t="s">
        <v>8191</v>
      </c>
      <c r="Q39" s="645" t="s">
        <v>8218</v>
      </c>
      <c r="R39" s="726">
        <v>43160</v>
      </c>
      <c r="S39" s="644">
        <v>43166</v>
      </c>
      <c r="T39" s="644"/>
      <c r="U39" s="644"/>
      <c r="V39" s="644"/>
      <c r="W39" s="644"/>
      <c r="X39" s="644"/>
      <c r="Y39" s="644"/>
      <c r="Z39" s="644"/>
      <c r="AA39" s="644"/>
      <c r="AB39" s="644">
        <v>43298</v>
      </c>
      <c r="AC39" s="672">
        <v>43319</v>
      </c>
      <c r="AD39" s="672"/>
      <c r="AE39" s="672"/>
      <c r="AF39" s="672"/>
      <c r="AG39" s="679"/>
      <c r="AH39" s="672">
        <v>43411</v>
      </c>
      <c r="AI39" s="679"/>
      <c r="AJ39" s="672"/>
      <c r="AK39" s="672"/>
      <c r="AL39" s="672">
        <v>43474</v>
      </c>
      <c r="AM39" s="672"/>
      <c r="AN39" s="672"/>
      <c r="AO39" s="672">
        <v>43517</v>
      </c>
      <c r="AP39" s="672"/>
      <c r="AQ39" s="672"/>
      <c r="AR39" s="672"/>
      <c r="AS39" s="744">
        <v>43565</v>
      </c>
      <c r="AT39" s="672"/>
      <c r="AU39" s="672"/>
      <c r="AZ39" s="744">
        <v>43691</v>
      </c>
      <c r="BB39" s="744">
        <v>43724</v>
      </c>
    </row>
    <row r="40" spans="1:121" ht="18" customHeight="1" x14ac:dyDescent="0.35">
      <c r="A40" s="870"/>
      <c r="B40" s="616">
        <v>43407</v>
      </c>
      <c r="C40" s="4">
        <v>395</v>
      </c>
      <c r="D40" s="4">
        <v>0</v>
      </c>
      <c r="E40" s="617" t="s">
        <v>8219</v>
      </c>
      <c r="F40" s="617" t="s">
        <v>175</v>
      </c>
      <c r="G40" s="730" t="s">
        <v>5877</v>
      </c>
      <c r="H40" s="753" t="s">
        <v>4664</v>
      </c>
      <c r="I40" s="753" t="s">
        <v>4447</v>
      </c>
      <c r="J40" s="753" t="s">
        <v>4448</v>
      </c>
      <c r="K40" s="658"/>
      <c r="L40" s="664"/>
      <c r="M40" s="664" t="s">
        <v>8166</v>
      </c>
      <c r="N40" s="664" t="s">
        <v>8166</v>
      </c>
      <c r="O40" s="645">
        <f>COUNTA(S40:CZ40)</f>
        <v>5</v>
      </c>
      <c r="P40" s="645"/>
      <c r="Q40" s="645"/>
      <c r="R40" s="726">
        <v>43466</v>
      </c>
      <c r="T40" s="618"/>
      <c r="U40" s="618"/>
      <c r="V40" s="618"/>
      <c r="W40" s="618"/>
      <c r="X40" s="618"/>
      <c r="Y40" s="618"/>
      <c r="Z40" s="618"/>
      <c r="AA40" s="618"/>
      <c r="AB40" s="618"/>
      <c r="AC40" s="673"/>
      <c r="AD40" s="673"/>
      <c r="AE40" s="673"/>
      <c r="AL40" s="672"/>
      <c r="AM40" s="672"/>
      <c r="AN40" s="672">
        <v>43502</v>
      </c>
      <c r="AO40" s="672"/>
      <c r="AP40" s="672"/>
      <c r="AQ40" s="672"/>
      <c r="AR40" s="672"/>
      <c r="AS40" s="672"/>
      <c r="AT40" s="672"/>
      <c r="AU40" s="672"/>
      <c r="AX40" s="672"/>
      <c r="AY40" s="672">
        <v>43668</v>
      </c>
      <c r="BC40" s="779"/>
      <c r="BD40" s="779">
        <v>43754</v>
      </c>
      <c r="BE40" s="779"/>
      <c r="BF40" s="779"/>
      <c r="BG40" s="779"/>
      <c r="BH40" s="779"/>
      <c r="BI40" s="779"/>
      <c r="BJ40" s="779"/>
      <c r="BK40" s="779"/>
      <c r="BL40" s="779"/>
      <c r="BM40" s="779"/>
      <c r="BN40" s="779">
        <v>43978</v>
      </c>
      <c r="BO40" s="779"/>
      <c r="BP40" s="779"/>
      <c r="BQ40" s="779"/>
      <c r="BR40" s="779"/>
      <c r="BV40" s="779"/>
      <c r="BW40" s="779"/>
      <c r="BX40" s="779"/>
      <c r="BY40" s="779"/>
      <c r="BZ40" s="779">
        <v>44251</v>
      </c>
      <c r="CA40" s="779"/>
      <c r="CB40" s="779"/>
      <c r="CC40" s="779"/>
      <c r="CD40" s="779"/>
      <c r="CE40" s="779"/>
      <c r="CF40" s="779"/>
      <c r="CG40" s="779"/>
      <c r="CH40" s="779"/>
      <c r="CI40" s="779"/>
      <c r="CJ40" s="779"/>
      <c r="CK40" s="779"/>
      <c r="CL40" s="779"/>
      <c r="CM40" s="779"/>
      <c r="CN40" s="779"/>
      <c r="CO40" s="779"/>
      <c r="CP40" s="779"/>
      <c r="CQ40" s="779"/>
      <c r="CR40" s="779"/>
      <c r="CS40" s="779"/>
    </row>
    <row r="41" spans="1:121" ht="18" customHeight="1" x14ac:dyDescent="0.35">
      <c r="A41" s="247"/>
      <c r="B41" s="616">
        <v>43911</v>
      </c>
      <c r="C41" s="4">
        <v>395</v>
      </c>
      <c r="D41" s="1">
        <v>0</v>
      </c>
      <c r="F41" s="588" t="s">
        <v>175</v>
      </c>
      <c r="G41" s="730" t="s">
        <v>4237</v>
      </c>
      <c r="H41" s="753" t="s">
        <v>4955</v>
      </c>
      <c r="I41" s="753" t="s">
        <v>4474</v>
      </c>
      <c r="J41" s="753" t="s">
        <v>4042</v>
      </c>
      <c r="M41" s="656" t="s">
        <v>8166</v>
      </c>
      <c r="N41" s="656" t="s">
        <v>8166</v>
      </c>
      <c r="O41" s="645">
        <f>COUNTA(S17:CZ17)</f>
        <v>2</v>
      </c>
      <c r="R41" s="726" t="s">
        <v>8220</v>
      </c>
      <c r="BE41" s="779"/>
      <c r="BF41" s="779"/>
      <c r="BG41" s="779"/>
      <c r="BH41" s="779"/>
      <c r="BI41" s="779"/>
      <c r="BJ41" s="779"/>
      <c r="BK41" s="779"/>
      <c r="BL41" s="779"/>
      <c r="BM41" s="779"/>
      <c r="BN41" s="779">
        <v>43978</v>
      </c>
      <c r="BO41" s="779"/>
      <c r="BP41" s="779"/>
      <c r="BQ41" s="779">
        <v>44020</v>
      </c>
      <c r="BR41" s="779"/>
      <c r="BV41" s="779"/>
      <c r="BW41" s="779">
        <v>44123</v>
      </c>
      <c r="BX41" s="779"/>
      <c r="BY41" s="779">
        <v>44202</v>
      </c>
      <c r="BZ41" s="779"/>
      <c r="CA41" s="779"/>
      <c r="CB41" s="779"/>
      <c r="CC41" s="779"/>
      <c r="CD41" s="779"/>
      <c r="CE41" s="779"/>
      <c r="CF41" s="779"/>
      <c r="CG41" s="779"/>
      <c r="CH41" s="779"/>
      <c r="CI41" s="779"/>
      <c r="CJ41" s="779"/>
      <c r="CK41" s="779"/>
      <c r="CL41" s="779"/>
      <c r="CM41" s="779"/>
      <c r="CN41" s="779"/>
      <c r="CO41" s="779"/>
      <c r="CP41" s="779"/>
      <c r="CQ41" s="779"/>
      <c r="CR41" s="779"/>
    </row>
    <row r="42" spans="1:121" ht="18" customHeight="1" x14ac:dyDescent="0.35">
      <c r="A42" s="247"/>
      <c r="B42" s="616">
        <v>43263</v>
      </c>
      <c r="C42" s="4">
        <v>395</v>
      </c>
      <c r="D42" s="617">
        <v>0</v>
      </c>
      <c r="E42" s="617" t="s">
        <v>8221</v>
      </c>
      <c r="F42" s="617" t="s">
        <v>175</v>
      </c>
      <c r="G42" s="730" t="s">
        <v>5687</v>
      </c>
      <c r="H42" s="753" t="s">
        <v>4664</v>
      </c>
      <c r="I42" s="753" t="s">
        <v>8222</v>
      </c>
      <c r="J42" s="753" t="s">
        <v>5365</v>
      </c>
      <c r="K42" s="658" t="s">
        <v>4749</v>
      </c>
      <c r="L42" s="663" t="s">
        <v>5688</v>
      </c>
      <c r="M42" s="663" t="s">
        <v>8166</v>
      </c>
      <c r="N42" s="663" t="s">
        <v>8166</v>
      </c>
      <c r="O42" s="645">
        <f>COUNTA(#REF!)</f>
        <v>1</v>
      </c>
      <c r="P42" s="645" t="s">
        <v>147</v>
      </c>
      <c r="Q42" s="645" t="s">
        <v>151</v>
      </c>
      <c r="R42" s="726">
        <v>43313</v>
      </c>
      <c r="T42" s="618"/>
      <c r="U42" s="618"/>
      <c r="V42" s="618"/>
      <c r="W42" s="618"/>
      <c r="X42" s="618"/>
      <c r="Y42" s="618"/>
      <c r="Z42" s="618"/>
      <c r="AA42" s="618"/>
      <c r="AB42" s="618"/>
      <c r="AC42" s="673"/>
      <c r="AD42" s="673"/>
      <c r="AE42" s="673"/>
      <c r="AL42" s="672"/>
      <c r="AM42" s="672"/>
      <c r="AN42" s="672"/>
      <c r="AO42" s="672"/>
      <c r="AP42" s="672"/>
      <c r="AQ42" s="672"/>
      <c r="AR42" s="672"/>
      <c r="AS42" s="672"/>
      <c r="AT42" s="672"/>
      <c r="AU42" s="672"/>
    </row>
    <row r="43" spans="1:121" ht="18" customHeight="1" x14ac:dyDescent="0.35">
      <c r="A43" s="247"/>
      <c r="B43" s="616">
        <v>43132</v>
      </c>
      <c r="C43" s="4">
        <v>395</v>
      </c>
      <c r="D43" s="4">
        <v>0</v>
      </c>
      <c r="E43" s="617" t="s">
        <v>8223</v>
      </c>
      <c r="F43" s="617" t="s">
        <v>175</v>
      </c>
      <c r="G43" s="5" t="s">
        <v>5572</v>
      </c>
      <c r="H43" s="753" t="s">
        <v>5045</v>
      </c>
      <c r="I43" s="753" t="s">
        <v>4446</v>
      </c>
      <c r="J43" s="754" t="s">
        <v>4403</v>
      </c>
      <c r="K43" s="843">
        <v>61</v>
      </c>
      <c r="L43" s="844" t="s">
        <v>5573</v>
      </c>
      <c r="M43" s="663" t="s">
        <v>8166</v>
      </c>
      <c r="N43" s="660" t="s">
        <v>8166</v>
      </c>
      <c r="O43" s="645">
        <f>COUNTA(S10:CZ10)</f>
        <v>0</v>
      </c>
      <c r="P43" s="645"/>
      <c r="Q43" s="645"/>
      <c r="R43" s="726">
        <v>43160</v>
      </c>
      <c r="S43" s="644">
        <v>43166</v>
      </c>
      <c r="T43" s="644"/>
      <c r="U43" s="644"/>
      <c r="V43" s="644"/>
      <c r="W43" s="644"/>
      <c r="X43" s="644"/>
      <c r="Y43" s="644"/>
      <c r="Z43" s="644">
        <v>43273</v>
      </c>
      <c r="AA43" s="644"/>
      <c r="AB43" s="644"/>
      <c r="AC43" s="672"/>
      <c r="AD43" s="672">
        <v>43341</v>
      </c>
      <c r="AE43" s="672"/>
      <c r="AF43" s="672"/>
      <c r="AG43" s="679"/>
      <c r="AH43" s="672"/>
      <c r="AI43" s="679"/>
      <c r="AJ43" s="672"/>
      <c r="AK43" s="672"/>
      <c r="AL43" s="672"/>
      <c r="AM43" s="672">
        <v>43486</v>
      </c>
      <c r="AN43" s="672"/>
      <c r="AO43" s="672">
        <v>43517</v>
      </c>
      <c r="AP43" s="672"/>
      <c r="AQ43" s="672">
        <v>43544</v>
      </c>
      <c r="AR43" s="672"/>
      <c r="AS43" s="672"/>
      <c r="AT43" s="672"/>
      <c r="AU43" s="744">
        <v>43600</v>
      </c>
      <c r="AY43" s="672">
        <v>43668</v>
      </c>
      <c r="BD43" s="779"/>
      <c r="BE43" s="779"/>
      <c r="BF43" s="779"/>
      <c r="BG43" s="779"/>
      <c r="BH43" s="779"/>
      <c r="BI43" s="779"/>
      <c r="BJ43" s="779"/>
      <c r="BK43" s="779"/>
      <c r="BL43" s="779"/>
      <c r="BM43" s="779"/>
      <c r="BN43" s="779"/>
      <c r="BO43" s="779"/>
      <c r="BP43" s="779"/>
      <c r="BQ43" s="779"/>
      <c r="BR43" s="779"/>
      <c r="BV43" s="779">
        <v>44104</v>
      </c>
      <c r="BW43" s="779"/>
      <c r="BX43" s="779"/>
      <c r="BY43" s="779"/>
      <c r="BZ43" s="779"/>
      <c r="CA43" s="779"/>
      <c r="CB43" s="779"/>
      <c r="CC43" s="779"/>
      <c r="CD43" s="779"/>
      <c r="CE43" s="779"/>
      <c r="CF43" s="779"/>
    </row>
    <row r="44" spans="1:121" ht="18" customHeight="1" x14ac:dyDescent="0.4">
      <c r="A44" s="247"/>
      <c r="B44" s="616">
        <v>43132</v>
      </c>
      <c r="C44" s="4">
        <v>395</v>
      </c>
      <c r="D44" s="4">
        <v>0</v>
      </c>
      <c r="E44" s="617" t="s">
        <v>8224</v>
      </c>
      <c r="F44" s="617" t="s">
        <v>175</v>
      </c>
      <c r="G44" s="729" t="s">
        <v>8225</v>
      </c>
      <c r="H44" s="753" t="s">
        <v>4664</v>
      </c>
      <c r="I44" s="753" t="s">
        <v>522</v>
      </c>
      <c r="J44" s="754" t="s">
        <v>4153</v>
      </c>
      <c r="K44" s="658">
        <v>64</v>
      </c>
      <c r="L44" s="660">
        <v>7469932296</v>
      </c>
      <c r="M44" s="660" t="s">
        <v>8166</v>
      </c>
      <c r="N44" s="768" t="s">
        <v>8166</v>
      </c>
      <c r="O44" s="645">
        <f>COUNTA(S44:BD44)</f>
        <v>6</v>
      </c>
      <c r="P44" s="645" t="s">
        <v>8226</v>
      </c>
      <c r="Q44" s="745">
        <v>43649</v>
      </c>
      <c r="R44" s="726">
        <v>43221</v>
      </c>
      <c r="S44" s="644"/>
      <c r="T44" s="644"/>
      <c r="U44" s="644"/>
      <c r="V44" s="644"/>
      <c r="W44" s="644"/>
      <c r="X44" s="644">
        <v>43235</v>
      </c>
      <c r="Y44" s="644"/>
      <c r="Z44" s="644"/>
      <c r="AA44" s="644">
        <v>43291</v>
      </c>
      <c r="AB44" s="644"/>
      <c r="AC44" s="672"/>
      <c r="AD44" s="672"/>
      <c r="AE44" s="672">
        <v>43355</v>
      </c>
      <c r="AF44" s="672"/>
      <c r="AG44" s="679"/>
      <c r="AH44" s="672">
        <v>43411</v>
      </c>
      <c r="AI44" s="679"/>
      <c r="AJ44" s="672"/>
      <c r="AK44" s="672"/>
      <c r="AL44" s="672">
        <v>43474</v>
      </c>
      <c r="AM44" s="672"/>
      <c r="AN44" s="672"/>
      <c r="AO44" s="672"/>
      <c r="AP44" s="672"/>
      <c r="AQ44" s="672"/>
      <c r="AR44" s="672"/>
      <c r="AS44" s="672"/>
      <c r="AT44" s="672">
        <v>43584</v>
      </c>
      <c r="AU44" s="672"/>
    </row>
    <row r="45" spans="1:121" ht="18" customHeight="1" x14ac:dyDescent="0.4">
      <c r="A45" s="247"/>
      <c r="B45" s="616">
        <v>43146</v>
      </c>
      <c r="C45" s="4">
        <v>395</v>
      </c>
      <c r="D45" s="588">
        <v>0</v>
      </c>
      <c r="E45" s="588" t="s">
        <v>8227</v>
      </c>
      <c r="F45" s="617" t="s">
        <v>175</v>
      </c>
      <c r="G45" s="729" t="s">
        <v>4218</v>
      </c>
      <c r="H45" s="753" t="s">
        <v>4955</v>
      </c>
      <c r="I45" s="753" t="s">
        <v>516</v>
      </c>
      <c r="J45" s="754" t="s">
        <v>517</v>
      </c>
      <c r="K45" s="658"/>
      <c r="L45" s="661"/>
      <c r="M45" s="661" t="s">
        <v>8166</v>
      </c>
      <c r="N45" s="769" t="s">
        <v>8166</v>
      </c>
      <c r="O45" s="645">
        <f>COUNTA(S45:BD45)</f>
        <v>10</v>
      </c>
      <c r="P45" s="645" t="s">
        <v>147</v>
      </c>
      <c r="Q45" s="745">
        <v>43649</v>
      </c>
      <c r="R45" s="726">
        <v>43160</v>
      </c>
      <c r="S45" s="644">
        <v>43166</v>
      </c>
      <c r="T45" s="644"/>
      <c r="U45" s="644"/>
      <c r="V45" s="644"/>
      <c r="W45" s="644"/>
      <c r="X45" s="644"/>
      <c r="Y45" s="644"/>
      <c r="Z45" s="644">
        <v>43273</v>
      </c>
      <c r="AA45" s="644"/>
      <c r="AB45" s="644"/>
      <c r="AC45" s="672">
        <v>43319</v>
      </c>
      <c r="AD45" s="672"/>
      <c r="AE45" s="672">
        <v>43355</v>
      </c>
      <c r="AF45" s="672"/>
      <c r="AG45" s="679"/>
      <c r="AH45" s="672">
        <v>43411</v>
      </c>
      <c r="AI45" s="679"/>
      <c r="AJ45" s="672"/>
      <c r="AK45" s="672"/>
      <c r="AL45" s="672">
        <v>43474</v>
      </c>
      <c r="AM45" s="672"/>
      <c r="AN45" s="672"/>
      <c r="AO45" s="672"/>
      <c r="AP45" s="672"/>
      <c r="AQ45" s="672">
        <v>43544</v>
      </c>
      <c r="AR45" s="672"/>
      <c r="AS45" s="672"/>
      <c r="AT45" s="744">
        <v>43584</v>
      </c>
      <c r="AU45" s="744">
        <v>43600</v>
      </c>
      <c r="AV45" s="744">
        <v>43633</v>
      </c>
    </row>
    <row r="46" spans="1:121" ht="18" customHeight="1" x14ac:dyDescent="0.35">
      <c r="A46" s="247"/>
      <c r="B46" s="616">
        <v>43158</v>
      </c>
      <c r="C46" s="4">
        <v>316</v>
      </c>
      <c r="D46" s="617">
        <v>0</v>
      </c>
      <c r="E46" s="617"/>
      <c r="F46" s="617" t="s">
        <v>175</v>
      </c>
      <c r="G46" s="730" t="s">
        <v>4362</v>
      </c>
      <c r="H46" s="753" t="s">
        <v>5045</v>
      </c>
      <c r="I46" s="753" t="s">
        <v>512</v>
      </c>
      <c r="J46" s="754" t="s">
        <v>513</v>
      </c>
      <c r="K46" s="658">
        <v>55</v>
      </c>
      <c r="L46" s="663"/>
      <c r="M46" s="663" t="s">
        <v>8166</v>
      </c>
      <c r="N46" s="770" t="s">
        <v>8166</v>
      </c>
      <c r="O46" s="645">
        <f>COUNTA(S46:BD46)</f>
        <v>6</v>
      </c>
      <c r="P46" s="645" t="s">
        <v>145</v>
      </c>
      <c r="Q46" s="745">
        <v>43650</v>
      </c>
      <c r="R46" s="726">
        <v>43252</v>
      </c>
      <c r="S46" s="644"/>
      <c r="T46" s="644"/>
      <c r="U46" s="644"/>
      <c r="V46" s="644"/>
      <c r="W46" s="644"/>
      <c r="X46" s="644"/>
      <c r="Y46" s="644">
        <v>43255</v>
      </c>
      <c r="Z46" s="644"/>
      <c r="AA46" s="644"/>
      <c r="AB46" s="644">
        <v>43298</v>
      </c>
      <c r="AC46" s="672"/>
      <c r="AD46" s="672"/>
      <c r="AE46" s="672"/>
      <c r="AF46" s="672"/>
      <c r="AG46" s="679"/>
      <c r="AH46" s="588"/>
      <c r="AI46" s="679"/>
      <c r="AJ46" s="672"/>
      <c r="AK46" s="672"/>
      <c r="AL46" s="672"/>
      <c r="AM46" s="672">
        <v>43486</v>
      </c>
      <c r="AN46" s="672"/>
      <c r="AO46" s="672"/>
      <c r="AP46" s="672">
        <v>43528</v>
      </c>
      <c r="AQ46" s="672">
        <v>43544</v>
      </c>
      <c r="AR46" s="672"/>
      <c r="AS46" s="672"/>
      <c r="AT46" s="672">
        <v>43584</v>
      </c>
      <c r="AU46" s="672"/>
    </row>
    <row r="52" spans="2:78" ht="18" customHeight="1" x14ac:dyDescent="0.35">
      <c r="B52" s="616">
        <v>43212</v>
      </c>
      <c r="C52" s="4">
        <v>395</v>
      </c>
      <c r="D52" s="4">
        <v>0</v>
      </c>
      <c r="E52" s="617" t="s">
        <v>8228</v>
      </c>
      <c r="F52" s="617" t="s">
        <v>176</v>
      </c>
      <c r="G52" s="730" t="s">
        <v>8189</v>
      </c>
      <c r="H52" s="239" t="s">
        <v>4664</v>
      </c>
      <c r="I52" s="239" t="s">
        <v>8190</v>
      </c>
      <c r="J52" s="240" t="s">
        <v>5903</v>
      </c>
      <c r="K52" s="658">
        <v>45</v>
      </c>
      <c r="L52" s="659">
        <v>7910195549</v>
      </c>
      <c r="M52" s="659"/>
      <c r="N52" s="659" t="s">
        <v>8166</v>
      </c>
      <c r="O52" s="645">
        <f>COUNTA(S52:CZ52)</f>
        <v>6</v>
      </c>
      <c r="P52" s="645" t="s">
        <v>8191</v>
      </c>
      <c r="Q52" s="745">
        <v>43740</v>
      </c>
      <c r="R52" s="726">
        <v>43221</v>
      </c>
      <c r="S52" s="644"/>
      <c r="T52" s="644"/>
      <c r="U52" s="644"/>
      <c r="V52" s="644"/>
      <c r="W52" s="644"/>
      <c r="X52" s="644">
        <v>43235</v>
      </c>
      <c r="Y52" s="644"/>
      <c r="Z52" s="644"/>
      <c r="AA52" s="644"/>
      <c r="AB52" s="644">
        <v>43298</v>
      </c>
      <c r="AC52" s="672"/>
      <c r="AD52" s="672"/>
      <c r="AE52" s="672"/>
      <c r="AF52" s="672"/>
      <c r="AG52" s="679"/>
      <c r="AH52" s="672"/>
      <c r="AI52" s="702"/>
      <c r="AJ52" s="672"/>
      <c r="AK52" s="672"/>
      <c r="AL52" s="672"/>
      <c r="AM52" s="672"/>
      <c r="AN52" s="672">
        <v>43502</v>
      </c>
      <c r="AO52" s="672"/>
      <c r="AP52" s="679">
        <v>43528</v>
      </c>
      <c r="AQ52" s="672"/>
      <c r="AR52" s="672"/>
      <c r="AS52" s="672">
        <v>43565</v>
      </c>
      <c r="AT52" s="672"/>
      <c r="AU52" s="672">
        <v>43600</v>
      </c>
      <c r="BE52" s="779"/>
      <c r="BF52" s="779"/>
      <c r="BG52" s="779"/>
      <c r="BH52" s="779"/>
      <c r="BI52" s="779"/>
      <c r="BJ52" s="779"/>
      <c r="BK52" s="779"/>
      <c r="BL52" s="779"/>
      <c r="BM52" s="779"/>
      <c r="BN52" s="779"/>
      <c r="BO52" s="779"/>
      <c r="BP52" s="779"/>
      <c r="BQ52" s="779"/>
      <c r="BR52" s="779"/>
      <c r="BV52" s="779"/>
      <c r="BW52" s="779"/>
      <c r="BX52" s="779"/>
      <c r="BY52" s="779"/>
      <c r="BZ52" s="779"/>
    </row>
    <row r="53" spans="2:78" ht="18" customHeight="1" x14ac:dyDescent="0.4">
      <c r="B53" s="616">
        <v>43558</v>
      </c>
      <c r="C53" s="4">
        <v>355.5</v>
      </c>
      <c r="D53" s="4">
        <v>0</v>
      </c>
      <c r="E53" s="617"/>
      <c r="F53" s="617" t="s">
        <v>175</v>
      </c>
      <c r="G53" s="729" t="s">
        <v>4220</v>
      </c>
      <c r="H53" s="239" t="s">
        <v>5045</v>
      </c>
      <c r="I53" s="239" t="s">
        <v>2622</v>
      </c>
      <c r="J53" s="239" t="s">
        <v>4451</v>
      </c>
      <c r="K53" s="588"/>
      <c r="L53" s="588"/>
      <c r="M53" s="588"/>
      <c r="N53" s="664" t="s">
        <v>8166</v>
      </c>
      <c r="O53" s="645">
        <f>COUNTA(S53:CZ53)</f>
        <v>1</v>
      </c>
      <c r="P53" s="588"/>
      <c r="Q53" s="588"/>
      <c r="R53" s="726">
        <v>43565</v>
      </c>
      <c r="AC53" s="588"/>
      <c r="AD53" s="588"/>
      <c r="AE53" s="588"/>
      <c r="AF53" s="588"/>
      <c r="AG53" s="588"/>
      <c r="AH53" s="588"/>
      <c r="AI53" s="588"/>
      <c r="AJ53" s="588"/>
      <c r="AK53" s="588"/>
      <c r="AS53" s="672">
        <v>43565</v>
      </c>
      <c r="BE53" s="779"/>
      <c r="BF53" s="779"/>
      <c r="BG53" s="779"/>
      <c r="BH53" s="779"/>
      <c r="BI53" s="779"/>
      <c r="BJ53" s="779"/>
      <c r="BK53" s="779"/>
      <c r="BL53" s="779"/>
      <c r="BM53" s="779"/>
      <c r="BN53" s="779"/>
      <c r="BO53" s="779"/>
      <c r="BP53" s="779"/>
      <c r="BQ53" s="779"/>
      <c r="BR53" s="779"/>
      <c r="BV53" s="779"/>
      <c r="BW53" s="779"/>
      <c r="BX53" s="779"/>
      <c r="BY53" s="779"/>
      <c r="BZ53" s="779"/>
    </row>
    <row r="54" spans="2:78" ht="18" customHeight="1" x14ac:dyDescent="0.35">
      <c r="B54" s="855"/>
      <c r="C54" s="856">
        <v>395</v>
      </c>
      <c r="D54" s="856"/>
      <c r="E54" s="857"/>
      <c r="F54" s="857" t="s">
        <v>175</v>
      </c>
      <c r="G54" s="858" t="s">
        <v>8229</v>
      </c>
      <c r="H54" s="239" t="s">
        <v>4955</v>
      </c>
      <c r="I54" s="239" t="s">
        <v>8230</v>
      </c>
      <c r="J54" s="239" t="s">
        <v>7311</v>
      </c>
      <c r="K54" s="859"/>
      <c r="L54" s="859"/>
      <c r="M54" s="859"/>
      <c r="N54" s="859" t="s">
        <v>8166</v>
      </c>
      <c r="O54" s="860">
        <f>COUNTA(S54:CZ54)</f>
        <v>1</v>
      </c>
      <c r="P54" s="861"/>
      <c r="Q54" s="861"/>
      <c r="R54" s="862" t="s">
        <v>8231</v>
      </c>
      <c r="S54" s="857"/>
      <c r="T54" s="857"/>
      <c r="U54" s="857"/>
      <c r="V54" s="857"/>
      <c r="W54" s="857"/>
      <c r="X54" s="857"/>
      <c r="Y54" s="857"/>
      <c r="Z54" s="857"/>
      <c r="AA54" s="857"/>
      <c r="AB54" s="857"/>
      <c r="AC54" s="863"/>
      <c r="AD54" s="863"/>
      <c r="AE54" s="863"/>
      <c r="AF54" s="863"/>
      <c r="AG54" s="863"/>
      <c r="AH54" s="863"/>
      <c r="AI54" s="863"/>
      <c r="AJ54" s="863"/>
      <c r="AK54" s="863"/>
      <c r="AL54" s="857"/>
      <c r="AM54" s="857"/>
      <c r="AN54" s="857"/>
      <c r="AO54" s="857"/>
      <c r="AP54" s="857"/>
      <c r="AQ54" s="857"/>
      <c r="AR54" s="857"/>
      <c r="AS54" s="857"/>
      <c r="AT54" s="857"/>
      <c r="AU54" s="857"/>
      <c r="AV54" s="857"/>
      <c r="AW54" s="857"/>
      <c r="AX54" s="857"/>
      <c r="AY54" s="857"/>
      <c r="AZ54" s="857"/>
      <c r="BA54" s="857"/>
      <c r="BB54" s="857"/>
      <c r="BC54" s="857"/>
      <c r="BD54" s="857"/>
      <c r="BE54" s="857"/>
      <c r="BF54" s="857"/>
      <c r="BG54" s="857"/>
      <c r="BH54" s="857"/>
      <c r="BI54" s="857"/>
      <c r="BJ54" s="857"/>
      <c r="BK54" s="857"/>
      <c r="BL54" s="857"/>
      <c r="BM54" s="857"/>
      <c r="BN54" s="857"/>
      <c r="BO54" s="857"/>
      <c r="BP54" s="857"/>
      <c r="BQ54" s="857"/>
      <c r="BR54" s="857"/>
      <c r="BS54" s="857"/>
      <c r="BT54" s="857"/>
      <c r="BU54" s="857"/>
      <c r="BV54" s="864"/>
      <c r="BW54" s="864"/>
      <c r="BX54" s="864"/>
      <c r="BY54" s="864"/>
      <c r="BZ54" s="864">
        <v>44251</v>
      </c>
    </row>
    <row r="55" spans="2:78" ht="18" customHeight="1" x14ac:dyDescent="0.35">
      <c r="B55" s="855">
        <v>43640</v>
      </c>
      <c r="C55" s="609">
        <v>395</v>
      </c>
      <c r="D55" s="857">
        <v>0</v>
      </c>
      <c r="E55" s="636" t="s">
        <v>8232</v>
      </c>
      <c r="F55" s="636" t="s">
        <v>175</v>
      </c>
      <c r="G55" s="858" t="s">
        <v>8233</v>
      </c>
      <c r="H55" s="239" t="s">
        <v>4664</v>
      </c>
      <c r="I55" s="239" t="s">
        <v>8234</v>
      </c>
      <c r="J55" s="240" t="s">
        <v>4076</v>
      </c>
      <c r="K55" s="863"/>
      <c r="L55" s="863"/>
      <c r="M55" s="863"/>
      <c r="N55" s="863" t="s">
        <v>8166</v>
      </c>
      <c r="O55" s="860">
        <f>COUNTA(S55:BN55)</f>
        <v>3</v>
      </c>
      <c r="P55" s="860"/>
      <c r="Q55" s="860"/>
      <c r="R55" s="862">
        <v>43647</v>
      </c>
      <c r="T55" s="618"/>
      <c r="U55" s="618"/>
      <c r="V55" s="618"/>
      <c r="W55" s="618"/>
      <c r="X55" s="618"/>
      <c r="Y55" s="618"/>
      <c r="Z55" s="618"/>
      <c r="AA55" s="618"/>
      <c r="AB55" s="618"/>
      <c r="AC55" s="673"/>
      <c r="AD55" s="673"/>
      <c r="AE55" s="673"/>
      <c r="AL55" s="672"/>
      <c r="AM55" s="672"/>
      <c r="AN55" s="672"/>
      <c r="AO55" s="672"/>
      <c r="AP55" s="672"/>
      <c r="AQ55" s="672"/>
      <c r="AR55" s="672"/>
      <c r="AS55" s="672"/>
      <c r="AT55" s="672"/>
      <c r="AU55" s="672"/>
      <c r="AY55" s="672">
        <v>43668</v>
      </c>
      <c r="BD55" s="779">
        <v>43754</v>
      </c>
      <c r="BE55" s="779"/>
      <c r="BF55" s="779"/>
      <c r="BG55" s="779"/>
      <c r="BH55" s="779"/>
      <c r="BI55" s="779"/>
      <c r="BJ55" s="779">
        <v>43922</v>
      </c>
      <c r="BK55" s="779"/>
      <c r="BL55" s="779"/>
      <c r="BM55" s="779"/>
      <c r="BN55" s="779"/>
      <c r="BO55" s="779"/>
      <c r="BP55" s="779"/>
      <c r="BQ55" s="779"/>
      <c r="BR55" s="779"/>
    </row>
    <row r="56" spans="2:78" ht="18" customHeight="1" x14ac:dyDescent="0.4">
      <c r="B56" s="855">
        <v>43474</v>
      </c>
      <c r="C56" s="609">
        <v>395</v>
      </c>
      <c r="D56" s="857">
        <v>0</v>
      </c>
      <c r="E56" s="857" t="s">
        <v>8235</v>
      </c>
      <c r="F56" s="636" t="s">
        <v>174</v>
      </c>
      <c r="G56" s="865" t="s">
        <v>8236</v>
      </c>
      <c r="H56" s="239" t="s">
        <v>5045</v>
      </c>
      <c r="I56" s="239" t="s">
        <v>8237</v>
      </c>
      <c r="J56" s="240" t="s">
        <v>8238</v>
      </c>
      <c r="K56" s="727" t="s">
        <v>5485</v>
      </c>
      <c r="L56" s="866" t="s">
        <v>8239</v>
      </c>
      <c r="M56" s="866"/>
      <c r="N56" s="863" t="s">
        <v>8166</v>
      </c>
      <c r="O56" s="860">
        <f>COUNTA(S56:BD56)</f>
        <v>1</v>
      </c>
      <c r="P56" s="860"/>
      <c r="Q56" s="860"/>
      <c r="R56" s="862">
        <v>43466</v>
      </c>
      <c r="AC56" s="588"/>
      <c r="AD56" s="588"/>
      <c r="AE56" s="588"/>
      <c r="AF56" s="588"/>
      <c r="AG56" s="588"/>
      <c r="AH56" s="588"/>
      <c r="AI56" s="588"/>
      <c r="AJ56" s="588"/>
      <c r="AK56" s="588"/>
      <c r="AM56" s="672">
        <v>43486</v>
      </c>
    </row>
    <row r="57" spans="2:78" ht="18" customHeight="1" x14ac:dyDescent="0.35">
      <c r="B57" s="855">
        <v>43131</v>
      </c>
      <c r="C57" s="609">
        <v>395</v>
      </c>
      <c r="D57" s="636">
        <v>0</v>
      </c>
      <c r="E57" s="636" t="s">
        <v>8240</v>
      </c>
      <c r="F57" s="636" t="s">
        <v>175</v>
      </c>
      <c r="G57" s="867" t="s">
        <v>8241</v>
      </c>
      <c r="H57" s="239" t="s">
        <v>4664</v>
      </c>
      <c r="I57" s="240" t="s">
        <v>8242</v>
      </c>
      <c r="J57" s="239" t="s">
        <v>8243</v>
      </c>
      <c r="K57" s="727">
        <v>69</v>
      </c>
      <c r="L57" s="727">
        <v>7961355075</v>
      </c>
      <c r="M57" s="727"/>
      <c r="N57" s="727" t="s">
        <v>8166</v>
      </c>
      <c r="O57" s="860">
        <f>COUNTA(S57:AT57)</f>
        <v>1</v>
      </c>
      <c r="P57" s="860"/>
      <c r="Q57" s="860"/>
      <c r="R57" s="862">
        <v>43191</v>
      </c>
      <c r="S57" s="868"/>
      <c r="T57" s="868"/>
      <c r="U57" s="868">
        <v>43206</v>
      </c>
      <c r="V57" s="868"/>
      <c r="W57" s="868"/>
      <c r="X57" s="868"/>
      <c r="Y57" s="868"/>
      <c r="Z57" s="868"/>
      <c r="AA57" s="868"/>
      <c r="AB57" s="868"/>
      <c r="AC57" s="679"/>
      <c r="AD57" s="679"/>
      <c r="AE57" s="679"/>
      <c r="AF57" s="679"/>
      <c r="AG57" s="679"/>
      <c r="AH57" s="679"/>
      <c r="AI57" s="679"/>
      <c r="AJ57" s="679"/>
      <c r="AK57" s="679"/>
      <c r="AL57" s="679"/>
      <c r="AM57" s="679"/>
      <c r="AN57" s="679"/>
      <c r="AO57" s="679"/>
      <c r="AP57" s="679"/>
      <c r="AQ57" s="679"/>
      <c r="AR57" s="679"/>
      <c r="AS57" s="679"/>
      <c r="AT57" s="679"/>
      <c r="AU57" s="679"/>
      <c r="AV57" s="857"/>
      <c r="AW57" s="857"/>
      <c r="AX57" s="857"/>
      <c r="AY57" s="857"/>
      <c r="AZ57" s="857"/>
      <c r="BA57" s="857"/>
      <c r="BB57" s="857"/>
      <c r="BC57" s="857"/>
      <c r="BD57" s="857"/>
      <c r="BE57" s="857"/>
      <c r="BF57" s="857"/>
      <c r="BG57" s="857"/>
      <c r="BH57" s="857"/>
      <c r="BI57" s="857"/>
      <c r="BJ57" s="857"/>
      <c r="BK57" s="857"/>
      <c r="BL57" s="857"/>
      <c r="BM57" s="857"/>
      <c r="BN57" s="857"/>
      <c r="BO57" s="857"/>
      <c r="BP57" s="857"/>
      <c r="BQ57" s="857"/>
      <c r="BR57" s="857"/>
      <c r="BS57" s="857"/>
      <c r="BT57" s="857"/>
      <c r="BU57" s="857"/>
      <c r="BV57" s="857"/>
      <c r="BW57" s="857"/>
      <c r="BX57" s="857"/>
      <c r="BY57" s="857"/>
      <c r="BZ57" s="857"/>
    </row>
    <row r="58" spans="2:78" ht="18" customHeight="1" x14ac:dyDescent="0.35">
      <c r="B58" s="855">
        <v>43137</v>
      </c>
      <c r="C58" s="636">
        <v>395</v>
      </c>
      <c r="D58" s="857">
        <v>0</v>
      </c>
      <c r="E58" s="857" t="s">
        <v>5440</v>
      </c>
      <c r="F58" s="636" t="s">
        <v>175</v>
      </c>
      <c r="G58" s="849" t="s">
        <v>4178</v>
      </c>
      <c r="H58" s="636" t="s">
        <v>5394</v>
      </c>
      <c r="I58" s="636" t="s">
        <v>4179</v>
      </c>
      <c r="J58" s="636" t="s">
        <v>4180</v>
      </c>
      <c r="K58" s="728">
        <v>23</v>
      </c>
      <c r="L58" s="728">
        <v>7557766387</v>
      </c>
      <c r="M58" s="728"/>
      <c r="N58" s="728" t="s">
        <v>8161</v>
      </c>
      <c r="O58" s="860">
        <f>COUNTA(S58:AT58)</f>
        <v>3</v>
      </c>
      <c r="P58" s="860"/>
      <c r="Q58" s="860"/>
      <c r="R58" s="862">
        <v>43191</v>
      </c>
      <c r="S58" s="868"/>
      <c r="T58" s="868">
        <v>43195</v>
      </c>
      <c r="U58" s="868"/>
      <c r="V58" s="868"/>
      <c r="W58" s="868"/>
      <c r="X58" s="868"/>
      <c r="Y58" s="868">
        <v>43255</v>
      </c>
      <c r="Z58" s="868"/>
      <c r="AA58" s="868"/>
      <c r="AB58" s="868"/>
      <c r="AC58" s="679">
        <v>43319</v>
      </c>
      <c r="AD58" s="679"/>
      <c r="AE58" s="679"/>
      <c r="AF58" s="679"/>
      <c r="AG58" s="679"/>
      <c r="AH58" s="679"/>
      <c r="AI58" s="679"/>
      <c r="AJ58" s="679"/>
      <c r="AK58" s="679"/>
      <c r="AL58" s="679"/>
      <c r="AM58" s="679"/>
      <c r="AN58" s="679"/>
      <c r="AO58" s="679"/>
      <c r="AP58" s="679"/>
      <c r="AQ58" s="679"/>
      <c r="AR58" s="679"/>
      <c r="AS58" s="679"/>
      <c r="AT58" s="679"/>
      <c r="AU58" s="679"/>
      <c r="AV58" s="857"/>
      <c r="AW58" s="857"/>
      <c r="AX58" s="857"/>
      <c r="AY58" s="857"/>
      <c r="AZ58" s="857"/>
      <c r="BA58" s="857"/>
      <c r="BB58" s="857"/>
      <c r="BC58" s="857"/>
      <c r="BD58" s="857"/>
      <c r="BE58" s="857"/>
      <c r="BF58" s="857"/>
      <c r="BG58" s="857"/>
      <c r="BH58" s="857"/>
      <c r="BI58" s="857"/>
      <c r="BJ58" s="857"/>
      <c r="BK58" s="857"/>
      <c r="BL58" s="857"/>
      <c r="BM58" s="857"/>
      <c r="BN58" s="857"/>
      <c r="BO58" s="857"/>
      <c r="BP58" s="857"/>
      <c r="BQ58" s="857"/>
      <c r="BR58" s="857"/>
      <c r="BS58" s="857"/>
      <c r="BT58" s="857"/>
      <c r="BU58" s="857"/>
      <c r="BV58" s="857"/>
      <c r="BW58" s="857"/>
      <c r="BX58" s="857"/>
      <c r="BY58" s="857"/>
      <c r="BZ58" s="857"/>
    </row>
    <row r="59" spans="2:78" ht="18" customHeight="1" x14ac:dyDescent="0.4">
      <c r="B59" s="855">
        <v>43157</v>
      </c>
      <c r="C59" s="609">
        <v>395</v>
      </c>
      <c r="D59" s="857">
        <v>0</v>
      </c>
      <c r="E59" s="857" t="s">
        <v>5440</v>
      </c>
      <c r="F59" s="857" t="s">
        <v>175</v>
      </c>
      <c r="G59" s="865" t="s">
        <v>4735</v>
      </c>
      <c r="H59" s="239" t="s">
        <v>4664</v>
      </c>
      <c r="I59" s="239" t="s">
        <v>8244</v>
      </c>
      <c r="J59" s="240" t="s">
        <v>8245</v>
      </c>
      <c r="K59" s="727"/>
      <c r="L59" s="869"/>
      <c r="M59" s="869"/>
      <c r="N59" s="869" t="s">
        <v>8161</v>
      </c>
      <c r="O59" s="860">
        <f>COUNTA(S59:BD59)</f>
        <v>2</v>
      </c>
      <c r="P59" s="860"/>
      <c r="Q59" s="860"/>
      <c r="R59" s="862">
        <v>43160</v>
      </c>
      <c r="S59" s="868">
        <v>43166</v>
      </c>
      <c r="T59" s="868"/>
      <c r="U59" s="868"/>
      <c r="V59" s="868"/>
      <c r="W59" s="868"/>
      <c r="X59" s="868"/>
      <c r="Y59" s="868"/>
      <c r="Z59" s="868"/>
      <c r="AA59" s="868"/>
      <c r="AB59" s="868"/>
      <c r="AC59" s="679"/>
      <c r="AD59" s="679">
        <v>43341</v>
      </c>
      <c r="AE59" s="679"/>
      <c r="AF59" s="679"/>
      <c r="AG59" s="679"/>
      <c r="AH59" s="679"/>
      <c r="AI59" s="679"/>
      <c r="AJ59" s="679"/>
      <c r="AK59" s="679"/>
      <c r="AL59" s="679"/>
      <c r="AM59" s="679"/>
      <c r="AN59" s="679"/>
      <c r="AO59" s="679"/>
      <c r="AP59" s="679"/>
      <c r="AQ59" s="679"/>
      <c r="AR59" s="679"/>
      <c r="AS59" s="679"/>
      <c r="AT59" s="679"/>
      <c r="AU59" s="679"/>
      <c r="AV59" s="857"/>
      <c r="AW59" s="857"/>
      <c r="AX59" s="857"/>
      <c r="AY59" s="857"/>
      <c r="AZ59" s="857"/>
      <c r="BA59" s="857"/>
      <c r="BB59" s="857"/>
      <c r="BC59" s="857"/>
      <c r="BD59" s="857"/>
      <c r="BE59" s="857"/>
      <c r="BF59" s="857"/>
      <c r="BG59" s="857"/>
      <c r="BH59" s="857"/>
      <c r="BI59" s="857"/>
      <c r="BJ59" s="857"/>
      <c r="BK59" s="857"/>
      <c r="BL59" s="857"/>
      <c r="BM59" s="857"/>
      <c r="BN59" s="857"/>
      <c r="BO59" s="857"/>
      <c r="BP59" s="857"/>
      <c r="BQ59" s="857"/>
      <c r="BR59" s="857"/>
      <c r="BS59" s="857"/>
      <c r="BT59" s="857"/>
      <c r="BU59" s="857"/>
      <c r="BV59" s="857"/>
      <c r="BW59" s="857"/>
      <c r="BX59" s="857"/>
      <c r="BY59" s="857"/>
      <c r="BZ59" s="857"/>
    </row>
    <row r="60" spans="2:78" ht="18" customHeight="1" x14ac:dyDescent="0.35">
      <c r="T60" s="644"/>
      <c r="U60" s="644"/>
      <c r="V60" s="644"/>
      <c r="W60" s="644"/>
      <c r="X60" s="644"/>
      <c r="Y60" s="644"/>
      <c r="Z60" s="618"/>
      <c r="AA60" s="618"/>
      <c r="AB60" s="615"/>
      <c r="AC60" s="674"/>
      <c r="AD60" s="674"/>
      <c r="AE60" s="674"/>
      <c r="AL60" s="672"/>
      <c r="AM60" s="672"/>
      <c r="AN60" s="672"/>
      <c r="AO60" s="672"/>
      <c r="AP60" s="672"/>
      <c r="AQ60" s="672"/>
      <c r="AR60" s="672"/>
      <c r="AS60" s="672"/>
      <c r="AT60" s="672"/>
      <c r="AU60" s="672"/>
    </row>
    <row r="61" spans="2:78" ht="14.65" customHeight="1" x14ac:dyDescent="0.35">
      <c r="S61" s="615"/>
      <c r="T61" s="615"/>
      <c r="U61" s="615"/>
      <c r="V61" s="615"/>
      <c r="W61" s="615"/>
      <c r="X61" s="615"/>
      <c r="Y61" s="615"/>
      <c r="Z61" s="615"/>
      <c r="AA61" s="615"/>
      <c r="AB61" s="615"/>
      <c r="AC61" s="674"/>
      <c r="AD61" s="674"/>
      <c r="AE61" s="674"/>
      <c r="AL61" s="672"/>
      <c r="AM61" s="672"/>
      <c r="AN61" s="672"/>
      <c r="AO61" s="672"/>
      <c r="AP61" s="672"/>
      <c r="AQ61" s="672"/>
      <c r="AR61" s="672"/>
      <c r="AS61" s="672"/>
      <c r="AT61" s="672"/>
      <c r="AU61" s="672"/>
    </row>
    <row r="62" spans="2:78" ht="14.65" customHeight="1" x14ac:dyDescent="0.35">
      <c r="B62" s="604" t="s">
        <v>8246</v>
      </c>
      <c r="C62" s="246" t="s">
        <v>3755</v>
      </c>
      <c r="D62" s="246" t="s">
        <v>8247</v>
      </c>
      <c r="E62" s="604" t="s">
        <v>1039</v>
      </c>
      <c r="M62" s="645">
        <f>COUNTA(M38:M60)</f>
        <v>9</v>
      </c>
      <c r="S62" s="615"/>
      <c r="T62" s="615"/>
      <c r="U62" s="615"/>
      <c r="V62" s="615"/>
      <c r="W62" s="615"/>
      <c r="X62" s="615"/>
      <c r="Y62" s="615"/>
      <c r="Z62" s="615"/>
      <c r="AA62" s="615"/>
      <c r="AB62" s="615"/>
      <c r="AC62" s="674"/>
      <c r="AD62" s="674"/>
      <c r="AE62" s="674"/>
    </row>
    <row r="63" spans="2:78" x14ac:dyDescent="0.35">
      <c r="B63" s="138">
        <f>COUNTIF(B11:B61,"&gt;0")</f>
        <v>33</v>
      </c>
      <c r="C63" s="244">
        <f>SUM(C11:C62)</f>
        <v>12676.75</v>
      </c>
      <c r="D63" s="1">
        <f>SUM(D11:D42)</f>
        <v>0</v>
      </c>
      <c r="E63" s="588">
        <f>SUM(C63+D63)/B63</f>
        <v>384.14393939393938</v>
      </c>
    </row>
    <row r="64" spans="2:78" x14ac:dyDescent="0.35">
      <c r="S64" s="615"/>
      <c r="T64" s="615"/>
      <c r="U64" s="615"/>
      <c r="V64" s="615"/>
      <c r="W64" s="615"/>
      <c r="X64" s="615"/>
      <c r="Y64" s="615"/>
      <c r="Z64" s="615"/>
      <c r="AA64" s="615"/>
      <c r="AB64" s="615"/>
      <c r="AC64" s="674"/>
      <c r="AD64" s="674"/>
      <c r="AE64" s="674"/>
    </row>
    <row r="65" spans="2:31" x14ac:dyDescent="0.35">
      <c r="S65" s="615"/>
      <c r="T65" s="615"/>
      <c r="U65" s="615"/>
      <c r="V65" s="615"/>
      <c r="W65" s="615"/>
      <c r="X65" s="615"/>
      <c r="Y65" s="615"/>
      <c r="Z65" s="615"/>
      <c r="AA65" s="615"/>
      <c r="AB65" s="615"/>
      <c r="AC65" s="674"/>
      <c r="AD65" s="674"/>
      <c r="AE65" s="674"/>
    </row>
    <row r="66" spans="2:31" x14ac:dyDescent="0.35">
      <c r="C66" s="244">
        <f>SUM(C11:C60)</f>
        <v>12676.75</v>
      </c>
      <c r="D66" s="244">
        <f>SUM(D11:D42)</f>
        <v>0</v>
      </c>
      <c r="E66" s="588">
        <f>D66+C66</f>
        <v>12676.75</v>
      </c>
      <c r="S66" s="615"/>
      <c r="T66" s="615"/>
      <c r="U66" s="615"/>
      <c r="V66" s="615"/>
      <c r="W66" s="615"/>
      <c r="X66" s="615"/>
      <c r="Y66" s="615"/>
      <c r="Z66" s="615"/>
      <c r="AA66" s="615"/>
      <c r="AB66" s="615"/>
      <c r="AC66" s="674"/>
      <c r="AD66" s="674"/>
      <c r="AE66" s="674"/>
    </row>
    <row r="69" spans="2:31" x14ac:dyDescent="0.35">
      <c r="B69" s="588" t="s">
        <v>8248</v>
      </c>
      <c r="C69" s="1">
        <v>1.5</v>
      </c>
      <c r="D69" s="1">
        <f>C69*B63</f>
        <v>49.5</v>
      </c>
    </row>
    <row r="70" spans="2:31" x14ac:dyDescent="0.35">
      <c r="B70" s="588" t="s">
        <v>8249</v>
      </c>
      <c r="C70" s="1">
        <v>0</v>
      </c>
      <c r="D70" s="1">
        <f>C70*4</f>
        <v>0</v>
      </c>
    </row>
    <row r="71" spans="2:31" x14ac:dyDescent="0.35">
      <c r="B71" s="588" t="s">
        <v>8250</v>
      </c>
      <c r="C71" s="1">
        <v>50</v>
      </c>
      <c r="D71" s="1">
        <f>SUM(C71*3)*6</f>
        <v>900</v>
      </c>
    </row>
    <row r="72" spans="2:31" x14ac:dyDescent="0.35">
      <c r="B72" s="588" t="s">
        <v>538</v>
      </c>
      <c r="C72" s="1">
        <v>3</v>
      </c>
      <c r="D72" s="1">
        <f>SUM(C72*3)*6</f>
        <v>54</v>
      </c>
    </row>
    <row r="73" spans="2:31" x14ac:dyDescent="0.35">
      <c r="B73" s="588" t="s">
        <v>8251</v>
      </c>
      <c r="C73" s="1">
        <v>0</v>
      </c>
      <c r="D73" s="1">
        <f>C73*B63</f>
        <v>0</v>
      </c>
    </row>
    <row r="74" spans="2:31" x14ac:dyDescent="0.35">
      <c r="B74" s="588" t="s">
        <v>8252</v>
      </c>
      <c r="C74" s="1">
        <v>0</v>
      </c>
      <c r="D74" s="1">
        <f>C74*4</f>
        <v>0</v>
      </c>
    </row>
    <row r="75" spans="2:31" x14ac:dyDescent="0.35">
      <c r="B75" s="588" t="s">
        <v>3595</v>
      </c>
      <c r="C75" s="245">
        <v>3.5999999999999997E-2</v>
      </c>
      <c r="D75" s="1">
        <f>C63*C75</f>
        <v>456.36299999999994</v>
      </c>
    </row>
    <row r="77" spans="2:31" x14ac:dyDescent="0.35">
      <c r="C77" s="1" t="s">
        <v>509</v>
      </c>
      <c r="D77" s="1">
        <f>SUM(D69:D76)</f>
        <v>1459.8629999999998</v>
      </c>
    </row>
    <row r="78" spans="2:31" x14ac:dyDescent="0.35">
      <c r="C78" s="1" t="s">
        <v>3914</v>
      </c>
      <c r="D78" s="244">
        <f>C66+D66-D77</f>
        <v>11216.887000000001</v>
      </c>
    </row>
    <row r="80" spans="2:31" ht="14.65" customHeight="1" x14ac:dyDescent="0.35">
      <c r="B80" s="619"/>
      <c r="C80" s="4"/>
      <c r="D80" s="617">
        <v>395</v>
      </c>
      <c r="E80" s="617"/>
      <c r="F80" s="617"/>
      <c r="G80" s="5"/>
      <c r="H80" s="84"/>
      <c r="I80" s="84" t="s">
        <v>2855</v>
      </c>
      <c r="J80" s="617"/>
      <c r="K80" s="663"/>
      <c r="L80" s="661"/>
    </row>
    <row r="81" spans="2:19" ht="14.65" customHeight="1" x14ac:dyDescent="0.35">
      <c r="B81" s="619"/>
      <c r="C81" s="4"/>
      <c r="D81" s="617">
        <v>395</v>
      </c>
      <c r="E81" s="617"/>
      <c r="F81" s="617"/>
      <c r="G81" s="617"/>
      <c r="H81" s="617"/>
      <c r="I81" s="636" t="s">
        <v>3534</v>
      </c>
      <c r="J81" s="84"/>
      <c r="K81" s="665"/>
      <c r="L81" s="661"/>
    </row>
    <row r="82" spans="2:19" ht="14.65" customHeight="1" x14ac:dyDescent="0.35">
      <c r="B82" s="619"/>
      <c r="C82" s="4"/>
      <c r="D82" s="617">
        <v>395</v>
      </c>
      <c r="E82" s="617"/>
      <c r="F82" s="617"/>
      <c r="G82" s="617"/>
      <c r="H82" s="617"/>
      <c r="I82" s="607" t="s">
        <v>2431</v>
      </c>
      <c r="J82" s="93"/>
      <c r="K82" s="666"/>
      <c r="L82" s="661"/>
    </row>
    <row r="83" spans="2:19" ht="14.65" customHeight="1" x14ac:dyDescent="0.35">
      <c r="B83" s="619"/>
      <c r="C83" s="115"/>
      <c r="D83" s="617">
        <v>395</v>
      </c>
      <c r="E83" s="620"/>
      <c r="F83" s="620"/>
      <c r="G83" s="617"/>
      <c r="H83" s="617"/>
      <c r="I83" s="636" t="s">
        <v>8253</v>
      </c>
      <c r="J83" s="617"/>
      <c r="K83" s="663"/>
      <c r="L83" s="661"/>
    </row>
    <row r="84" spans="2:19" ht="14.65" customHeight="1" x14ac:dyDescent="0.35">
      <c r="B84" s="616">
        <v>43137</v>
      </c>
      <c r="C84" s="617">
        <v>395</v>
      </c>
      <c r="D84" s="588"/>
      <c r="E84" s="588" t="s">
        <v>8254</v>
      </c>
      <c r="F84" s="617" t="s">
        <v>175</v>
      </c>
      <c r="G84" s="287" t="s">
        <v>8255</v>
      </c>
      <c r="H84" s="617" t="s">
        <v>4664</v>
      </c>
      <c r="I84" s="617" t="s">
        <v>2996</v>
      </c>
      <c r="J84" s="611" t="s">
        <v>4245</v>
      </c>
      <c r="K84" s="665" t="s">
        <v>4889</v>
      </c>
      <c r="L84" s="660">
        <v>7772846158</v>
      </c>
      <c r="M84" s="660"/>
      <c r="N84" s="660"/>
      <c r="O84" s="645"/>
      <c r="P84" s="645"/>
      <c r="Q84" s="645"/>
      <c r="R84" s="645"/>
      <c r="S84" s="644">
        <v>43166</v>
      </c>
    </row>
  </sheetData>
  <conditionalFormatting sqref="C78:D78">
    <cfRule type="cellIs" dxfId="3" priority="1" operator="lessThan">
      <formula>0</formula>
    </cfRule>
  </conditionalFormatting>
  <hyperlinks>
    <hyperlink ref="G15" r:id="rId1" xr:uid="{00000000-0004-0000-2400-000000000000}"/>
    <hyperlink ref="G19" r:id="rId2" xr:uid="{00000000-0004-0000-2400-000001000000}"/>
    <hyperlink ref="G20" r:id="rId3" xr:uid="{00000000-0004-0000-2400-000002000000}"/>
    <hyperlink ref="G31" r:id="rId4" xr:uid="{00000000-0004-0000-2400-000003000000}"/>
    <hyperlink ref="G32" r:id="rId5" xr:uid="{00000000-0004-0000-2400-000004000000}"/>
    <hyperlink ref="G34" r:id="rId6" xr:uid="{00000000-0004-0000-2400-000005000000}"/>
    <hyperlink ref="G44" r:id="rId7" xr:uid="{00000000-0004-0000-2400-000006000000}"/>
    <hyperlink ref="G45" r:id="rId8" xr:uid="{00000000-0004-0000-2400-000007000000}"/>
    <hyperlink ref="G46" r:id="rId9" xr:uid="{00000000-0004-0000-2400-000008000000}"/>
    <hyperlink ref="G52" r:id="rId10" xr:uid="{00000000-0004-0000-2400-000009000000}"/>
    <hyperlink ref="G56" r:id="rId11" xr:uid="{00000000-0004-0000-2400-00000A000000}"/>
    <hyperlink ref="G58" r:id="rId12" xr:uid="{00000000-0004-0000-2400-00000B000000}"/>
    <hyperlink ref="G59" r:id="rId13" xr:uid="{00000000-0004-0000-2400-00000C000000}"/>
    <hyperlink ref="G84" r:id="rId14" xr:uid="{00000000-0004-0000-2400-00000D000000}"/>
  </hyperlinks>
  <pageMargins left="0.25" right="0.25" top="0.75" bottom="0.75" header="0.3" footer="0.3"/>
  <pageSetup paperSize="9" scale="38" orientation="landscape"/>
  <headerFooter alignWithMargins="0">
    <oddHeader>&amp;LPage &amp;P of &amp;N&amp;C&amp;"Arial,Bold"&amp;14 Solihull - Tudor Court&amp;R&amp;"Arial,Bold"&amp;18 &amp;A</oddHeader>
    <oddFooter>&amp;L&amp;F&amp;R&amp;A</oddFooter>
  </headerFooter>
  <legacyDrawing r:id="rId15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>
    <tabColor rgb="FF758CEF"/>
    <pageSetUpPr fitToPage="1"/>
  </sheetPr>
  <dimension ref="A1:V115"/>
  <sheetViews>
    <sheetView workbookViewId="0">
      <pane ySplit="1" topLeftCell="A46" activePane="bottomLeft" state="frozen"/>
      <selection activeCell="V27" sqref="V27"/>
      <selection pane="bottomLeft" activeCell="A93" sqref="A93"/>
    </sheetView>
  </sheetViews>
  <sheetFormatPr defaultColWidth="9.1328125" defaultRowHeight="12.75" x14ac:dyDescent="0.35"/>
  <cols>
    <col min="1" max="1" width="13.53125" style="45" bestFit="1" customWidth="1"/>
    <col min="2" max="2" width="34.1328125" style="45" customWidth="1"/>
    <col min="3" max="3" width="11" style="45" bestFit="1" customWidth="1"/>
    <col min="4" max="4" width="11" style="45" customWidth="1"/>
    <col min="5" max="5" width="12.19921875" style="85" customWidth="1"/>
    <col min="6" max="6" width="12.46484375" style="45" customWidth="1"/>
    <col min="7" max="7" width="12.796875" style="52" bestFit="1" customWidth="1"/>
    <col min="8" max="8" width="11.86328125" style="45" bestFit="1" customWidth="1"/>
    <col min="9" max="9" width="39.53125" style="45" bestFit="1" customWidth="1"/>
    <col min="10" max="10" width="8.19921875" style="45" bestFit="1" customWidth="1"/>
    <col min="11" max="11" width="11.1328125" style="45" bestFit="1" customWidth="1"/>
    <col min="12" max="12" width="15.796875" style="45" bestFit="1" customWidth="1"/>
    <col min="13" max="13" width="9.19921875" style="45" bestFit="1" customWidth="1"/>
    <col min="14" max="14" width="20.796875" style="45" bestFit="1" customWidth="1"/>
    <col min="15" max="15" width="13.53125" style="45" bestFit="1" customWidth="1"/>
    <col min="16" max="16" width="26.46484375" style="45" customWidth="1"/>
    <col min="17" max="17" width="16.19921875" style="45" customWidth="1"/>
    <col min="18" max="18" width="19.1328125" style="45" bestFit="1" customWidth="1"/>
    <col min="19" max="19" width="13.1328125" style="45" bestFit="1" customWidth="1"/>
    <col min="20" max="20" width="88.46484375" style="45" bestFit="1" customWidth="1"/>
    <col min="21" max="21" width="69.1328125" style="45" bestFit="1" customWidth="1"/>
    <col min="22" max="22" width="69.796875" style="45" bestFit="1" customWidth="1"/>
    <col min="23" max="23" width="9.1328125" style="45" customWidth="1"/>
    <col min="24" max="16384" width="9.1328125" style="45"/>
  </cols>
  <sheetData>
    <row r="1" spans="1:22" ht="29.25" customHeight="1" x14ac:dyDescent="0.35">
      <c r="A1" s="237" t="s">
        <v>4506</v>
      </c>
      <c r="B1" s="236" t="s">
        <v>8256</v>
      </c>
      <c r="C1" s="107" t="s">
        <v>4934</v>
      </c>
      <c r="D1" s="107" t="s">
        <v>4935</v>
      </c>
      <c r="E1" s="109" t="s">
        <v>4936</v>
      </c>
      <c r="F1" s="106" t="s">
        <v>4504</v>
      </c>
      <c r="G1" s="108" t="s">
        <v>129</v>
      </c>
      <c r="H1" s="107" t="s">
        <v>3880</v>
      </c>
      <c r="I1" s="106" t="s">
        <v>4502</v>
      </c>
      <c r="J1" s="106" t="s">
        <v>4938</v>
      </c>
      <c r="K1" s="106" t="s">
        <v>4939</v>
      </c>
      <c r="L1" s="106" t="s">
        <v>4940</v>
      </c>
      <c r="M1" s="235" t="s">
        <v>4941</v>
      </c>
      <c r="N1" s="110" t="s">
        <v>4942</v>
      </c>
      <c r="O1" s="106" t="s">
        <v>4943</v>
      </c>
      <c r="P1" s="110" t="s">
        <v>4944</v>
      </c>
      <c r="Q1" s="106" t="s">
        <v>4945</v>
      </c>
      <c r="R1" s="107" t="s">
        <v>4946</v>
      </c>
      <c r="S1" s="106" t="s">
        <v>4947</v>
      </c>
      <c r="T1" s="234" t="s">
        <v>4948</v>
      </c>
      <c r="U1" s="234" t="s">
        <v>4949</v>
      </c>
      <c r="V1" s="233" t="s">
        <v>4950</v>
      </c>
    </row>
    <row r="2" spans="1:22" ht="14.65" customHeight="1" x14ac:dyDescent="0.35">
      <c r="A2" s="232"/>
      <c r="B2" s="231"/>
      <c r="C2" s="100"/>
      <c r="D2" s="100"/>
      <c r="E2" s="103"/>
      <c r="F2" s="102" t="s">
        <v>120</v>
      </c>
      <c r="G2" s="101"/>
      <c r="H2" s="101"/>
      <c r="I2" s="105"/>
      <c r="J2" s="100"/>
      <c r="K2" s="100"/>
      <c r="L2" s="100"/>
      <c r="M2" s="230"/>
      <c r="N2" s="104"/>
      <c r="O2" s="100"/>
      <c r="P2" s="104"/>
      <c r="Q2" s="100"/>
      <c r="R2" s="100"/>
      <c r="S2" s="100"/>
      <c r="T2" s="100"/>
      <c r="U2" s="100"/>
      <c r="V2" s="100"/>
    </row>
    <row r="3" spans="1:22" ht="10.5" customHeight="1" x14ac:dyDescent="0.35">
      <c r="A3" s="142"/>
      <c r="B3" s="198"/>
      <c r="C3" s="84"/>
      <c r="D3" s="84"/>
      <c r="E3" s="87"/>
      <c r="F3" s="99"/>
      <c r="G3" s="4"/>
      <c r="H3" s="4"/>
      <c r="I3" s="5"/>
      <c r="J3" s="84"/>
      <c r="K3" s="84"/>
      <c r="L3" s="84"/>
      <c r="M3" s="197"/>
      <c r="N3" s="88"/>
      <c r="O3" s="84"/>
      <c r="P3" s="88"/>
      <c r="Q3" s="84"/>
      <c r="R3" s="84"/>
      <c r="S3" s="84"/>
      <c r="T3" s="84"/>
      <c r="U3" s="84"/>
      <c r="V3" s="84"/>
    </row>
    <row r="4" spans="1:22" ht="15.75" customHeight="1" x14ac:dyDescent="0.35">
      <c r="A4" s="84"/>
      <c r="B4" s="84"/>
      <c r="C4" s="84"/>
      <c r="D4" s="84"/>
      <c r="E4" s="87"/>
      <c r="F4" s="84"/>
      <c r="G4" s="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  <c r="V4" s="84"/>
    </row>
    <row r="5" spans="1:22" ht="15.75" customHeight="1" x14ac:dyDescent="0.35">
      <c r="A5" s="239"/>
      <c r="B5" s="93"/>
      <c r="C5" s="84"/>
      <c r="D5" s="84"/>
      <c r="E5" s="84"/>
      <c r="F5" s="86"/>
      <c r="G5" s="4"/>
      <c r="H5" s="84"/>
      <c r="I5" s="95"/>
      <c r="J5" s="91"/>
      <c r="K5" s="93"/>
      <c r="L5" s="91"/>
      <c r="M5" s="94"/>
      <c r="N5" s="76"/>
      <c r="O5" s="93"/>
      <c r="P5" s="91"/>
      <c r="Q5" s="93"/>
      <c r="R5" s="84"/>
      <c r="S5" s="84"/>
      <c r="T5" s="84"/>
      <c r="U5" s="84"/>
      <c r="V5" s="84"/>
    </row>
    <row r="6" spans="1:22" ht="15.75" customHeight="1" x14ac:dyDescent="0.35">
      <c r="A6" s="91">
        <v>42746</v>
      </c>
      <c r="B6" s="93" t="s">
        <v>8257</v>
      </c>
      <c r="C6" s="84" t="s">
        <v>7581</v>
      </c>
      <c r="D6" s="84" t="s">
        <v>5520</v>
      </c>
      <c r="E6" s="84" t="s">
        <v>8258</v>
      </c>
      <c r="F6" s="86">
        <v>42949</v>
      </c>
      <c r="G6" s="4">
        <v>38.25</v>
      </c>
      <c r="H6" s="84">
        <v>0</v>
      </c>
      <c r="I6" s="81" t="s">
        <v>8259</v>
      </c>
      <c r="J6" s="91" t="s">
        <v>4664</v>
      </c>
      <c r="K6" s="93" t="s">
        <v>8260</v>
      </c>
      <c r="L6" s="91" t="s">
        <v>8261</v>
      </c>
      <c r="M6" s="94" t="s">
        <v>6045</v>
      </c>
      <c r="N6" s="76" t="s">
        <v>8262</v>
      </c>
      <c r="O6" s="93" t="s">
        <v>8263</v>
      </c>
      <c r="P6" s="88" t="s">
        <v>8264</v>
      </c>
      <c r="Q6" s="84" t="s">
        <v>8265</v>
      </c>
      <c r="R6" s="84"/>
      <c r="S6" s="84"/>
      <c r="T6" s="84"/>
      <c r="U6" s="84"/>
      <c r="V6" s="84"/>
    </row>
    <row r="7" spans="1:22" ht="15.75" customHeight="1" x14ac:dyDescent="0.35">
      <c r="A7" s="91">
        <v>42746</v>
      </c>
      <c r="B7" s="93" t="s">
        <v>8257</v>
      </c>
      <c r="C7" s="84" t="s">
        <v>7581</v>
      </c>
      <c r="D7" s="84" t="s">
        <v>5520</v>
      </c>
      <c r="E7" s="84" t="s">
        <v>8266</v>
      </c>
      <c r="F7" s="86">
        <v>42673</v>
      </c>
      <c r="G7" s="4">
        <v>45</v>
      </c>
      <c r="H7" s="84">
        <v>0</v>
      </c>
      <c r="I7" s="95" t="s">
        <v>4964</v>
      </c>
      <c r="J7" s="91" t="s">
        <v>4664</v>
      </c>
      <c r="K7" s="93" t="s">
        <v>4145</v>
      </c>
      <c r="L7" s="91" t="s">
        <v>4965</v>
      </c>
      <c r="M7" s="94" t="s">
        <v>4966</v>
      </c>
      <c r="N7" s="76" t="s">
        <v>4967</v>
      </c>
      <c r="O7" s="93" t="s">
        <v>4968</v>
      </c>
      <c r="P7" s="91" t="s">
        <v>4969</v>
      </c>
      <c r="Q7" s="93" t="s">
        <v>4970</v>
      </c>
      <c r="R7" s="84"/>
      <c r="S7" s="84"/>
      <c r="T7" s="84"/>
      <c r="U7" s="84"/>
      <c r="V7" s="84"/>
    </row>
    <row r="8" spans="1:22" ht="15.75" customHeight="1" x14ac:dyDescent="0.35">
      <c r="A8" s="91">
        <v>42746</v>
      </c>
      <c r="B8" s="93" t="s">
        <v>8257</v>
      </c>
      <c r="C8" s="84" t="s">
        <v>7581</v>
      </c>
      <c r="D8" s="84" t="s">
        <v>5520</v>
      </c>
      <c r="E8" s="84" t="s">
        <v>1031</v>
      </c>
      <c r="F8" s="86">
        <v>42709</v>
      </c>
      <c r="G8" s="4">
        <v>45</v>
      </c>
      <c r="H8" s="84">
        <v>0</v>
      </c>
      <c r="I8" s="95" t="s">
        <v>8267</v>
      </c>
      <c r="J8" s="91" t="s">
        <v>4955</v>
      </c>
      <c r="K8" s="93" t="s">
        <v>8268</v>
      </c>
      <c r="L8" s="91" t="s">
        <v>4036</v>
      </c>
      <c r="M8" s="94" t="s">
        <v>4716</v>
      </c>
      <c r="N8" s="76" t="s">
        <v>8269</v>
      </c>
      <c r="O8" s="93" t="s">
        <v>8270</v>
      </c>
      <c r="P8" s="91" t="s">
        <v>8271</v>
      </c>
      <c r="Q8" s="93" t="s">
        <v>4534</v>
      </c>
      <c r="R8" s="84"/>
      <c r="S8" s="84"/>
      <c r="T8" s="84"/>
      <c r="U8" s="84"/>
      <c r="V8" s="84"/>
    </row>
    <row r="9" spans="1:22" ht="15.75" customHeight="1" x14ac:dyDescent="0.35">
      <c r="A9" s="239"/>
      <c r="B9" s="93"/>
      <c r="C9" s="84"/>
      <c r="D9" s="84"/>
      <c r="E9" s="84"/>
      <c r="F9" s="86"/>
      <c r="G9" s="4"/>
      <c r="H9" s="84"/>
      <c r="I9" s="95"/>
      <c r="J9" s="91"/>
      <c r="K9" s="93"/>
      <c r="L9" s="91"/>
      <c r="M9" s="94"/>
      <c r="N9" s="76"/>
      <c r="O9" s="93"/>
      <c r="P9" s="91"/>
      <c r="Q9" s="93"/>
      <c r="R9" s="84"/>
      <c r="S9" s="84"/>
      <c r="T9" s="84"/>
      <c r="U9" s="84"/>
      <c r="V9" s="84"/>
    </row>
    <row r="10" spans="1:22" ht="15.75" customHeight="1" x14ac:dyDescent="0.35">
      <c r="A10" s="91"/>
      <c r="B10" s="93"/>
      <c r="C10" s="84"/>
      <c r="D10" s="84"/>
      <c r="E10" s="84"/>
      <c r="F10" s="86"/>
      <c r="G10" s="4"/>
      <c r="H10" s="84"/>
      <c r="I10" s="95"/>
      <c r="J10" s="91"/>
      <c r="K10" s="93"/>
      <c r="L10" s="91"/>
      <c r="M10" s="94"/>
      <c r="N10" s="76"/>
      <c r="O10" s="93"/>
      <c r="P10" s="91"/>
      <c r="Q10" s="93"/>
      <c r="R10" s="84"/>
      <c r="S10" s="84"/>
      <c r="T10" s="84"/>
      <c r="U10" s="84"/>
      <c r="V10" s="84"/>
    </row>
    <row r="11" spans="1:22" ht="15.75" customHeight="1" x14ac:dyDescent="0.35">
      <c r="A11" s="91">
        <v>42753</v>
      </c>
      <c r="B11" s="93" t="s">
        <v>8272</v>
      </c>
      <c r="C11" s="96" t="s">
        <v>7581</v>
      </c>
      <c r="D11" s="96" t="s">
        <v>5520</v>
      </c>
      <c r="E11" s="96" t="s">
        <v>8266</v>
      </c>
      <c r="F11" s="97">
        <v>42673</v>
      </c>
      <c r="G11" s="6">
        <v>45</v>
      </c>
      <c r="H11" s="96">
        <v>0</v>
      </c>
      <c r="I11" s="95" t="s">
        <v>4964</v>
      </c>
      <c r="J11" s="91" t="s">
        <v>4664</v>
      </c>
      <c r="K11" s="93" t="s">
        <v>4145</v>
      </c>
      <c r="L11" s="91" t="s">
        <v>4965</v>
      </c>
      <c r="M11" s="94" t="s">
        <v>4966</v>
      </c>
      <c r="N11" s="76" t="s">
        <v>4967</v>
      </c>
      <c r="O11" s="93" t="s">
        <v>4968</v>
      </c>
      <c r="P11" s="91" t="s">
        <v>4969</v>
      </c>
      <c r="Q11" s="93" t="s">
        <v>4970</v>
      </c>
      <c r="R11" s="84"/>
      <c r="S11" s="84"/>
      <c r="T11" s="84"/>
      <c r="U11" s="84"/>
      <c r="V11" s="84"/>
    </row>
    <row r="12" spans="1:22" ht="15.75" customHeight="1" x14ac:dyDescent="0.35">
      <c r="A12" s="91">
        <v>42753</v>
      </c>
      <c r="B12" s="93" t="s">
        <v>8272</v>
      </c>
      <c r="C12" s="96" t="s">
        <v>7581</v>
      </c>
      <c r="D12" s="96" t="s">
        <v>5520</v>
      </c>
      <c r="E12" s="96" t="s">
        <v>8273</v>
      </c>
      <c r="F12" s="243">
        <v>42508</v>
      </c>
      <c r="G12" s="6">
        <v>45</v>
      </c>
      <c r="H12" s="96">
        <v>0</v>
      </c>
      <c r="I12" s="241" t="s">
        <v>8274</v>
      </c>
      <c r="J12" s="239" t="s">
        <v>4955</v>
      </c>
      <c r="K12" s="240" t="s">
        <v>8275</v>
      </c>
      <c r="L12" s="239" t="s">
        <v>8276</v>
      </c>
      <c r="M12" s="242" t="s">
        <v>4689</v>
      </c>
      <c r="N12" s="76" t="s">
        <v>8277</v>
      </c>
      <c r="O12" s="93" t="s">
        <v>8278</v>
      </c>
      <c r="P12" s="88" t="s">
        <v>8279</v>
      </c>
      <c r="Q12" s="84" t="s">
        <v>4970</v>
      </c>
      <c r="R12" s="84"/>
      <c r="S12" s="84"/>
      <c r="T12" s="84"/>
      <c r="U12" s="84"/>
      <c r="V12" s="84"/>
    </row>
    <row r="13" spans="1:22" ht="15.75" customHeight="1" x14ac:dyDescent="0.35">
      <c r="A13" s="91">
        <v>42753</v>
      </c>
      <c r="B13" s="93" t="s">
        <v>8272</v>
      </c>
      <c r="C13" s="96" t="s">
        <v>7581</v>
      </c>
      <c r="D13" s="96" t="s">
        <v>5520</v>
      </c>
      <c r="E13" s="96" t="s">
        <v>1031</v>
      </c>
      <c r="F13" s="97">
        <v>42709</v>
      </c>
      <c r="G13" s="6">
        <v>45</v>
      </c>
      <c r="H13" s="96">
        <v>0</v>
      </c>
      <c r="I13" s="95" t="s">
        <v>8267</v>
      </c>
      <c r="J13" s="91" t="s">
        <v>4955</v>
      </c>
      <c r="K13" s="93" t="s">
        <v>8268</v>
      </c>
      <c r="L13" s="91" t="s">
        <v>4036</v>
      </c>
      <c r="M13" s="94" t="s">
        <v>4716</v>
      </c>
      <c r="N13" s="76" t="s">
        <v>8269</v>
      </c>
      <c r="O13" s="93" t="s">
        <v>8270</v>
      </c>
      <c r="P13" s="91" t="s">
        <v>8271</v>
      </c>
      <c r="Q13" s="93" t="s">
        <v>4534</v>
      </c>
      <c r="R13" s="84"/>
      <c r="S13" s="84"/>
      <c r="T13" s="84"/>
      <c r="U13" s="84"/>
      <c r="V13" s="84"/>
    </row>
    <row r="14" spans="1:22" ht="15.75" customHeight="1" x14ac:dyDescent="0.35">
      <c r="A14" s="91">
        <v>42753</v>
      </c>
      <c r="B14" s="93" t="s">
        <v>8272</v>
      </c>
      <c r="C14" s="96" t="s">
        <v>7581</v>
      </c>
      <c r="D14" s="96" t="s">
        <v>5520</v>
      </c>
      <c r="E14" s="96" t="s">
        <v>8280</v>
      </c>
      <c r="F14" s="97">
        <v>42705</v>
      </c>
      <c r="G14" s="6">
        <f>114.75/3</f>
        <v>38.25</v>
      </c>
      <c r="H14" s="96">
        <v>0</v>
      </c>
      <c r="I14" s="95" t="s">
        <v>8281</v>
      </c>
      <c r="J14" s="91" t="s">
        <v>4955</v>
      </c>
      <c r="K14" s="93" t="s">
        <v>4493</v>
      </c>
      <c r="L14" s="91" t="s">
        <v>8282</v>
      </c>
      <c r="M14" s="94" t="s">
        <v>5588</v>
      </c>
      <c r="N14" s="76" t="s">
        <v>8283</v>
      </c>
      <c r="O14" s="93" t="s">
        <v>8284</v>
      </c>
      <c r="P14" s="91" t="s">
        <v>8285</v>
      </c>
      <c r="Q14" s="93" t="s">
        <v>5886</v>
      </c>
      <c r="R14" s="84"/>
      <c r="S14" s="84"/>
      <c r="T14" s="84"/>
      <c r="U14" s="84"/>
      <c r="V14" s="84"/>
    </row>
    <row r="17" spans="1:17" ht="15.75" customHeight="1" x14ac:dyDescent="0.35">
      <c r="A17" s="91">
        <v>42758</v>
      </c>
      <c r="B17" s="93" t="s">
        <v>8286</v>
      </c>
      <c r="C17" s="84" t="s">
        <v>7581</v>
      </c>
      <c r="D17" s="84" t="s">
        <v>8287</v>
      </c>
      <c r="E17" s="84" t="s">
        <v>8288</v>
      </c>
      <c r="F17" s="86">
        <v>42623</v>
      </c>
      <c r="G17" s="4">
        <v>45</v>
      </c>
      <c r="H17" s="84">
        <v>0</v>
      </c>
      <c r="I17" s="241" t="s">
        <v>6030</v>
      </c>
      <c r="J17" s="91" t="s">
        <v>4955</v>
      </c>
      <c r="K17" s="93" t="s">
        <v>5641</v>
      </c>
      <c r="L17" s="91" t="s">
        <v>8289</v>
      </c>
      <c r="M17" s="94" t="s">
        <v>5741</v>
      </c>
      <c r="N17" s="76" t="s">
        <v>5642</v>
      </c>
      <c r="O17" s="93" t="s">
        <v>4395</v>
      </c>
      <c r="P17" s="88" t="s">
        <v>8290</v>
      </c>
      <c r="Q17" s="84"/>
    </row>
    <row r="18" spans="1:17" ht="15.75" customHeight="1" x14ac:dyDescent="0.35">
      <c r="A18" s="91">
        <v>42758</v>
      </c>
      <c r="B18" s="93" t="s">
        <v>8286</v>
      </c>
      <c r="C18" s="84" t="s">
        <v>7581</v>
      </c>
      <c r="D18" s="84" t="s">
        <v>5520</v>
      </c>
      <c r="E18" s="84" t="s">
        <v>8280</v>
      </c>
      <c r="F18" s="86">
        <v>42705</v>
      </c>
      <c r="G18" s="4">
        <f>114.75/3</f>
        <v>38.25</v>
      </c>
      <c r="H18" s="84">
        <v>0</v>
      </c>
      <c r="I18" s="95" t="s">
        <v>8281</v>
      </c>
      <c r="J18" s="91" t="s">
        <v>4955</v>
      </c>
      <c r="K18" s="93" t="s">
        <v>4493</v>
      </c>
      <c r="L18" s="91" t="s">
        <v>8282</v>
      </c>
      <c r="M18" s="94" t="s">
        <v>5588</v>
      </c>
      <c r="N18" s="76" t="s">
        <v>8283</v>
      </c>
      <c r="O18" s="93" t="s">
        <v>8284</v>
      </c>
      <c r="P18" s="91" t="s">
        <v>8285</v>
      </c>
      <c r="Q18" s="93" t="s">
        <v>5886</v>
      </c>
    </row>
    <row r="19" spans="1:17" ht="15.75" customHeight="1" x14ac:dyDescent="0.35">
      <c r="A19" s="91">
        <v>42758</v>
      </c>
      <c r="B19" s="93" t="s">
        <v>8286</v>
      </c>
      <c r="C19" s="84" t="s">
        <v>7581</v>
      </c>
      <c r="D19" s="84" t="s">
        <v>5520</v>
      </c>
      <c r="E19" s="84" t="s">
        <v>8291</v>
      </c>
      <c r="F19" s="86">
        <v>42739</v>
      </c>
      <c r="G19" s="4">
        <f>135/3</f>
        <v>45</v>
      </c>
      <c r="H19" s="84">
        <v>0</v>
      </c>
      <c r="I19" s="95" t="s">
        <v>8292</v>
      </c>
      <c r="J19" s="91" t="s">
        <v>5045</v>
      </c>
      <c r="K19" s="93" t="s">
        <v>4168</v>
      </c>
      <c r="L19" s="91" t="s">
        <v>4057</v>
      </c>
      <c r="M19" s="94" t="s">
        <v>5014</v>
      </c>
      <c r="N19" s="76" t="s">
        <v>8293</v>
      </c>
      <c r="O19" s="93" t="s">
        <v>8294</v>
      </c>
      <c r="P19" s="91" t="s">
        <v>8295</v>
      </c>
      <c r="Q19" s="93" t="s">
        <v>4376</v>
      </c>
    </row>
    <row r="20" spans="1:17" ht="15.75" customHeight="1" x14ac:dyDescent="0.35">
      <c r="A20" s="91"/>
      <c r="B20" s="93"/>
      <c r="C20" s="84"/>
      <c r="D20" s="84"/>
      <c r="E20" s="84"/>
      <c r="F20" s="86"/>
      <c r="G20" s="4"/>
      <c r="H20" s="84"/>
      <c r="I20" s="95"/>
      <c r="J20" s="91"/>
      <c r="K20" s="93"/>
      <c r="L20" s="91"/>
      <c r="M20" s="94"/>
      <c r="N20" s="76"/>
      <c r="O20" s="93"/>
      <c r="P20" s="91"/>
      <c r="Q20" s="93"/>
    </row>
    <row r="21" spans="1:17" ht="15.75" customHeight="1" x14ac:dyDescent="0.35"/>
    <row r="22" spans="1:17" ht="15.75" customHeight="1" x14ac:dyDescent="0.35">
      <c r="A22" s="239"/>
      <c r="B22" s="93"/>
      <c r="C22" s="84"/>
      <c r="D22" s="84"/>
      <c r="E22" s="84"/>
      <c r="F22" s="86"/>
      <c r="G22" s="4"/>
      <c r="H22" s="84"/>
      <c r="I22" s="95"/>
      <c r="J22" s="91"/>
      <c r="K22" s="93"/>
      <c r="L22" s="91"/>
      <c r="M22" s="94"/>
      <c r="N22" s="76"/>
      <c r="O22" s="93"/>
      <c r="P22" s="91"/>
      <c r="Q22" s="93"/>
    </row>
    <row r="23" spans="1:17" ht="14.65" customHeight="1" x14ac:dyDescent="0.35">
      <c r="A23" s="91">
        <v>42800</v>
      </c>
      <c r="B23" s="93" t="s">
        <v>8296</v>
      </c>
      <c r="C23" s="84" t="s">
        <v>7581</v>
      </c>
      <c r="D23" s="84" t="s">
        <v>5520</v>
      </c>
      <c r="E23" s="84" t="s">
        <v>8266</v>
      </c>
      <c r="F23" s="86">
        <v>42673</v>
      </c>
      <c r="G23" s="4">
        <v>45</v>
      </c>
      <c r="H23" s="84">
        <v>0</v>
      </c>
      <c r="I23" s="92" t="s">
        <v>4964</v>
      </c>
      <c r="J23" s="91" t="s">
        <v>4664</v>
      </c>
      <c r="K23" s="93" t="s">
        <v>4145</v>
      </c>
      <c r="L23" s="91" t="s">
        <v>4965</v>
      </c>
      <c r="M23" s="94" t="s">
        <v>4966</v>
      </c>
      <c r="N23" s="76" t="s">
        <v>4967</v>
      </c>
      <c r="O23" s="93" t="s">
        <v>4968</v>
      </c>
      <c r="P23" s="91" t="s">
        <v>4969</v>
      </c>
      <c r="Q23" s="93" t="s">
        <v>4970</v>
      </c>
    </row>
    <row r="24" spans="1:17" ht="14.65" customHeight="1" x14ac:dyDescent="0.35">
      <c r="A24" s="91">
        <v>42800</v>
      </c>
      <c r="B24" s="93" t="s">
        <v>8296</v>
      </c>
      <c r="C24" s="84" t="s">
        <v>7581</v>
      </c>
      <c r="D24" s="84" t="s">
        <v>5520</v>
      </c>
      <c r="E24" s="84" t="s">
        <v>1031</v>
      </c>
      <c r="F24" s="86">
        <v>42738</v>
      </c>
      <c r="G24" s="4">
        <v>40</v>
      </c>
      <c r="H24" s="84">
        <v>0</v>
      </c>
      <c r="I24" s="92" t="s">
        <v>4150</v>
      </c>
      <c r="J24" s="91" t="s">
        <v>4664</v>
      </c>
      <c r="K24" s="93" t="s">
        <v>520</v>
      </c>
      <c r="L24" s="91" t="s">
        <v>521</v>
      </c>
      <c r="M24" s="94">
        <v>55</v>
      </c>
      <c r="N24" s="76" t="s">
        <v>5490</v>
      </c>
      <c r="O24" s="93" t="s">
        <v>5491</v>
      </c>
      <c r="P24" s="91" t="s">
        <v>5492</v>
      </c>
      <c r="Q24" s="93" t="s">
        <v>5493</v>
      </c>
    </row>
    <row r="25" spans="1:17" ht="14.65" customHeight="1" x14ac:dyDescent="0.35">
      <c r="A25" s="91">
        <v>42800</v>
      </c>
      <c r="B25" s="93" t="s">
        <v>8296</v>
      </c>
      <c r="C25" s="84" t="s">
        <v>7581</v>
      </c>
      <c r="D25" s="84" t="s">
        <v>174</v>
      </c>
      <c r="E25" s="87" t="s">
        <v>8297</v>
      </c>
      <c r="F25" s="86">
        <v>42766</v>
      </c>
      <c r="G25" s="4">
        <v>50</v>
      </c>
      <c r="H25" s="84">
        <v>0</v>
      </c>
      <c r="I25" s="3" t="s">
        <v>8298</v>
      </c>
      <c r="J25" s="91" t="s">
        <v>4664</v>
      </c>
      <c r="K25" s="84" t="s">
        <v>8299</v>
      </c>
      <c r="L25" s="84" t="s">
        <v>8027</v>
      </c>
      <c r="M25" s="146" t="s">
        <v>4777</v>
      </c>
      <c r="N25" s="146" t="s">
        <v>8300</v>
      </c>
      <c r="O25" s="84" t="s">
        <v>8301</v>
      </c>
      <c r="P25" s="84" t="s">
        <v>8302</v>
      </c>
      <c r="Q25" s="84" t="s">
        <v>4376</v>
      </c>
    </row>
    <row r="26" spans="1:17" ht="15.75" customHeight="1" x14ac:dyDescent="0.35">
      <c r="A26" s="91"/>
      <c r="B26" s="93"/>
      <c r="C26" s="84"/>
      <c r="D26" s="84"/>
      <c r="E26" s="84"/>
      <c r="F26" s="86"/>
      <c r="G26" s="4"/>
      <c r="H26" s="84"/>
      <c r="I26" s="127"/>
      <c r="J26" s="91"/>
      <c r="K26" s="93"/>
      <c r="L26" s="91"/>
      <c r="M26" s="94"/>
      <c r="N26" s="76"/>
      <c r="O26" s="93"/>
      <c r="P26" s="88"/>
      <c r="Q26" s="84"/>
    </row>
    <row r="27" spans="1:17" ht="15.75" customHeight="1" x14ac:dyDescent="0.35">
      <c r="A27" s="91">
        <v>42802</v>
      </c>
      <c r="B27" s="93" t="s">
        <v>8303</v>
      </c>
      <c r="C27" s="84" t="s">
        <v>7581</v>
      </c>
      <c r="D27" s="84" t="s">
        <v>5520</v>
      </c>
      <c r="E27" s="87" t="s">
        <v>8304</v>
      </c>
      <c r="F27" s="86">
        <v>42699</v>
      </c>
      <c r="G27" s="4">
        <v>42.5</v>
      </c>
      <c r="H27" s="84">
        <v>0</v>
      </c>
      <c r="I27" s="3" t="s">
        <v>4199</v>
      </c>
      <c r="J27" s="84" t="s">
        <v>4664</v>
      </c>
      <c r="K27" s="84" t="s">
        <v>8305</v>
      </c>
      <c r="L27" s="84" t="s">
        <v>8306</v>
      </c>
      <c r="M27" s="84" t="s">
        <v>4872</v>
      </c>
      <c r="N27" s="84" t="s">
        <v>8307</v>
      </c>
      <c r="O27" s="84" t="s">
        <v>8308</v>
      </c>
      <c r="P27" s="84" t="s">
        <v>8309</v>
      </c>
      <c r="Q27" s="84" t="s">
        <v>4376</v>
      </c>
    </row>
    <row r="28" spans="1:17" ht="15.75" customHeight="1" x14ac:dyDescent="0.35">
      <c r="A28" s="91">
        <v>42802</v>
      </c>
      <c r="B28" s="93" t="s">
        <v>8303</v>
      </c>
      <c r="C28" s="84" t="s">
        <v>7581</v>
      </c>
      <c r="D28" s="84" t="s">
        <v>5520</v>
      </c>
      <c r="E28" s="87" t="s">
        <v>8310</v>
      </c>
      <c r="F28" s="86">
        <v>42773</v>
      </c>
      <c r="G28" s="4">
        <v>40</v>
      </c>
      <c r="H28" s="84">
        <v>0</v>
      </c>
      <c r="I28" s="3" t="s">
        <v>4194</v>
      </c>
      <c r="J28" s="91" t="s">
        <v>4664</v>
      </c>
      <c r="K28" s="84" t="s">
        <v>4145</v>
      </c>
      <c r="L28" s="84" t="s">
        <v>4195</v>
      </c>
      <c r="M28" s="197" t="s">
        <v>4862</v>
      </c>
      <c r="N28" s="238" t="s">
        <v>8311</v>
      </c>
      <c r="O28" s="84" t="s">
        <v>8312</v>
      </c>
      <c r="P28" s="88" t="s">
        <v>8313</v>
      </c>
      <c r="Q28" s="84" t="s">
        <v>8314</v>
      </c>
    </row>
    <row r="29" spans="1:17" ht="15.75" customHeight="1" x14ac:dyDescent="0.35">
      <c r="A29" s="91">
        <v>42802</v>
      </c>
      <c r="B29" s="93" t="s">
        <v>8303</v>
      </c>
      <c r="C29" s="84" t="s">
        <v>7581</v>
      </c>
      <c r="D29" s="84" t="s">
        <v>5520</v>
      </c>
      <c r="E29" s="87" t="s">
        <v>8310</v>
      </c>
      <c r="F29" s="86">
        <v>42773</v>
      </c>
      <c r="G29" s="4">
        <v>40</v>
      </c>
      <c r="H29" s="84">
        <v>0</v>
      </c>
      <c r="I29" s="81" t="s">
        <v>8315</v>
      </c>
      <c r="J29" s="91" t="s">
        <v>5045</v>
      </c>
      <c r="K29" s="84" t="s">
        <v>4007</v>
      </c>
      <c r="L29" s="84" t="s">
        <v>4195</v>
      </c>
      <c r="M29" s="197" t="s">
        <v>4862</v>
      </c>
      <c r="N29" s="238" t="s">
        <v>8311</v>
      </c>
      <c r="O29" s="84" t="s">
        <v>8312</v>
      </c>
      <c r="P29" s="88" t="s">
        <v>8313</v>
      </c>
      <c r="Q29" s="84" t="s">
        <v>8314</v>
      </c>
    </row>
    <row r="33" spans="1:18" ht="15.75" customHeight="1" x14ac:dyDescent="0.35">
      <c r="A33" s="91">
        <v>42831</v>
      </c>
      <c r="B33" s="93" t="s">
        <v>8316</v>
      </c>
      <c r="C33" s="84" t="s">
        <v>7581</v>
      </c>
      <c r="D33" s="84" t="s">
        <v>5520</v>
      </c>
      <c r="E33" s="84" t="s">
        <v>8266</v>
      </c>
      <c r="F33" s="86">
        <v>42673</v>
      </c>
      <c r="G33" s="4">
        <v>50</v>
      </c>
      <c r="H33" s="84">
        <v>0</v>
      </c>
      <c r="I33" s="95" t="s">
        <v>4964</v>
      </c>
      <c r="J33" s="91" t="s">
        <v>4664</v>
      </c>
      <c r="K33" s="93" t="s">
        <v>4145</v>
      </c>
      <c r="L33" s="91" t="s">
        <v>4965</v>
      </c>
      <c r="M33" s="94" t="s">
        <v>4966</v>
      </c>
      <c r="N33" s="76" t="s">
        <v>4967</v>
      </c>
      <c r="O33" s="93" t="s">
        <v>4968</v>
      </c>
      <c r="P33" s="91" t="s">
        <v>4969</v>
      </c>
      <c r="Q33" s="93" t="s">
        <v>4970</v>
      </c>
      <c r="R33" s="84"/>
    </row>
    <row r="34" spans="1:18" ht="14.65" customHeight="1" x14ac:dyDescent="0.35">
      <c r="A34" s="91">
        <v>42831</v>
      </c>
      <c r="B34" s="93" t="s">
        <v>8316</v>
      </c>
      <c r="C34" s="84" t="s">
        <v>7581</v>
      </c>
      <c r="D34" s="84" t="s">
        <v>5520</v>
      </c>
      <c r="E34" s="87" t="s">
        <v>8317</v>
      </c>
      <c r="F34" s="86">
        <v>42699</v>
      </c>
      <c r="G34" s="4">
        <v>42.5</v>
      </c>
      <c r="H34" s="84">
        <v>0</v>
      </c>
      <c r="I34" s="5" t="s">
        <v>4199</v>
      </c>
      <c r="J34" s="84" t="s">
        <v>4664</v>
      </c>
      <c r="K34" s="84" t="s">
        <v>8305</v>
      </c>
      <c r="L34" s="84" t="s">
        <v>8306</v>
      </c>
      <c r="M34" s="84" t="s">
        <v>4872</v>
      </c>
      <c r="N34" s="84" t="s">
        <v>8307</v>
      </c>
      <c r="O34" s="84" t="s">
        <v>8308</v>
      </c>
      <c r="P34" s="84" t="s">
        <v>8309</v>
      </c>
      <c r="Q34" s="84" t="s">
        <v>4376</v>
      </c>
      <c r="R34" s="84"/>
    </row>
    <row r="35" spans="1:18" ht="14.25" customHeight="1" x14ac:dyDescent="0.35">
      <c r="A35" s="91">
        <v>42831</v>
      </c>
      <c r="B35" s="93" t="s">
        <v>8316</v>
      </c>
      <c r="C35" s="84" t="s">
        <v>7581</v>
      </c>
      <c r="D35" s="84" t="s">
        <v>5520</v>
      </c>
      <c r="E35" s="84" t="s">
        <v>8280</v>
      </c>
      <c r="F35" s="86">
        <v>42705</v>
      </c>
      <c r="G35" s="4">
        <f>114.75/3</f>
        <v>38.25</v>
      </c>
      <c r="H35" s="84">
        <v>0</v>
      </c>
      <c r="I35" s="92" t="s">
        <v>8281</v>
      </c>
      <c r="J35" s="91" t="s">
        <v>4955</v>
      </c>
      <c r="K35" s="93" t="s">
        <v>4493</v>
      </c>
      <c r="L35" s="91" t="s">
        <v>8282</v>
      </c>
      <c r="M35" s="94" t="s">
        <v>5588</v>
      </c>
      <c r="N35" s="76" t="s">
        <v>8283</v>
      </c>
      <c r="O35" s="93" t="s">
        <v>8284</v>
      </c>
      <c r="P35" s="91" t="s">
        <v>8285</v>
      </c>
      <c r="Q35" s="93" t="s">
        <v>5886</v>
      </c>
      <c r="R35" s="84"/>
    </row>
    <row r="36" spans="1:18" ht="14.65" customHeight="1" x14ac:dyDescent="0.35">
      <c r="A36" s="239"/>
      <c r="B36" s="93"/>
      <c r="C36" s="84"/>
      <c r="D36" s="84"/>
      <c r="E36" s="87"/>
      <c r="F36" s="86"/>
      <c r="G36" s="4"/>
      <c r="H36" s="84"/>
      <c r="I36" s="5"/>
      <c r="J36" s="84"/>
      <c r="K36" s="84"/>
      <c r="L36" s="84"/>
      <c r="M36" s="84"/>
      <c r="N36" s="84"/>
      <c r="O36" s="84"/>
      <c r="P36" s="84"/>
      <c r="Q36" s="84"/>
      <c r="R36" s="84"/>
    </row>
    <row r="37" spans="1:18" ht="15.75" customHeight="1" x14ac:dyDescent="0.35">
      <c r="A37" s="91"/>
    </row>
    <row r="39" spans="1:18" ht="14.65" customHeight="1" x14ac:dyDescent="0.35">
      <c r="A39" s="91"/>
      <c r="B39" s="93"/>
      <c r="C39" s="84"/>
      <c r="D39" s="84"/>
      <c r="E39" s="87"/>
      <c r="F39" s="86"/>
      <c r="G39" s="4"/>
      <c r="H39" s="84"/>
      <c r="I39" s="5"/>
      <c r="J39" s="84"/>
      <c r="K39" s="84"/>
      <c r="L39" s="84"/>
      <c r="M39" s="84"/>
      <c r="N39" s="84"/>
      <c r="O39" s="84"/>
      <c r="P39" s="84"/>
      <c r="Q39" s="84"/>
      <c r="R39" s="84"/>
    </row>
    <row r="40" spans="1:18" ht="14.65" customHeight="1" x14ac:dyDescent="0.35">
      <c r="A40" s="91">
        <v>42914</v>
      </c>
      <c r="B40" s="93" t="s">
        <v>2808</v>
      </c>
      <c r="C40" s="84" t="s">
        <v>7581</v>
      </c>
      <c r="D40" s="84" t="s">
        <v>5520</v>
      </c>
      <c r="E40" s="87" t="s">
        <v>5440</v>
      </c>
      <c r="F40" s="86">
        <v>42814</v>
      </c>
      <c r="G40" s="4">
        <v>50</v>
      </c>
      <c r="H40" s="84">
        <v>0</v>
      </c>
      <c r="I40" s="3" t="s">
        <v>5541</v>
      </c>
      <c r="J40" s="84" t="s">
        <v>4664</v>
      </c>
      <c r="K40" s="84" t="s">
        <v>5542</v>
      </c>
      <c r="L40" s="84" t="s">
        <v>5543</v>
      </c>
      <c r="M40" s="202" t="s">
        <v>4755</v>
      </c>
      <c r="N40" s="88" t="s">
        <v>5544</v>
      </c>
      <c r="O40" s="84" t="s">
        <v>5545</v>
      </c>
      <c r="P40" s="88" t="s">
        <v>5546</v>
      </c>
      <c r="Q40" s="84" t="s">
        <v>4376</v>
      </c>
      <c r="R40" s="84"/>
    </row>
    <row r="41" spans="1:18" ht="14.65" customHeight="1" x14ac:dyDescent="0.35">
      <c r="A41" s="91">
        <v>42914</v>
      </c>
      <c r="B41" s="93" t="s">
        <v>2808</v>
      </c>
      <c r="C41" s="84" t="s">
        <v>7581</v>
      </c>
      <c r="D41" s="84" t="s">
        <v>5520</v>
      </c>
      <c r="E41" s="87" t="s">
        <v>8310</v>
      </c>
      <c r="F41" s="86">
        <v>42831</v>
      </c>
      <c r="G41" s="4">
        <v>45</v>
      </c>
      <c r="H41" s="84">
        <v>0</v>
      </c>
      <c r="I41" s="3" t="s">
        <v>4203</v>
      </c>
      <c r="J41" s="84" t="s">
        <v>4664</v>
      </c>
      <c r="K41" s="84" t="s">
        <v>4145</v>
      </c>
      <c r="L41" s="84" t="s">
        <v>4204</v>
      </c>
      <c r="M41" s="202" t="s">
        <v>6512</v>
      </c>
      <c r="N41" s="88" t="s">
        <v>8318</v>
      </c>
      <c r="O41" s="84" t="s">
        <v>8319</v>
      </c>
      <c r="P41" s="88" t="s">
        <v>8320</v>
      </c>
      <c r="Q41" s="84" t="s">
        <v>4365</v>
      </c>
      <c r="R41" s="84" t="s">
        <v>8321</v>
      </c>
    </row>
    <row r="42" spans="1:18" ht="14.65" customHeight="1" x14ac:dyDescent="0.35">
      <c r="A42" s="91">
        <v>42914</v>
      </c>
      <c r="B42" s="93" t="s">
        <v>2808</v>
      </c>
      <c r="C42" s="84" t="s">
        <v>7581</v>
      </c>
      <c r="D42" s="84" t="s">
        <v>5520</v>
      </c>
      <c r="E42" s="87" t="s">
        <v>8310</v>
      </c>
      <c r="F42" s="86">
        <v>5</v>
      </c>
      <c r="G42" s="52">
        <v>45</v>
      </c>
      <c r="H42" s="84">
        <v>0</v>
      </c>
      <c r="I42" s="3" t="s">
        <v>8322</v>
      </c>
      <c r="J42" s="84" t="s">
        <v>4664</v>
      </c>
      <c r="K42" s="84" t="s">
        <v>3975</v>
      </c>
      <c r="L42" s="84" t="s">
        <v>8323</v>
      </c>
      <c r="M42" s="146" t="s">
        <v>4683</v>
      </c>
      <c r="N42" s="146" t="s">
        <v>8324</v>
      </c>
      <c r="O42" s="84" t="s">
        <v>8325</v>
      </c>
      <c r="P42" s="84" t="s">
        <v>8326</v>
      </c>
      <c r="Q42" s="84" t="s">
        <v>4407</v>
      </c>
    </row>
    <row r="43" spans="1:18" ht="14.65" customHeight="1" x14ac:dyDescent="0.35">
      <c r="A43" s="91">
        <v>42914</v>
      </c>
      <c r="B43" s="93" t="s">
        <v>2808</v>
      </c>
      <c r="C43" s="84" t="s">
        <v>7581</v>
      </c>
      <c r="D43" s="84" t="s">
        <v>5520</v>
      </c>
      <c r="E43" s="85" t="s">
        <v>5440</v>
      </c>
      <c r="F43" s="86">
        <v>42886</v>
      </c>
      <c r="G43" s="52">
        <v>37.5</v>
      </c>
      <c r="H43" s="84">
        <v>0</v>
      </c>
      <c r="I43" s="5" t="s">
        <v>8160</v>
      </c>
      <c r="J43" s="84" t="s">
        <v>4664</v>
      </c>
      <c r="K43" s="91" t="s">
        <v>4145</v>
      </c>
      <c r="L43" s="91" t="s">
        <v>4002</v>
      </c>
    </row>
    <row r="50" spans="1:17" ht="14.65" customHeight="1" x14ac:dyDescent="0.35">
      <c r="A50" s="91">
        <v>42998</v>
      </c>
      <c r="B50" s="93" t="s">
        <v>2800</v>
      </c>
      <c r="C50" s="84" t="s">
        <v>7581</v>
      </c>
      <c r="D50" s="84" t="s">
        <v>5520</v>
      </c>
      <c r="E50" s="85" t="s">
        <v>5440</v>
      </c>
      <c r="F50" s="86">
        <v>42973</v>
      </c>
      <c r="G50" s="52">
        <v>35</v>
      </c>
      <c r="H50" s="84">
        <v>0</v>
      </c>
      <c r="I50" s="287" t="s">
        <v>4734</v>
      </c>
      <c r="J50" s="84" t="s">
        <v>4664</v>
      </c>
      <c r="K50" s="91" t="s">
        <v>4145</v>
      </c>
      <c r="L50" s="91" t="s">
        <v>4002</v>
      </c>
      <c r="N50" s="94" t="s">
        <v>8327</v>
      </c>
    </row>
    <row r="51" spans="1:17" ht="14.65" customHeight="1" x14ac:dyDescent="0.35">
      <c r="A51" s="91">
        <v>42998</v>
      </c>
      <c r="B51" s="93" t="s">
        <v>2800</v>
      </c>
      <c r="C51" s="84" t="s">
        <v>7581</v>
      </c>
      <c r="D51" s="84" t="s">
        <v>5520</v>
      </c>
      <c r="E51" s="85" t="s">
        <v>8328</v>
      </c>
      <c r="F51" s="86">
        <v>42979</v>
      </c>
      <c r="G51" s="52">
        <v>39</v>
      </c>
      <c r="H51" s="84">
        <v>0</v>
      </c>
      <c r="I51" s="5" t="s">
        <v>4151</v>
      </c>
      <c r="J51" s="84" t="s">
        <v>4664</v>
      </c>
      <c r="K51" s="91" t="s">
        <v>4152</v>
      </c>
      <c r="L51" s="91" t="s">
        <v>4153</v>
      </c>
      <c r="M51" s="48" t="s">
        <v>5485</v>
      </c>
      <c r="N51" s="48" t="s">
        <v>5671</v>
      </c>
      <c r="O51" s="45" t="s">
        <v>8329</v>
      </c>
      <c r="P51" s="45" t="s">
        <v>5673</v>
      </c>
      <c r="Q51" s="45" t="s">
        <v>6152</v>
      </c>
    </row>
    <row r="52" spans="1:17" ht="14.65" customHeight="1" x14ac:dyDescent="0.35">
      <c r="A52" s="91">
        <v>42998</v>
      </c>
      <c r="B52" s="93" t="s">
        <v>2800</v>
      </c>
      <c r="C52" s="84" t="s">
        <v>7581</v>
      </c>
      <c r="D52" s="84" t="s">
        <v>5520</v>
      </c>
      <c r="E52" s="85" t="s">
        <v>8330</v>
      </c>
      <c r="F52" s="86">
        <v>42996</v>
      </c>
      <c r="G52" s="52">
        <v>50</v>
      </c>
      <c r="H52" s="84">
        <v>0</v>
      </c>
      <c r="I52" s="5" t="s">
        <v>8331</v>
      </c>
      <c r="J52" s="84" t="s">
        <v>4955</v>
      </c>
      <c r="K52" s="91" t="s">
        <v>4179</v>
      </c>
      <c r="L52" s="91" t="s">
        <v>4180</v>
      </c>
      <c r="M52" s="48" t="s">
        <v>5610</v>
      </c>
      <c r="N52" s="48" t="s">
        <v>5611</v>
      </c>
      <c r="O52" s="45" t="s">
        <v>8332</v>
      </c>
      <c r="P52" s="45" t="s">
        <v>8333</v>
      </c>
      <c r="Q52" s="45" t="s">
        <v>5032</v>
      </c>
    </row>
    <row r="53" spans="1:17" ht="14.65" customHeight="1" x14ac:dyDescent="0.35">
      <c r="A53" s="91"/>
      <c r="B53" s="93"/>
      <c r="C53" s="84"/>
      <c r="D53" s="84"/>
      <c r="F53" s="86"/>
      <c r="H53" s="84"/>
      <c r="I53" s="5"/>
      <c r="J53" s="84"/>
      <c r="K53" s="91"/>
      <c r="L53" s="91"/>
    </row>
    <row r="54" spans="1:17" ht="14.65" customHeight="1" x14ac:dyDescent="0.35">
      <c r="A54" s="91"/>
      <c r="B54" s="93"/>
      <c r="C54" s="84"/>
      <c r="D54" s="84"/>
      <c r="F54" s="86"/>
      <c r="H54" s="84"/>
      <c r="I54" s="5"/>
      <c r="J54" s="84"/>
      <c r="K54" s="91"/>
      <c r="L54" s="91"/>
    </row>
    <row r="56" spans="1:17" ht="14.65" customHeight="1" x14ac:dyDescent="0.35">
      <c r="A56" s="91"/>
      <c r="B56" s="93"/>
      <c r="C56" s="84"/>
      <c r="D56" s="84"/>
      <c r="F56" s="86"/>
      <c r="H56" s="84"/>
      <c r="I56" s="3"/>
      <c r="J56" s="84"/>
      <c r="K56" s="84"/>
      <c r="L56" s="84"/>
      <c r="M56" s="88"/>
      <c r="N56" s="84"/>
      <c r="O56" s="84"/>
      <c r="P56" s="88"/>
      <c r="Q56" s="84"/>
    </row>
    <row r="57" spans="1:17" ht="14.65" customHeight="1" x14ac:dyDescent="0.35">
      <c r="A57" s="91">
        <v>43033</v>
      </c>
      <c r="B57" s="93" t="s">
        <v>8334</v>
      </c>
      <c r="C57" s="84" t="s">
        <v>5374</v>
      </c>
      <c r="D57" s="84" t="s">
        <v>5520</v>
      </c>
      <c r="E57" s="85" t="s">
        <v>8335</v>
      </c>
      <c r="F57" s="86">
        <v>42937</v>
      </c>
      <c r="G57" s="52">
        <v>35</v>
      </c>
      <c r="H57" s="84">
        <v>0</v>
      </c>
      <c r="I57" s="5" t="s">
        <v>4053</v>
      </c>
      <c r="J57" s="84" t="s">
        <v>4955</v>
      </c>
      <c r="K57" s="91" t="s">
        <v>3988</v>
      </c>
      <c r="L57" s="91" t="s">
        <v>3989</v>
      </c>
      <c r="M57" s="48" t="s">
        <v>8336</v>
      </c>
      <c r="N57" s="48" t="s">
        <v>4931</v>
      </c>
      <c r="O57" s="45" t="s">
        <v>8337</v>
      </c>
      <c r="P57" s="45" t="s">
        <v>8338</v>
      </c>
      <c r="Q57" s="84" t="s">
        <v>4407</v>
      </c>
    </row>
    <row r="58" spans="1:17" ht="14.65" customHeight="1" x14ac:dyDescent="0.35">
      <c r="A58" s="91">
        <v>43033</v>
      </c>
      <c r="B58" s="93" t="s">
        <v>8334</v>
      </c>
      <c r="C58" s="84" t="s">
        <v>5374</v>
      </c>
      <c r="D58" s="84" t="s">
        <v>5520</v>
      </c>
      <c r="E58" s="85" t="s">
        <v>8339</v>
      </c>
      <c r="F58" s="86">
        <v>42962</v>
      </c>
      <c r="G58" s="52">
        <v>45</v>
      </c>
      <c r="H58" s="84">
        <v>0</v>
      </c>
      <c r="I58" s="3" t="s">
        <v>5572</v>
      </c>
      <c r="J58" s="84" t="s">
        <v>5045</v>
      </c>
      <c r="K58" s="84" t="s">
        <v>4446</v>
      </c>
      <c r="L58" s="84" t="s">
        <v>4403</v>
      </c>
      <c r="M58" s="88" t="s">
        <v>4879</v>
      </c>
      <c r="N58" s="84" t="s">
        <v>5573</v>
      </c>
      <c r="O58" s="84" t="s">
        <v>5574</v>
      </c>
      <c r="P58" s="88" t="s">
        <v>5575</v>
      </c>
      <c r="Q58" s="84" t="s">
        <v>5576</v>
      </c>
    </row>
    <row r="59" spans="1:17" ht="14.65" customHeight="1" x14ac:dyDescent="0.35">
      <c r="A59" s="91">
        <v>43033</v>
      </c>
      <c r="B59" s="93" t="s">
        <v>8334</v>
      </c>
      <c r="C59" s="84" t="s">
        <v>5374</v>
      </c>
      <c r="D59" s="84" t="s">
        <v>174</v>
      </c>
      <c r="E59" s="85" t="s">
        <v>8340</v>
      </c>
      <c r="F59" s="86">
        <v>42994</v>
      </c>
      <c r="G59" s="52">
        <v>50</v>
      </c>
      <c r="H59" s="84">
        <v>0</v>
      </c>
      <c r="I59" s="5" t="s">
        <v>8341</v>
      </c>
      <c r="J59" s="84" t="s">
        <v>5756</v>
      </c>
      <c r="K59" s="91" t="s">
        <v>6897</v>
      </c>
      <c r="L59" s="91" t="s">
        <v>8342</v>
      </c>
      <c r="M59" s="48" t="s">
        <v>7559</v>
      </c>
      <c r="N59" s="48" t="s">
        <v>8343</v>
      </c>
      <c r="O59" s="45" t="s">
        <v>8344</v>
      </c>
      <c r="P59" s="45" t="s">
        <v>8345</v>
      </c>
      <c r="Q59" s="45" t="s">
        <v>4454</v>
      </c>
    </row>
    <row r="65" spans="1:17" ht="14.65" customHeight="1" x14ac:dyDescent="0.35">
      <c r="A65" s="91">
        <v>43081</v>
      </c>
      <c r="B65" s="93" t="s">
        <v>8334</v>
      </c>
      <c r="C65" s="84" t="s">
        <v>5374</v>
      </c>
      <c r="D65" s="84" t="s">
        <v>5520</v>
      </c>
      <c r="E65" s="85" t="s">
        <v>8346</v>
      </c>
      <c r="F65" s="86">
        <v>43008</v>
      </c>
      <c r="G65" s="52">
        <v>40</v>
      </c>
      <c r="H65" s="84"/>
      <c r="I65" s="5" t="s">
        <v>4150</v>
      </c>
      <c r="J65" s="84" t="s">
        <v>5756</v>
      </c>
      <c r="K65" s="91" t="s">
        <v>4114</v>
      </c>
      <c r="L65" s="91" t="s">
        <v>521</v>
      </c>
    </row>
    <row r="66" spans="1:17" ht="14.65" customHeight="1" x14ac:dyDescent="0.35">
      <c r="A66" s="91">
        <v>43081</v>
      </c>
      <c r="B66" s="93" t="s">
        <v>8334</v>
      </c>
      <c r="C66" s="84" t="s">
        <v>5374</v>
      </c>
      <c r="D66" s="84" t="s">
        <v>5520</v>
      </c>
      <c r="E66" s="85" t="s">
        <v>8339</v>
      </c>
      <c r="F66" s="86">
        <v>42962</v>
      </c>
      <c r="G66" s="52">
        <v>45</v>
      </c>
      <c r="H66" s="84">
        <v>0</v>
      </c>
      <c r="I66" s="287" t="s">
        <v>5572</v>
      </c>
      <c r="J66" s="84" t="s">
        <v>5045</v>
      </c>
      <c r="K66" s="84" t="s">
        <v>4446</v>
      </c>
      <c r="L66" s="84" t="s">
        <v>4403</v>
      </c>
      <c r="M66" s="88" t="s">
        <v>4879</v>
      </c>
      <c r="N66" s="84" t="s">
        <v>5573</v>
      </c>
      <c r="O66" s="84" t="s">
        <v>5574</v>
      </c>
      <c r="P66" s="88" t="s">
        <v>5575</v>
      </c>
      <c r="Q66" s="84" t="s">
        <v>5576</v>
      </c>
    </row>
    <row r="67" spans="1:17" ht="14.65" customHeight="1" x14ac:dyDescent="0.35">
      <c r="A67" s="91"/>
      <c r="B67" s="93"/>
      <c r="C67" s="84"/>
      <c r="D67" s="84"/>
      <c r="F67" s="86"/>
      <c r="H67" s="84"/>
      <c r="I67" s="5"/>
      <c r="J67" s="84"/>
      <c r="K67" s="91"/>
      <c r="L67" s="91"/>
      <c r="M67" s="48"/>
      <c r="N67" s="48"/>
    </row>
    <row r="68" spans="1:17" ht="14.65" customHeight="1" x14ac:dyDescent="0.35">
      <c r="A68" s="91">
        <v>43108</v>
      </c>
      <c r="B68" s="93" t="s">
        <v>2800</v>
      </c>
      <c r="C68" s="84" t="s">
        <v>5374</v>
      </c>
      <c r="D68" s="84" t="s">
        <v>5520</v>
      </c>
      <c r="E68" s="85" t="s">
        <v>8346</v>
      </c>
      <c r="F68" s="86">
        <v>43008</v>
      </c>
      <c r="G68" s="52">
        <v>40</v>
      </c>
      <c r="H68" s="84"/>
      <c r="I68" s="5" t="s">
        <v>4150</v>
      </c>
      <c r="J68" s="84" t="s">
        <v>5756</v>
      </c>
      <c r="K68" s="91" t="s">
        <v>4114</v>
      </c>
      <c r="L68" s="91" t="s">
        <v>521</v>
      </c>
    </row>
    <row r="69" spans="1:17" ht="14.65" customHeight="1" x14ac:dyDescent="0.35">
      <c r="A69" s="91">
        <v>43108</v>
      </c>
      <c r="B69" s="93" t="s">
        <v>2800</v>
      </c>
      <c r="C69" s="84" t="s">
        <v>5374</v>
      </c>
      <c r="D69" s="84" t="s">
        <v>5520</v>
      </c>
      <c r="E69" s="85" t="s">
        <v>8347</v>
      </c>
      <c r="F69" s="86">
        <v>43048</v>
      </c>
      <c r="G69" s="52">
        <v>50</v>
      </c>
      <c r="H69" s="84">
        <v>0</v>
      </c>
      <c r="I69" s="287" t="s">
        <v>5572</v>
      </c>
      <c r="J69" s="84" t="s">
        <v>5045</v>
      </c>
      <c r="K69" s="84" t="s">
        <v>4446</v>
      </c>
      <c r="L69" s="84" t="s">
        <v>4403</v>
      </c>
      <c r="M69" s="88" t="s">
        <v>4879</v>
      </c>
      <c r="N69" s="84" t="s">
        <v>5573</v>
      </c>
      <c r="O69" s="84" t="s">
        <v>5574</v>
      </c>
      <c r="P69" s="88" t="s">
        <v>5575</v>
      </c>
      <c r="Q69" s="84" t="s">
        <v>5576</v>
      </c>
    </row>
    <row r="70" spans="1:17" ht="14.65" customHeight="1" x14ac:dyDescent="0.35">
      <c r="A70" s="91"/>
      <c r="B70" s="93"/>
      <c r="C70" s="84"/>
      <c r="D70" s="84"/>
      <c r="F70" s="86"/>
      <c r="H70" s="84"/>
      <c r="I70" s="5"/>
      <c r="J70" s="84"/>
      <c r="K70" s="91"/>
      <c r="L70" s="91"/>
      <c r="M70" s="48"/>
      <c r="N70" s="48"/>
    </row>
    <row r="71" spans="1:17" ht="14.65" customHeight="1" x14ac:dyDescent="0.35">
      <c r="A71" s="91">
        <v>43143</v>
      </c>
      <c r="B71" s="93" t="s">
        <v>2808</v>
      </c>
      <c r="C71" s="84" t="s">
        <v>5374</v>
      </c>
      <c r="D71" s="84" t="s">
        <v>5520</v>
      </c>
      <c r="E71" s="85" t="s">
        <v>8347</v>
      </c>
      <c r="F71" s="86">
        <v>43048</v>
      </c>
      <c r="G71" s="52">
        <v>50</v>
      </c>
      <c r="H71" s="84">
        <v>0</v>
      </c>
      <c r="I71" s="287" t="s">
        <v>5572</v>
      </c>
      <c r="J71" s="84" t="s">
        <v>5045</v>
      </c>
      <c r="K71" s="84" t="s">
        <v>4446</v>
      </c>
      <c r="L71" s="84" t="s">
        <v>4403</v>
      </c>
      <c r="M71" s="88" t="s">
        <v>4879</v>
      </c>
      <c r="N71" s="84" t="s">
        <v>5573</v>
      </c>
      <c r="O71" s="84" t="s">
        <v>5574</v>
      </c>
      <c r="P71" s="88" t="s">
        <v>5575</v>
      </c>
      <c r="Q71" s="84" t="s">
        <v>5576</v>
      </c>
    </row>
    <row r="72" spans="1:17" ht="14.65" customHeight="1" x14ac:dyDescent="0.35">
      <c r="A72" s="91">
        <v>43143</v>
      </c>
      <c r="B72" s="93" t="s">
        <v>2808</v>
      </c>
      <c r="C72" s="84" t="s">
        <v>5374</v>
      </c>
      <c r="D72" s="84" t="s">
        <v>5520</v>
      </c>
      <c r="E72" s="85" t="s">
        <v>8348</v>
      </c>
      <c r="F72" s="86">
        <v>43103</v>
      </c>
      <c r="G72" s="52">
        <v>40</v>
      </c>
      <c r="H72" s="84">
        <v>0</v>
      </c>
      <c r="I72" s="5" t="s">
        <v>4150</v>
      </c>
      <c r="J72" s="84" t="s">
        <v>5756</v>
      </c>
      <c r="K72" s="91" t="s">
        <v>4114</v>
      </c>
      <c r="L72" s="91" t="s">
        <v>521</v>
      </c>
      <c r="M72" s="48"/>
      <c r="N72" s="48" t="s">
        <v>5490</v>
      </c>
    </row>
    <row r="73" spans="1:17" ht="14.65" customHeight="1" x14ac:dyDescent="0.35">
      <c r="A73" s="91">
        <v>43143</v>
      </c>
      <c r="B73" s="93" t="s">
        <v>2808</v>
      </c>
      <c r="C73" s="84" t="s">
        <v>5374</v>
      </c>
      <c r="D73" s="84" t="s">
        <v>5520</v>
      </c>
      <c r="E73" s="85" t="s">
        <v>209</v>
      </c>
      <c r="F73" s="86">
        <v>43106</v>
      </c>
      <c r="G73" s="52">
        <v>50</v>
      </c>
      <c r="H73" s="84">
        <v>0</v>
      </c>
      <c r="I73" s="547" t="s">
        <v>8206</v>
      </c>
      <c r="J73" s="91" t="s">
        <v>5045</v>
      </c>
      <c r="K73" s="91" t="s">
        <v>4159</v>
      </c>
      <c r="L73" s="91" t="s">
        <v>8349</v>
      </c>
      <c r="M73" s="94" t="s">
        <v>4900</v>
      </c>
      <c r="N73" s="76" t="s">
        <v>8350</v>
      </c>
      <c r="O73" s="484" t="s">
        <v>8351</v>
      </c>
      <c r="P73" s="484" t="s">
        <v>8352</v>
      </c>
      <c r="Q73" s="84" t="s">
        <v>8353</v>
      </c>
    </row>
    <row r="74" spans="1:17" ht="14.65" customHeight="1" x14ac:dyDescent="0.35">
      <c r="A74" s="91">
        <v>43143</v>
      </c>
      <c r="B74" s="93" t="s">
        <v>2808</v>
      </c>
      <c r="C74" s="84" t="s">
        <v>5374</v>
      </c>
      <c r="D74" s="84" t="s">
        <v>5520</v>
      </c>
      <c r="F74" s="86"/>
      <c r="H74" s="84"/>
      <c r="I74" s="5" t="s">
        <v>8354</v>
      </c>
      <c r="J74" s="84" t="s">
        <v>5045</v>
      </c>
      <c r="K74" s="91" t="s">
        <v>4431</v>
      </c>
      <c r="L74" s="91" t="s">
        <v>4432</v>
      </c>
      <c r="M74" s="48" t="s">
        <v>4872</v>
      </c>
      <c r="N74" s="48" t="s">
        <v>8355</v>
      </c>
      <c r="O74" s="45" t="s">
        <v>8356</v>
      </c>
      <c r="P74" s="45" t="s">
        <v>8357</v>
      </c>
      <c r="Q74" s="45" t="s">
        <v>4454</v>
      </c>
    </row>
    <row r="83" spans="1:17" ht="14.65" customHeight="1" x14ac:dyDescent="0.35">
      <c r="A83" s="239">
        <v>43164</v>
      </c>
      <c r="B83" s="240" t="s">
        <v>8048</v>
      </c>
      <c r="C83" s="84" t="s">
        <v>5374</v>
      </c>
      <c r="D83" s="84" t="s">
        <v>5520</v>
      </c>
      <c r="E83" s="85" t="s">
        <v>8358</v>
      </c>
      <c r="F83" s="86">
        <v>43127</v>
      </c>
      <c r="G83" s="52">
        <f>135/3</f>
        <v>45</v>
      </c>
      <c r="H83" s="84">
        <v>0</v>
      </c>
      <c r="I83" s="287" t="s">
        <v>8359</v>
      </c>
      <c r="J83" s="84" t="s">
        <v>5756</v>
      </c>
      <c r="K83" s="91" t="s">
        <v>7172</v>
      </c>
      <c r="L83" s="91" t="s">
        <v>8360</v>
      </c>
      <c r="M83" s="48" t="s">
        <v>6107</v>
      </c>
      <c r="N83" s="48" t="s">
        <v>8361</v>
      </c>
      <c r="O83" s="45" t="s">
        <v>8362</v>
      </c>
      <c r="P83" s="45" t="s">
        <v>8363</v>
      </c>
      <c r="Q83" s="45" t="s">
        <v>4370</v>
      </c>
    </row>
    <row r="84" spans="1:17" ht="14.65" customHeight="1" x14ac:dyDescent="0.35">
      <c r="A84" s="239">
        <v>43152</v>
      </c>
      <c r="B84" s="240" t="s">
        <v>8049</v>
      </c>
      <c r="C84" s="84" t="s">
        <v>5374</v>
      </c>
      <c r="D84" s="84" t="s">
        <v>5520</v>
      </c>
      <c r="E84" s="85" t="s">
        <v>8358</v>
      </c>
      <c r="F84" s="86">
        <v>43127</v>
      </c>
      <c r="G84" s="52">
        <f>135/3</f>
        <v>45</v>
      </c>
      <c r="H84" s="84">
        <v>0</v>
      </c>
      <c r="I84" s="5" t="s">
        <v>8359</v>
      </c>
      <c r="J84" s="84" t="s">
        <v>5756</v>
      </c>
      <c r="K84" s="91" t="s">
        <v>7172</v>
      </c>
      <c r="L84" s="91" t="s">
        <v>8360</v>
      </c>
      <c r="M84" s="48" t="s">
        <v>6107</v>
      </c>
      <c r="N84" s="48" t="s">
        <v>8361</v>
      </c>
      <c r="O84" s="45" t="s">
        <v>8362</v>
      </c>
      <c r="P84" s="45" t="s">
        <v>8363</v>
      </c>
      <c r="Q84" s="45" t="s">
        <v>4370</v>
      </c>
    </row>
    <row r="85" spans="1:17" ht="14.65" customHeight="1" x14ac:dyDescent="0.35">
      <c r="A85" s="91"/>
      <c r="B85" s="93"/>
      <c r="C85" s="84"/>
      <c r="D85" s="84"/>
      <c r="F85" s="86"/>
      <c r="H85" s="84"/>
      <c r="I85" s="5"/>
      <c r="J85" s="84"/>
      <c r="K85" s="91"/>
      <c r="L85" s="91"/>
    </row>
    <row r="86" spans="1:17" ht="14.65" customHeight="1" x14ac:dyDescent="0.35">
      <c r="A86" s="91">
        <v>43180</v>
      </c>
      <c r="B86" s="93" t="s">
        <v>2800</v>
      </c>
      <c r="C86" s="84" t="s">
        <v>5374</v>
      </c>
      <c r="D86" s="84" t="s">
        <v>5520</v>
      </c>
      <c r="E86" s="85" t="s">
        <v>8364</v>
      </c>
      <c r="F86" s="86">
        <v>43112</v>
      </c>
      <c r="G86" s="52">
        <v>50</v>
      </c>
      <c r="H86" s="45">
        <v>0</v>
      </c>
      <c r="I86" s="5" t="s">
        <v>8365</v>
      </c>
      <c r="J86" s="84" t="s">
        <v>5045</v>
      </c>
      <c r="K86" s="91" t="s">
        <v>4393</v>
      </c>
      <c r="L86" s="91" t="s">
        <v>3978</v>
      </c>
      <c r="N86" s="48" t="s">
        <v>8366</v>
      </c>
      <c r="O86" s="45" t="s">
        <v>8367</v>
      </c>
      <c r="P86" s="45" t="s">
        <v>8368</v>
      </c>
      <c r="Q86" s="45" t="s">
        <v>4376</v>
      </c>
    </row>
    <row r="87" spans="1:17" ht="14.65" customHeight="1" x14ac:dyDescent="0.35">
      <c r="A87" s="91">
        <v>43180</v>
      </c>
      <c r="B87" s="93" t="s">
        <v>2800</v>
      </c>
      <c r="C87" s="84" t="s">
        <v>5374</v>
      </c>
      <c r="D87" s="84" t="s">
        <v>5520</v>
      </c>
      <c r="E87" s="85" t="s">
        <v>8369</v>
      </c>
      <c r="F87" s="86">
        <v>43112</v>
      </c>
      <c r="G87" s="52">
        <v>50</v>
      </c>
      <c r="H87" s="45">
        <v>0</v>
      </c>
      <c r="I87" s="287" t="s">
        <v>8370</v>
      </c>
      <c r="J87" s="45" t="s">
        <v>5045</v>
      </c>
      <c r="K87" s="45" t="s">
        <v>8371</v>
      </c>
      <c r="L87" s="45" t="s">
        <v>8372</v>
      </c>
      <c r="M87" s="48" t="s">
        <v>4749</v>
      </c>
      <c r="N87" s="48" t="s">
        <v>8373</v>
      </c>
      <c r="O87" s="45" t="s">
        <v>8374</v>
      </c>
      <c r="P87" s="45" t="s">
        <v>8375</v>
      </c>
      <c r="Q87" s="45" t="s">
        <v>4365</v>
      </c>
    </row>
    <row r="88" spans="1:17" ht="14.65" customHeight="1" x14ac:dyDescent="0.35">
      <c r="A88" s="91">
        <v>43180</v>
      </c>
      <c r="B88" s="93" t="s">
        <v>2800</v>
      </c>
      <c r="C88" s="84" t="s">
        <v>5374</v>
      </c>
      <c r="D88" s="84" t="s">
        <v>5520</v>
      </c>
      <c r="E88" s="85" t="s">
        <v>1031</v>
      </c>
      <c r="F88" s="86">
        <v>43167</v>
      </c>
      <c r="G88" s="52">
        <v>42.5</v>
      </c>
      <c r="H88" s="45">
        <v>0</v>
      </c>
      <c r="I88" s="547" t="s">
        <v>4161</v>
      </c>
      <c r="J88" s="91" t="s">
        <v>4664</v>
      </c>
      <c r="K88" s="91" t="s">
        <v>4386</v>
      </c>
      <c r="L88" s="91" t="s">
        <v>4163</v>
      </c>
      <c r="M88" s="94" t="s">
        <v>4849</v>
      </c>
      <c r="N88" s="76" t="s">
        <v>8376</v>
      </c>
    </row>
    <row r="89" spans="1:17" ht="14.65" customHeight="1" x14ac:dyDescent="0.35">
      <c r="A89" s="91">
        <v>43180</v>
      </c>
      <c r="B89" s="93" t="s">
        <v>2800</v>
      </c>
      <c r="C89" s="84" t="s">
        <v>5374</v>
      </c>
      <c r="D89" s="84" t="s">
        <v>5520</v>
      </c>
      <c r="F89" s="86">
        <v>43168</v>
      </c>
      <c r="G89" s="52">
        <v>50</v>
      </c>
      <c r="H89" s="45">
        <v>0</v>
      </c>
      <c r="I89" s="287" t="s">
        <v>8255</v>
      </c>
      <c r="J89" s="617" t="s">
        <v>4664</v>
      </c>
      <c r="K89" s="617" t="s">
        <v>2996</v>
      </c>
      <c r="L89" s="611" t="s">
        <v>4245</v>
      </c>
      <c r="M89" s="622" t="s">
        <v>4889</v>
      </c>
      <c r="N89" s="622" t="s">
        <v>5637</v>
      </c>
    </row>
    <row r="90" spans="1:17" ht="14.65" customHeight="1" x14ac:dyDescent="0.35">
      <c r="A90" s="91"/>
      <c r="B90" s="93"/>
      <c r="C90" s="84"/>
      <c r="D90" s="84"/>
      <c r="F90" s="86"/>
      <c r="I90" s="547"/>
      <c r="J90" s="91"/>
      <c r="K90" s="91"/>
      <c r="L90" s="91"/>
      <c r="M90" s="94"/>
      <c r="N90" s="76"/>
    </row>
    <row r="91" spans="1:17" ht="14.65" customHeight="1" x14ac:dyDescent="0.35">
      <c r="A91" s="91"/>
      <c r="B91" s="93"/>
      <c r="C91" s="84"/>
      <c r="D91" s="84"/>
      <c r="F91" s="86"/>
      <c r="I91" s="547"/>
      <c r="J91" s="91"/>
      <c r="K91" s="91"/>
      <c r="L91" s="91"/>
      <c r="M91" s="94"/>
      <c r="N91" s="76"/>
    </row>
    <row r="92" spans="1:17" ht="14.65" customHeight="1" x14ac:dyDescent="0.35">
      <c r="A92" s="91"/>
      <c r="B92" s="93"/>
      <c r="C92" s="84"/>
      <c r="D92" s="84"/>
      <c r="F92" s="86"/>
      <c r="I92" s="547"/>
      <c r="J92" s="91"/>
      <c r="K92" s="91"/>
      <c r="L92" s="91"/>
      <c r="M92" s="94"/>
      <c r="N92" s="76"/>
    </row>
    <row r="93" spans="1:17" ht="14.65" customHeight="1" x14ac:dyDescent="0.35">
      <c r="A93" s="239">
        <v>43192</v>
      </c>
      <c r="B93" s="93" t="s">
        <v>8377</v>
      </c>
      <c r="C93" s="84" t="s">
        <v>5374</v>
      </c>
      <c r="D93" s="84" t="s">
        <v>5520</v>
      </c>
      <c r="E93" s="85" t="s">
        <v>8378</v>
      </c>
      <c r="F93" s="86">
        <v>43090</v>
      </c>
      <c r="G93" s="52">
        <v>50</v>
      </c>
      <c r="H93" s="84">
        <v>0</v>
      </c>
      <c r="I93" s="287" t="s">
        <v>8379</v>
      </c>
      <c r="J93" s="84" t="s">
        <v>4664</v>
      </c>
      <c r="K93" s="91" t="s">
        <v>4979</v>
      </c>
      <c r="L93" s="91" t="s">
        <v>4980</v>
      </c>
      <c r="M93" s="48" t="s">
        <v>5431</v>
      </c>
      <c r="N93" s="48" t="s">
        <v>4981</v>
      </c>
      <c r="O93" s="45" t="s">
        <v>8380</v>
      </c>
      <c r="P93" s="45" t="s">
        <v>8381</v>
      </c>
      <c r="Q93" s="45" t="s">
        <v>4376</v>
      </c>
    </row>
    <row r="94" spans="1:17" ht="14.65" customHeight="1" x14ac:dyDescent="0.35">
      <c r="A94" s="91"/>
      <c r="B94" s="93"/>
      <c r="C94" s="84"/>
      <c r="D94" s="84"/>
      <c r="F94" s="86"/>
      <c r="I94" s="287"/>
      <c r="M94" s="48"/>
      <c r="N94" s="48"/>
    </row>
    <row r="95" spans="1:17" ht="14.65" customHeight="1" x14ac:dyDescent="0.35">
      <c r="A95" s="91"/>
      <c r="B95" s="93"/>
      <c r="C95" s="84"/>
      <c r="D95" s="84"/>
      <c r="F95" s="86"/>
      <c r="I95" s="287"/>
      <c r="M95" s="48"/>
      <c r="N95" s="48"/>
    </row>
    <row r="96" spans="1:17" ht="14.65" customHeight="1" x14ac:dyDescent="0.35">
      <c r="A96" s="91">
        <v>43194</v>
      </c>
      <c r="B96" s="93" t="s">
        <v>2808</v>
      </c>
      <c r="C96" s="84" t="s">
        <v>5374</v>
      </c>
      <c r="D96" s="84" t="s">
        <v>5520</v>
      </c>
      <c r="E96" s="85" t="s">
        <v>8382</v>
      </c>
      <c r="F96" s="86">
        <v>43110</v>
      </c>
      <c r="G96" s="52">
        <v>40</v>
      </c>
      <c r="H96" s="84">
        <v>0</v>
      </c>
      <c r="I96" s="5" t="s">
        <v>8383</v>
      </c>
      <c r="J96" s="84" t="s">
        <v>5045</v>
      </c>
      <c r="K96" s="91" t="s">
        <v>512</v>
      </c>
      <c r="L96" s="91" t="s">
        <v>513</v>
      </c>
      <c r="M96" s="48" t="s">
        <v>5014</v>
      </c>
      <c r="N96" s="48" t="s">
        <v>4901</v>
      </c>
      <c r="O96" s="45" t="s">
        <v>4366</v>
      </c>
      <c r="P96" s="45" t="s">
        <v>8384</v>
      </c>
      <c r="Q96" s="45" t="s">
        <v>8385</v>
      </c>
    </row>
    <row r="97" spans="1:17" ht="14.65" customHeight="1" x14ac:dyDescent="0.35">
      <c r="A97" s="91">
        <v>43194</v>
      </c>
      <c r="B97" s="93" t="s">
        <v>2808</v>
      </c>
      <c r="C97" s="84" t="s">
        <v>5374</v>
      </c>
      <c r="D97" s="84" t="s">
        <v>5520</v>
      </c>
      <c r="E97" s="85" t="s">
        <v>8358</v>
      </c>
      <c r="F97" s="86">
        <v>43127</v>
      </c>
      <c r="G97" s="52">
        <f>135/3</f>
        <v>45</v>
      </c>
      <c r="H97" s="84">
        <v>0</v>
      </c>
      <c r="I97" s="5" t="s">
        <v>8359</v>
      </c>
      <c r="J97" s="84" t="s">
        <v>5756</v>
      </c>
      <c r="K97" s="91" t="s">
        <v>7172</v>
      </c>
      <c r="L97" s="91" t="s">
        <v>8360</v>
      </c>
      <c r="M97" s="48" t="s">
        <v>6107</v>
      </c>
      <c r="N97" s="48" t="s">
        <v>8361</v>
      </c>
      <c r="O97" s="45" t="s">
        <v>8362</v>
      </c>
      <c r="P97" s="45" t="s">
        <v>8363</v>
      </c>
      <c r="Q97" s="45" t="s">
        <v>4370</v>
      </c>
    </row>
    <row r="98" spans="1:17" ht="14.65" customHeight="1" x14ac:dyDescent="0.35">
      <c r="A98" s="91">
        <v>43194</v>
      </c>
      <c r="B98" s="93" t="s">
        <v>2808</v>
      </c>
      <c r="C98" s="84" t="s">
        <v>5374</v>
      </c>
      <c r="D98" s="84" t="s">
        <v>5520</v>
      </c>
      <c r="E98" s="648" t="s">
        <v>8386</v>
      </c>
      <c r="F98" s="86">
        <v>43164</v>
      </c>
      <c r="G98" s="52">
        <v>50</v>
      </c>
      <c r="H98" s="84">
        <v>0</v>
      </c>
      <c r="I98" s="5" t="s">
        <v>4157</v>
      </c>
      <c r="J98" s="617" t="s">
        <v>5045</v>
      </c>
      <c r="K98" s="617" t="s">
        <v>3977</v>
      </c>
      <c r="L98" s="617" t="s">
        <v>3978</v>
      </c>
      <c r="M98" s="617"/>
      <c r="N98" s="622" t="s">
        <v>8366</v>
      </c>
    </row>
    <row r="99" spans="1:17" ht="14.65" customHeight="1" x14ac:dyDescent="0.35">
      <c r="A99" s="91"/>
      <c r="B99" s="93"/>
      <c r="C99" s="84"/>
      <c r="D99" s="84"/>
      <c r="F99" s="86"/>
      <c r="H99" s="84"/>
      <c r="I99" s="5"/>
      <c r="J99" s="84"/>
      <c r="K99" s="91"/>
      <c r="L99" s="91"/>
      <c r="M99" s="48"/>
      <c r="N99" s="48"/>
    </row>
    <row r="100" spans="1:17" ht="14.65" customHeight="1" x14ac:dyDescent="0.35">
      <c r="A100" s="239"/>
      <c r="B100" s="93"/>
      <c r="C100" s="84"/>
      <c r="D100" s="84"/>
      <c r="E100" s="299"/>
      <c r="F100" s="86"/>
      <c r="I100" s="623"/>
      <c r="J100" s="612"/>
      <c r="K100" s="299"/>
      <c r="L100" s="299"/>
      <c r="M100" s="646"/>
      <c r="N100" s="300"/>
      <c r="O100" s="612"/>
      <c r="P100" s="612"/>
      <c r="Q100" s="612"/>
    </row>
    <row r="101" spans="1:17" ht="14.65" customHeight="1" x14ac:dyDescent="0.35">
      <c r="A101" s="91">
        <v>43416</v>
      </c>
      <c r="B101" s="93" t="s">
        <v>8387</v>
      </c>
      <c r="C101" s="84" t="s">
        <v>5374</v>
      </c>
      <c r="D101" s="84" t="s">
        <v>179</v>
      </c>
      <c r="E101" s="299" t="s">
        <v>8388</v>
      </c>
      <c r="F101" s="86">
        <v>43390</v>
      </c>
      <c r="G101" s="52">
        <v>50</v>
      </c>
      <c r="H101" s="45">
        <v>0</v>
      </c>
      <c r="I101" s="623" t="s">
        <v>8389</v>
      </c>
      <c r="J101" s="612" t="s">
        <v>4664</v>
      </c>
      <c r="K101" s="299" t="s">
        <v>4065</v>
      </c>
      <c r="L101" s="299" t="s">
        <v>7474</v>
      </c>
      <c r="M101" s="646" t="s">
        <v>5485</v>
      </c>
      <c r="N101" s="300" t="s">
        <v>8390</v>
      </c>
      <c r="O101" s="612" t="s">
        <v>8391</v>
      </c>
      <c r="P101" s="612" t="s">
        <v>8392</v>
      </c>
      <c r="Q101" s="612" t="s">
        <v>4376</v>
      </c>
    </row>
    <row r="102" spans="1:17" ht="14.65" customHeight="1" x14ac:dyDescent="0.35">
      <c r="A102" s="91">
        <v>43416</v>
      </c>
      <c r="B102" s="93" t="s">
        <v>8387</v>
      </c>
      <c r="C102" s="84" t="s">
        <v>5374</v>
      </c>
      <c r="D102" s="84" t="s">
        <v>179</v>
      </c>
      <c r="E102" s="299" t="s">
        <v>8393</v>
      </c>
      <c r="F102" s="86">
        <v>43391</v>
      </c>
      <c r="G102" s="52">
        <v>50</v>
      </c>
      <c r="H102" s="45">
        <v>0</v>
      </c>
      <c r="I102" s="623" t="s">
        <v>8394</v>
      </c>
      <c r="J102" s="612" t="s">
        <v>5045</v>
      </c>
      <c r="K102" s="299" t="s">
        <v>8395</v>
      </c>
      <c r="L102" s="299" t="s">
        <v>6380</v>
      </c>
      <c r="M102" s="646" t="s">
        <v>7133</v>
      </c>
      <c r="N102" s="300" t="s">
        <v>8396</v>
      </c>
      <c r="O102" s="612" t="s">
        <v>8397</v>
      </c>
      <c r="P102" s="612" t="s">
        <v>8398</v>
      </c>
      <c r="Q102" s="612" t="s">
        <v>4376</v>
      </c>
    </row>
    <row r="103" spans="1:17" ht="14.65" customHeight="1" x14ac:dyDescent="0.35">
      <c r="A103" s="239"/>
      <c r="B103" s="93"/>
      <c r="C103" s="84"/>
      <c r="D103" s="84"/>
      <c r="E103" s="299"/>
      <c r="F103" s="86"/>
      <c r="I103" s="623"/>
      <c r="J103" s="612"/>
      <c r="K103" s="299"/>
      <c r="L103" s="299"/>
      <c r="M103" s="646"/>
      <c r="N103" s="300"/>
      <c r="O103" s="612"/>
      <c r="P103" s="612"/>
      <c r="Q103" s="612"/>
    </row>
    <row r="104" spans="1:17" ht="14.65" customHeight="1" x14ac:dyDescent="0.35">
      <c r="A104" s="91"/>
      <c r="B104" s="93"/>
      <c r="C104" s="84"/>
      <c r="D104" s="84"/>
      <c r="F104" s="86"/>
      <c r="H104" s="84"/>
      <c r="I104" s="5"/>
      <c r="J104" s="84"/>
      <c r="K104" s="91"/>
      <c r="L104" s="91"/>
      <c r="M104" s="48"/>
      <c r="N104" s="48"/>
    </row>
    <row r="105" spans="1:17" ht="14.65" customHeight="1" x14ac:dyDescent="0.35">
      <c r="A105" s="91">
        <v>43481</v>
      </c>
      <c r="B105" s="93" t="s">
        <v>3206</v>
      </c>
      <c r="C105" s="84" t="s">
        <v>5374</v>
      </c>
      <c r="D105" s="84" t="s">
        <v>5414</v>
      </c>
      <c r="E105" s="85" t="s">
        <v>8399</v>
      </c>
      <c r="F105" s="86">
        <v>43363</v>
      </c>
      <c r="G105" s="52">
        <v>37.5</v>
      </c>
      <c r="H105" s="84">
        <v>0</v>
      </c>
      <c r="I105" s="5" t="s">
        <v>5901</v>
      </c>
      <c r="J105" s="84" t="s">
        <v>4664</v>
      </c>
      <c r="K105" s="91" t="s">
        <v>5902</v>
      </c>
      <c r="L105" s="91" t="s">
        <v>5903</v>
      </c>
      <c r="M105" s="48" t="s">
        <v>4730</v>
      </c>
      <c r="N105" s="48" t="s">
        <v>5904</v>
      </c>
      <c r="O105" s="45" t="s">
        <v>5905</v>
      </c>
      <c r="P105" s="45" t="s">
        <v>5906</v>
      </c>
      <c r="Q105" s="45" t="s">
        <v>5032</v>
      </c>
    </row>
    <row r="106" spans="1:17" ht="14.65" customHeight="1" x14ac:dyDescent="0.35">
      <c r="A106" s="91"/>
      <c r="B106" s="240"/>
      <c r="C106" s="84"/>
      <c r="D106" s="84"/>
      <c r="F106" s="86"/>
      <c r="H106" s="84"/>
      <c r="I106" s="287"/>
      <c r="N106" s="48"/>
    </row>
    <row r="107" spans="1:17" ht="14.65" customHeight="1" x14ac:dyDescent="0.35">
      <c r="A107" s="91"/>
      <c r="B107" s="240"/>
      <c r="C107" s="84"/>
      <c r="D107" s="84"/>
      <c r="F107" s="86"/>
      <c r="H107" s="84"/>
      <c r="I107" s="287"/>
      <c r="N107" s="48"/>
    </row>
    <row r="108" spans="1:17" ht="14.65" customHeight="1" x14ac:dyDescent="0.35">
      <c r="B108" s="240" t="s">
        <v>8400</v>
      </c>
      <c r="C108" s="84"/>
      <c r="D108" s="84"/>
      <c r="E108" s="85" t="s">
        <v>8382</v>
      </c>
      <c r="F108" s="86">
        <v>43110</v>
      </c>
      <c r="G108" s="52">
        <f>135/3</f>
        <v>45</v>
      </c>
      <c r="H108" s="84">
        <v>0</v>
      </c>
      <c r="I108" s="5" t="s">
        <v>8383</v>
      </c>
      <c r="J108" s="84" t="s">
        <v>5045</v>
      </c>
      <c r="K108" s="91" t="s">
        <v>512</v>
      </c>
      <c r="L108" s="91" t="s">
        <v>513</v>
      </c>
      <c r="M108" s="48" t="s">
        <v>5014</v>
      </c>
      <c r="N108" s="48" t="s">
        <v>4901</v>
      </c>
      <c r="O108" s="45" t="s">
        <v>4366</v>
      </c>
      <c r="P108" s="45" t="s">
        <v>8384</v>
      </c>
      <c r="Q108" s="45" t="s">
        <v>8385</v>
      </c>
    </row>
    <row r="109" spans="1:17" ht="14.65" customHeight="1" x14ac:dyDescent="0.35">
      <c r="B109" s="240" t="s">
        <v>8400</v>
      </c>
      <c r="C109" s="84"/>
      <c r="D109" s="84"/>
      <c r="E109" s="85" t="s">
        <v>8382</v>
      </c>
      <c r="F109" s="86">
        <v>43110</v>
      </c>
      <c r="G109" s="52">
        <f>135/3</f>
        <v>45</v>
      </c>
      <c r="H109" s="84">
        <v>0</v>
      </c>
      <c r="I109" s="5" t="s">
        <v>8383</v>
      </c>
      <c r="J109" s="84" t="s">
        <v>5045</v>
      </c>
      <c r="K109" s="91" t="s">
        <v>512</v>
      </c>
      <c r="L109" s="91" t="s">
        <v>513</v>
      </c>
      <c r="M109" s="48" t="s">
        <v>5014</v>
      </c>
      <c r="N109" s="48" t="s">
        <v>4901</v>
      </c>
      <c r="O109" s="45" t="s">
        <v>4366</v>
      </c>
      <c r="P109" s="45" t="s">
        <v>8384</v>
      </c>
      <c r="Q109" s="45" t="s">
        <v>8385</v>
      </c>
    </row>
    <row r="111" spans="1:17" ht="14.65" customHeight="1" x14ac:dyDescent="0.35">
      <c r="A111" s="239"/>
      <c r="B111" s="93"/>
      <c r="C111" s="84"/>
      <c r="D111" s="84"/>
      <c r="F111" s="86"/>
      <c r="H111" s="84"/>
      <c r="I111" s="5"/>
      <c r="J111" s="84"/>
      <c r="K111" s="91"/>
      <c r="L111" s="91"/>
      <c r="M111" s="48"/>
      <c r="N111" s="48"/>
    </row>
    <row r="112" spans="1:17" ht="29.25" customHeight="1" x14ac:dyDescent="0.35">
      <c r="A112" s="239">
        <v>42809</v>
      </c>
      <c r="B112" s="240" t="s">
        <v>8401</v>
      </c>
      <c r="C112" s="84" t="s">
        <v>7581</v>
      </c>
      <c r="D112" s="84" t="s">
        <v>5520</v>
      </c>
      <c r="E112" s="84" t="s">
        <v>1031</v>
      </c>
      <c r="F112" s="86">
        <v>42709</v>
      </c>
      <c r="G112" s="4">
        <v>45</v>
      </c>
      <c r="H112" s="84">
        <v>0</v>
      </c>
      <c r="I112" s="95" t="s">
        <v>8267</v>
      </c>
      <c r="J112" s="91" t="s">
        <v>4955</v>
      </c>
      <c r="K112" s="93" t="s">
        <v>8268</v>
      </c>
      <c r="L112" s="91" t="s">
        <v>4036</v>
      </c>
      <c r="M112" s="94" t="s">
        <v>4716</v>
      </c>
      <c r="N112" s="76" t="s">
        <v>8269</v>
      </c>
      <c r="O112" s="93" t="s">
        <v>8270</v>
      </c>
      <c r="P112" s="91" t="s">
        <v>8271</v>
      </c>
      <c r="Q112" s="93" t="s">
        <v>4534</v>
      </c>
    </row>
    <row r="113" spans="1:17" ht="14.65" customHeight="1" x14ac:dyDescent="0.35">
      <c r="A113" s="239">
        <v>42814</v>
      </c>
      <c r="B113" s="240" t="s">
        <v>8402</v>
      </c>
      <c r="C113" s="84" t="s">
        <v>7581</v>
      </c>
      <c r="D113" s="84" t="s">
        <v>5520</v>
      </c>
      <c r="E113" s="87" t="s">
        <v>8403</v>
      </c>
      <c r="F113" s="86">
        <v>42812</v>
      </c>
      <c r="G113" s="4">
        <v>50</v>
      </c>
      <c r="H113" s="84">
        <v>0</v>
      </c>
      <c r="I113" s="5" t="s">
        <v>8404</v>
      </c>
      <c r="J113" s="84" t="s">
        <v>5394</v>
      </c>
      <c r="K113" s="84" t="s">
        <v>4051</v>
      </c>
      <c r="L113" s="84" t="s">
        <v>4052</v>
      </c>
      <c r="M113" s="146" t="s">
        <v>5415</v>
      </c>
      <c r="N113" s="146" t="s">
        <v>8405</v>
      </c>
      <c r="O113" s="84" t="s">
        <v>8406</v>
      </c>
      <c r="P113" s="84" t="s">
        <v>8407</v>
      </c>
      <c r="Q113" s="84" t="s">
        <v>4370</v>
      </c>
    </row>
    <row r="114" spans="1:17" ht="14.65" customHeight="1" x14ac:dyDescent="0.35">
      <c r="A114" s="239"/>
      <c r="B114" s="93"/>
      <c r="C114" s="84"/>
      <c r="D114" s="84"/>
      <c r="E114" s="87"/>
      <c r="F114" s="86"/>
      <c r="G114" s="4"/>
      <c r="H114" s="84"/>
      <c r="I114" s="5"/>
      <c r="J114" s="84"/>
      <c r="K114" s="84"/>
      <c r="L114" s="84"/>
      <c r="M114" s="84"/>
      <c r="N114" s="84"/>
      <c r="O114" s="84"/>
      <c r="P114" s="84"/>
      <c r="Q114" s="84"/>
    </row>
    <row r="115" spans="1:17" ht="14.65" customHeight="1" x14ac:dyDescent="0.35">
      <c r="A115" s="199"/>
      <c r="B115" s="201" t="s">
        <v>63</v>
      </c>
      <c r="C115" s="200"/>
      <c r="D115" s="200"/>
      <c r="E115" s="90"/>
      <c r="F115" s="200"/>
      <c r="G115" s="89">
        <f>SUM(G4:G114)</f>
        <v>2354.5</v>
      </c>
      <c r="H115" s="89">
        <f>SUM(H2:H3)</f>
        <v>0</v>
      </c>
      <c r="I115" s="84"/>
      <c r="J115" s="84"/>
      <c r="K115" s="88"/>
      <c r="L115" s="84"/>
      <c r="M115" s="197"/>
      <c r="N115" s="88"/>
      <c r="O115" s="84"/>
      <c r="P115" s="88"/>
      <c r="Q115" s="84"/>
    </row>
  </sheetData>
  <autoFilter ref="A2:V116" xr:uid="{00000000-0009-0000-0000-000025000000}"/>
  <conditionalFormatting sqref="H2:H3">
    <cfRule type="cellIs" dxfId="2" priority="1" operator="greaterThan">
      <formula>0</formula>
    </cfRule>
  </conditionalFormatting>
  <hyperlinks>
    <hyperlink ref="I6" r:id="rId1" xr:uid="{00000000-0004-0000-2500-000000000000}"/>
    <hyperlink ref="I8" r:id="rId2" xr:uid="{00000000-0004-0000-2500-000001000000}"/>
    <hyperlink ref="I12" r:id="rId3" xr:uid="{00000000-0004-0000-2500-000002000000}"/>
    <hyperlink ref="I13" r:id="rId4" xr:uid="{00000000-0004-0000-2500-000003000000}"/>
    <hyperlink ref="I17" r:id="rId5" xr:uid="{00000000-0004-0000-2500-000004000000}"/>
    <hyperlink ref="I23" r:id="rId6" xr:uid="{00000000-0004-0000-2500-000005000000}"/>
    <hyperlink ref="I24" r:id="rId7" xr:uid="{00000000-0004-0000-2500-000006000000}"/>
    <hyperlink ref="I25" r:id="rId8" xr:uid="{00000000-0004-0000-2500-000007000000}"/>
    <hyperlink ref="I27" r:id="rId9" xr:uid="{00000000-0004-0000-2500-000008000000}"/>
    <hyperlink ref="I28" r:id="rId10" xr:uid="{00000000-0004-0000-2500-000009000000}"/>
    <hyperlink ref="I34" r:id="rId11" xr:uid="{00000000-0004-0000-2500-00000A000000}"/>
    <hyperlink ref="I35" r:id="rId12" xr:uid="{00000000-0004-0000-2500-00000B000000}"/>
    <hyperlink ref="I40" r:id="rId13" xr:uid="{00000000-0004-0000-2500-00000C000000}"/>
    <hyperlink ref="I42" r:id="rId14" xr:uid="{00000000-0004-0000-2500-00000D000000}"/>
    <hyperlink ref="I43" r:id="rId15" xr:uid="{00000000-0004-0000-2500-00000E000000}"/>
    <hyperlink ref="I50" r:id="rId16" xr:uid="{00000000-0004-0000-2500-00000F000000}"/>
    <hyperlink ref="I58" r:id="rId17" xr:uid="{00000000-0004-0000-2500-000010000000}"/>
    <hyperlink ref="I66" r:id="rId18" xr:uid="{00000000-0004-0000-2500-000011000000}"/>
    <hyperlink ref="I69" r:id="rId19" xr:uid="{00000000-0004-0000-2500-000012000000}"/>
    <hyperlink ref="I71" r:id="rId20" xr:uid="{00000000-0004-0000-2500-000013000000}"/>
    <hyperlink ref="I83" r:id="rId21" xr:uid="{00000000-0004-0000-2500-000014000000}"/>
    <hyperlink ref="I87" r:id="rId22" xr:uid="{00000000-0004-0000-2500-000015000000}"/>
    <hyperlink ref="I89" r:id="rId23" xr:uid="{00000000-0004-0000-2500-000016000000}"/>
    <hyperlink ref="I93" r:id="rId24" xr:uid="{00000000-0004-0000-2500-000017000000}"/>
    <hyperlink ref="I112" r:id="rId25" xr:uid="{00000000-0004-0000-2500-000018000000}"/>
  </hyperlinks>
  <pageMargins left="0.25" right="0.25" top="0.75" bottom="0.75" header="0.3" footer="0.3"/>
  <pageSetup paperSize="9" scale="27" fitToHeight="0" orientation="landscape" horizontalDpi="300" verticalDpi="300"/>
  <legacyDrawing r:id="rId26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>
    <tabColor rgb="FFFFFF00"/>
    <pageSetUpPr fitToPage="1"/>
  </sheetPr>
  <dimension ref="A2:T42"/>
  <sheetViews>
    <sheetView workbookViewId="0">
      <selection activeCell="R55" sqref="R55"/>
    </sheetView>
  </sheetViews>
  <sheetFormatPr defaultColWidth="9.1328125" defaultRowHeight="13.5" x14ac:dyDescent="0.35"/>
  <cols>
    <col min="1" max="1" width="5.19921875" style="373" customWidth="1"/>
    <col min="2" max="2" width="10.1328125" style="374" bestFit="1" customWidth="1"/>
    <col min="3" max="3" width="12.46484375" style="375" customWidth="1"/>
    <col min="4" max="4" width="13" style="375" customWidth="1"/>
    <col min="5" max="5" width="10.796875" style="374" customWidth="1"/>
    <col min="6" max="6" width="18.19921875" style="374" customWidth="1"/>
    <col min="7" max="7" width="27.796875" style="374" bestFit="1" customWidth="1"/>
    <col min="8" max="8" width="9.1328125" style="374" customWidth="1"/>
    <col min="9" max="9" width="18.1328125" style="374" customWidth="1"/>
    <col min="10" max="10" width="16.1328125" style="374" bestFit="1" customWidth="1"/>
    <col min="11" max="11" width="8.46484375" style="379" bestFit="1" customWidth="1"/>
    <col min="12" max="12" width="14.46484375" style="379" bestFit="1" customWidth="1"/>
    <col min="13" max="13" width="11" style="374" customWidth="1"/>
    <col min="14" max="14" width="25.796875" style="374" bestFit="1" customWidth="1"/>
    <col min="15" max="15" width="12.1328125" style="374" customWidth="1"/>
    <col min="16" max="16" width="14.1328125" style="374" customWidth="1"/>
    <col min="17" max="17" width="11.46484375" style="374" customWidth="1"/>
    <col min="18" max="18" width="27.19921875" style="374" customWidth="1"/>
    <col min="19" max="19" width="15.86328125" style="374" customWidth="1"/>
    <col min="20" max="20" width="14.86328125" style="374" customWidth="1"/>
    <col min="21" max="21" width="9.1328125" style="374" customWidth="1"/>
    <col min="22" max="16384" width="9.1328125" style="374"/>
  </cols>
  <sheetData>
    <row r="2" spans="1:20" ht="27.75" customHeight="1" x14ac:dyDescent="0.35">
      <c r="G2" s="376"/>
      <c r="I2" s="252" t="s">
        <v>2626</v>
      </c>
      <c r="J2" s="376"/>
      <c r="K2" s="377"/>
      <c r="L2" s="376"/>
      <c r="M2" s="376"/>
    </row>
    <row r="3" spans="1:20" x14ac:dyDescent="0.35">
      <c r="F3" s="378" t="s">
        <v>8051</v>
      </c>
    </row>
    <row r="4" spans="1:20" x14ac:dyDescent="0.35">
      <c r="F4" s="380" t="s">
        <v>8052</v>
      </c>
    </row>
    <row r="5" spans="1:20" x14ac:dyDescent="0.35">
      <c r="F5" s="381" t="s">
        <v>8053</v>
      </c>
    </row>
    <row r="7" spans="1:20" s="392" customFormat="1" ht="38.25" customHeight="1" x14ac:dyDescent="0.35">
      <c r="A7" s="382" t="s">
        <v>4501</v>
      </c>
      <c r="B7" s="383" t="s">
        <v>4504</v>
      </c>
      <c r="C7" s="384" t="s">
        <v>8408</v>
      </c>
      <c r="D7" s="385" t="s">
        <v>129</v>
      </c>
      <c r="E7" s="386" t="s">
        <v>191</v>
      </c>
      <c r="F7" s="386" t="s">
        <v>8054</v>
      </c>
      <c r="G7" s="383" t="s">
        <v>4502</v>
      </c>
      <c r="H7" s="383" t="s">
        <v>4938</v>
      </c>
      <c r="I7" s="383" t="s">
        <v>4939</v>
      </c>
      <c r="J7" s="383" t="s">
        <v>4940</v>
      </c>
      <c r="K7" s="387" t="s">
        <v>4941</v>
      </c>
      <c r="L7" s="388" t="s">
        <v>4942</v>
      </c>
      <c r="M7" s="383" t="s">
        <v>4943</v>
      </c>
      <c r="N7" s="383" t="s">
        <v>4944</v>
      </c>
      <c r="O7" s="383" t="s">
        <v>4945</v>
      </c>
      <c r="P7" s="386" t="s">
        <v>4946</v>
      </c>
      <c r="Q7" s="383" t="s">
        <v>4947</v>
      </c>
      <c r="R7" s="389" t="s">
        <v>4948</v>
      </c>
      <c r="S7" s="390" t="s">
        <v>8409</v>
      </c>
      <c r="T7" s="391" t="s">
        <v>8410</v>
      </c>
    </row>
    <row r="8" spans="1:20" ht="14.65" customHeight="1" x14ac:dyDescent="0.35">
      <c r="A8" s="393" t="s">
        <v>4507</v>
      </c>
      <c r="B8" s="394">
        <v>41001</v>
      </c>
      <c r="C8" s="395"/>
      <c r="D8" s="395"/>
      <c r="E8" s="394"/>
      <c r="F8" s="394"/>
      <c r="G8" s="396"/>
      <c r="H8" s="397"/>
      <c r="I8" s="397"/>
      <c r="J8" s="397"/>
      <c r="K8" s="398"/>
      <c r="L8" s="399"/>
      <c r="M8" s="397"/>
      <c r="N8" s="397"/>
      <c r="O8" s="397"/>
      <c r="P8" s="397"/>
      <c r="Q8" s="397"/>
      <c r="R8" s="397"/>
      <c r="S8" s="397"/>
      <c r="T8" s="400"/>
    </row>
    <row r="9" spans="1:20" ht="18" customHeight="1" x14ac:dyDescent="0.4">
      <c r="A9" s="401">
        <v>1</v>
      </c>
      <c r="B9" s="404">
        <v>43365</v>
      </c>
      <c r="C9" s="527">
        <v>0</v>
      </c>
      <c r="D9" s="527">
        <v>371.25</v>
      </c>
      <c r="E9" s="299" t="s">
        <v>5414</v>
      </c>
      <c r="F9" s="300" t="s">
        <v>8411</v>
      </c>
      <c r="G9" s="530" t="s">
        <v>8412</v>
      </c>
      <c r="H9" s="299" t="s">
        <v>5394</v>
      </c>
      <c r="I9" s="299" t="s">
        <v>8413</v>
      </c>
      <c r="J9" s="528" t="s">
        <v>8414</v>
      </c>
      <c r="K9" s="300" t="s">
        <v>5485</v>
      </c>
      <c r="L9" s="300" t="s">
        <v>8415</v>
      </c>
      <c r="M9" s="528" t="s">
        <v>8416</v>
      </c>
      <c r="N9" s="528" t="s">
        <v>8417</v>
      </c>
      <c r="O9" s="299" t="s">
        <v>8418</v>
      </c>
      <c r="P9" s="528"/>
      <c r="Q9" s="528"/>
      <c r="R9" s="528"/>
      <c r="S9" s="402"/>
    </row>
    <row r="10" spans="1:20" ht="18" customHeight="1" x14ac:dyDescent="0.35">
      <c r="A10" s="401">
        <v>2</v>
      </c>
      <c r="B10" s="404">
        <v>43419</v>
      </c>
      <c r="C10" s="527">
        <v>0</v>
      </c>
      <c r="D10" s="528">
        <v>75</v>
      </c>
      <c r="E10" s="299" t="s">
        <v>5414</v>
      </c>
      <c r="F10" s="300" t="s">
        <v>2862</v>
      </c>
      <c r="G10" s="545" t="s">
        <v>8206</v>
      </c>
      <c r="H10" s="299" t="s">
        <v>5045</v>
      </c>
      <c r="I10" s="299" t="s">
        <v>4159</v>
      </c>
      <c r="J10" s="299" t="s">
        <v>8349</v>
      </c>
      <c r="K10" s="528" t="s">
        <v>4900</v>
      </c>
      <c r="L10" s="300" t="s">
        <v>8350</v>
      </c>
      <c r="M10" s="528" t="s">
        <v>8351</v>
      </c>
      <c r="N10" s="528" t="s">
        <v>8352</v>
      </c>
      <c r="O10" s="528" t="s">
        <v>8353</v>
      </c>
      <c r="P10" s="528"/>
      <c r="Q10" s="531"/>
      <c r="R10" s="528"/>
      <c r="S10" s="402"/>
    </row>
    <row r="11" spans="1:20" ht="18" customHeight="1" x14ac:dyDescent="0.4">
      <c r="A11" s="401">
        <v>3</v>
      </c>
      <c r="B11" s="404">
        <v>43422</v>
      </c>
      <c r="C11" s="527">
        <v>0</v>
      </c>
      <c r="D11" s="528">
        <v>396</v>
      </c>
      <c r="E11" s="299" t="s">
        <v>5414</v>
      </c>
      <c r="F11" s="300" t="s">
        <v>2862</v>
      </c>
      <c r="G11" s="532" t="s">
        <v>4150</v>
      </c>
      <c r="H11" s="552" t="s">
        <v>4664</v>
      </c>
      <c r="I11" s="552" t="s">
        <v>520</v>
      </c>
      <c r="J11" s="552" t="s">
        <v>521</v>
      </c>
      <c r="K11" s="553" t="s">
        <v>4900</v>
      </c>
      <c r="L11" s="553" t="s">
        <v>5490</v>
      </c>
      <c r="M11" s="299" t="s">
        <v>8419</v>
      </c>
      <c r="N11" s="528" t="s">
        <v>8420</v>
      </c>
      <c r="O11" s="528" t="s">
        <v>8421</v>
      </c>
      <c r="P11" s="528"/>
      <c r="Q11" s="528"/>
      <c r="R11" s="528"/>
      <c r="S11" s="402"/>
    </row>
    <row r="12" spans="1:20" ht="18" customHeight="1" x14ac:dyDescent="0.35">
      <c r="A12" s="401">
        <v>4</v>
      </c>
      <c r="B12" s="404"/>
      <c r="C12" s="533"/>
      <c r="D12" s="528"/>
      <c r="E12" s="299"/>
      <c r="F12" s="300"/>
      <c r="G12" s="545"/>
      <c r="H12" s="528"/>
      <c r="I12" s="528"/>
      <c r="J12" s="528"/>
      <c r="K12" s="529"/>
      <c r="L12" s="529"/>
      <c r="M12" s="528"/>
      <c r="N12" s="528"/>
      <c r="O12" s="528"/>
      <c r="P12" s="528"/>
      <c r="Q12" s="528"/>
      <c r="R12" s="528"/>
      <c r="S12" s="402"/>
      <c r="T12" s="403"/>
    </row>
    <row r="13" spans="1:20" ht="18" customHeight="1" x14ac:dyDescent="0.4">
      <c r="A13" s="401">
        <v>5</v>
      </c>
      <c r="B13" s="404"/>
      <c r="C13" s="531"/>
      <c r="D13" s="531"/>
      <c r="E13" s="531"/>
      <c r="F13" s="529"/>
      <c r="G13" s="530"/>
      <c r="H13" s="528"/>
      <c r="I13" s="528"/>
      <c r="J13" s="528"/>
      <c r="K13" s="528"/>
      <c r="L13" s="528"/>
      <c r="M13" s="528"/>
      <c r="N13" s="528"/>
      <c r="O13" s="528"/>
      <c r="P13" s="528"/>
      <c r="Q13" s="528"/>
      <c r="R13" s="528"/>
      <c r="S13" s="402"/>
    </row>
    <row r="14" spans="1:20" ht="18" customHeight="1" x14ac:dyDescent="0.4">
      <c r="A14" s="401">
        <v>6</v>
      </c>
      <c r="B14" s="404"/>
      <c r="C14" s="528"/>
      <c r="D14" s="528"/>
      <c r="E14" s="528"/>
      <c r="F14" s="529"/>
      <c r="G14" s="530"/>
      <c r="H14" s="528"/>
      <c r="I14" s="528"/>
      <c r="J14" s="528"/>
      <c r="K14" s="529"/>
      <c r="L14" s="529"/>
      <c r="M14" s="528"/>
      <c r="N14" s="528"/>
      <c r="O14" s="528"/>
      <c r="P14" s="528"/>
      <c r="Q14" s="528"/>
      <c r="R14" s="528"/>
      <c r="S14" s="402"/>
    </row>
    <row r="15" spans="1:20" ht="18" customHeight="1" x14ac:dyDescent="0.4">
      <c r="A15" s="401">
        <v>7</v>
      </c>
      <c r="B15" s="528"/>
      <c r="C15" s="528"/>
      <c r="D15" s="528"/>
      <c r="E15" s="528"/>
      <c r="F15" s="529"/>
      <c r="G15" s="530"/>
      <c r="H15" s="528"/>
      <c r="I15" s="528"/>
      <c r="J15" s="528"/>
      <c r="K15" s="529"/>
      <c r="L15" s="529"/>
      <c r="M15" s="528"/>
      <c r="N15" s="528"/>
      <c r="O15" s="528"/>
      <c r="P15" s="528"/>
      <c r="Q15" s="528"/>
      <c r="R15" s="528"/>
      <c r="S15" s="402"/>
    </row>
    <row r="16" spans="1:20" ht="18" customHeight="1" x14ac:dyDescent="0.4">
      <c r="A16" s="401">
        <v>8</v>
      </c>
      <c r="B16" s="528"/>
      <c r="C16" s="528"/>
      <c r="D16" s="528"/>
      <c r="E16" s="528"/>
      <c r="F16" s="528"/>
      <c r="G16" s="530"/>
      <c r="H16" s="528"/>
      <c r="I16" s="528"/>
      <c r="J16" s="528"/>
      <c r="K16" s="529"/>
      <c r="L16" s="529"/>
      <c r="M16" s="528"/>
      <c r="N16" s="528"/>
      <c r="O16" s="528"/>
      <c r="P16" s="528"/>
      <c r="Q16" s="528"/>
      <c r="R16" s="528"/>
      <c r="S16" s="402"/>
    </row>
    <row r="17" spans="1:20" ht="18" customHeight="1" x14ac:dyDescent="0.35">
      <c r="A17" s="401">
        <v>9</v>
      </c>
      <c r="B17" s="528"/>
      <c r="C17" s="528"/>
      <c r="D17" s="528"/>
      <c r="E17" s="528"/>
      <c r="F17" s="528"/>
      <c r="G17" s="534"/>
      <c r="H17" s="528"/>
      <c r="I17" s="528"/>
      <c r="J17" s="528"/>
      <c r="K17" s="535"/>
      <c r="L17" s="535"/>
      <c r="M17" s="528"/>
      <c r="N17" s="528"/>
      <c r="O17" s="528"/>
      <c r="P17" s="528"/>
      <c r="Q17" s="528"/>
      <c r="R17" s="528"/>
      <c r="S17" s="402"/>
    </row>
    <row r="18" spans="1:20" ht="18" customHeight="1" x14ac:dyDescent="0.35">
      <c r="A18" s="401">
        <v>10</v>
      </c>
      <c r="B18" s="528"/>
      <c r="C18" s="531"/>
      <c r="D18" s="531"/>
      <c r="E18" s="531"/>
      <c r="F18" s="531"/>
      <c r="G18" s="531"/>
      <c r="H18" s="531"/>
      <c r="I18" s="531"/>
      <c r="J18" s="531"/>
      <c r="K18" s="531"/>
      <c r="L18" s="531"/>
      <c r="M18" s="531"/>
      <c r="N18" s="531"/>
      <c r="O18" s="531"/>
      <c r="P18" s="531"/>
      <c r="Q18" s="528"/>
      <c r="R18" s="528"/>
      <c r="S18" s="402"/>
    </row>
    <row r="19" spans="1:20" ht="18" customHeight="1" thickBot="1" x14ac:dyDescent="0.45">
      <c r="A19" s="401"/>
      <c r="B19" s="404"/>
      <c r="C19" s="528"/>
      <c r="D19" s="528"/>
      <c r="E19" s="528"/>
      <c r="F19" s="529"/>
      <c r="G19" s="530"/>
      <c r="H19" s="528"/>
      <c r="I19" s="528"/>
      <c r="J19" s="528"/>
      <c r="K19" s="528"/>
      <c r="L19" s="528"/>
      <c r="M19" s="528"/>
      <c r="N19" s="528"/>
      <c r="O19" s="528"/>
      <c r="P19" s="528"/>
      <c r="Q19" s="528"/>
      <c r="R19" s="528"/>
      <c r="S19" s="402"/>
    </row>
    <row r="20" spans="1:20" ht="18" customHeight="1" thickBot="1" x14ac:dyDescent="0.45">
      <c r="A20" s="401"/>
      <c r="B20" s="528"/>
      <c r="C20" s="527"/>
      <c r="D20" s="527"/>
      <c r="E20" s="528"/>
      <c r="F20" s="528"/>
      <c r="G20" s="530"/>
      <c r="H20" s="528"/>
      <c r="I20" s="528"/>
      <c r="J20" s="528"/>
      <c r="K20" s="529"/>
      <c r="L20" s="529"/>
      <c r="M20" s="528"/>
      <c r="N20" s="536"/>
      <c r="O20" s="537"/>
      <c r="P20" s="538"/>
      <c r="Q20" s="538"/>
      <c r="R20" s="538"/>
      <c r="S20" s="406"/>
      <c r="T20" s="407"/>
    </row>
    <row r="21" spans="1:20" ht="18" customHeight="1" x14ac:dyDescent="0.35">
      <c r="A21" s="401"/>
      <c r="B21" s="531"/>
      <c r="C21" s="531"/>
      <c r="D21" s="531"/>
      <c r="E21" s="531"/>
      <c r="F21" s="531"/>
      <c r="G21" s="531"/>
      <c r="H21" s="531"/>
      <c r="I21" s="531"/>
      <c r="J21" s="531"/>
      <c r="K21" s="531"/>
      <c r="L21" s="531"/>
      <c r="M21" s="531"/>
      <c r="N21" s="531"/>
      <c r="O21" s="531"/>
      <c r="P21" s="531"/>
      <c r="Q21" s="531"/>
      <c r="R21" s="531"/>
    </row>
    <row r="22" spans="1:20" ht="18" customHeight="1" x14ac:dyDescent="0.35">
      <c r="A22" s="401"/>
      <c r="B22" s="539"/>
      <c r="C22" s="527"/>
      <c r="D22" s="527"/>
      <c r="E22" s="528"/>
      <c r="F22" s="528"/>
      <c r="G22" s="528"/>
      <c r="H22" s="528"/>
      <c r="I22" s="528"/>
      <c r="J22" s="528"/>
      <c r="K22" s="535"/>
      <c r="L22" s="528"/>
      <c r="M22" s="528"/>
      <c r="N22" s="528"/>
      <c r="O22" s="528"/>
      <c r="P22" s="528"/>
      <c r="Q22" s="528"/>
      <c r="R22" s="528"/>
      <c r="S22" s="402"/>
    </row>
    <row r="23" spans="1:20" ht="18" customHeight="1" x14ac:dyDescent="0.35">
      <c r="A23" s="401"/>
      <c r="B23" s="408"/>
      <c r="C23" s="409"/>
      <c r="D23" s="409"/>
      <c r="E23" s="410"/>
      <c r="F23" s="410"/>
      <c r="G23" s="402"/>
      <c r="H23" s="402"/>
      <c r="I23" s="402"/>
      <c r="J23" s="402"/>
      <c r="K23" s="405"/>
      <c r="L23" s="402"/>
      <c r="M23" s="402"/>
      <c r="N23" s="402"/>
      <c r="O23" s="402"/>
      <c r="P23" s="402"/>
      <c r="Q23" s="402"/>
      <c r="R23" s="402"/>
      <c r="S23" s="402"/>
    </row>
    <row r="24" spans="1:20" ht="18" customHeight="1" x14ac:dyDescent="0.35">
      <c r="A24" s="401"/>
      <c r="B24" s="408"/>
      <c r="C24" s="409"/>
      <c r="D24" s="409"/>
      <c r="E24" s="410"/>
      <c r="F24" s="410"/>
      <c r="G24" s="402"/>
      <c r="H24" s="402"/>
      <c r="I24" s="402"/>
      <c r="J24" s="402"/>
      <c r="K24" s="405"/>
      <c r="L24" s="402"/>
      <c r="M24" s="402"/>
      <c r="N24" s="402"/>
      <c r="O24" s="402"/>
      <c r="P24" s="402"/>
      <c r="Q24" s="402"/>
      <c r="R24" s="402"/>
      <c r="S24" s="402"/>
    </row>
    <row r="25" spans="1:20" ht="14.65" customHeight="1" x14ac:dyDescent="0.35">
      <c r="A25" s="411"/>
      <c r="B25" s="402"/>
      <c r="C25" s="412"/>
      <c r="D25" s="412"/>
      <c r="E25" s="402"/>
      <c r="F25" s="402"/>
      <c r="G25" s="402"/>
      <c r="H25" s="402"/>
      <c r="I25" s="402"/>
      <c r="J25" s="402"/>
      <c r="K25" s="405"/>
      <c r="L25" s="405"/>
      <c r="M25" s="402"/>
      <c r="N25" s="402"/>
      <c r="O25" s="402"/>
      <c r="P25" s="402"/>
      <c r="Q25" s="402"/>
      <c r="R25" s="402"/>
      <c r="S25" s="402"/>
    </row>
    <row r="26" spans="1:20" x14ac:dyDescent="0.35">
      <c r="B26" s="413" t="s">
        <v>8246</v>
      </c>
      <c r="C26" s="414" t="s">
        <v>3755</v>
      </c>
      <c r="D26" s="414" t="s">
        <v>8247</v>
      </c>
      <c r="E26" s="413" t="s">
        <v>1039</v>
      </c>
    </row>
    <row r="27" spans="1:20" x14ac:dyDescent="0.35">
      <c r="B27" s="415">
        <f>COUNTIF(B9:B18,"&gt;0")</f>
        <v>3</v>
      </c>
      <c r="C27" s="416">
        <f>SUM(C9:C26)</f>
        <v>0</v>
      </c>
      <c r="D27" s="375">
        <f>SUM(D9:D22)</f>
        <v>842.25</v>
      </c>
      <c r="E27" s="374">
        <f>SUM(C27+D27)/B27</f>
        <v>280.75</v>
      </c>
    </row>
    <row r="30" spans="1:20" x14ac:dyDescent="0.35">
      <c r="C30" s="416">
        <f>SUM(C9:C24)</f>
        <v>0</v>
      </c>
      <c r="D30" s="416">
        <f>SUM(D9:D24)</f>
        <v>842.25</v>
      </c>
      <c r="E30" s="374">
        <f>D30+C30</f>
        <v>842.25</v>
      </c>
    </row>
    <row r="33" spans="2:4" x14ac:dyDescent="0.35">
      <c r="B33" s="374" t="s">
        <v>8248</v>
      </c>
      <c r="C33" s="375">
        <v>1.5</v>
      </c>
      <c r="D33" s="375">
        <f>C33*B27</f>
        <v>4.5</v>
      </c>
    </row>
    <row r="34" spans="2:4" x14ac:dyDescent="0.35">
      <c r="B34" s="374" t="s">
        <v>8249</v>
      </c>
      <c r="C34" s="375">
        <v>0</v>
      </c>
      <c r="D34" s="375">
        <f>C34*4</f>
        <v>0</v>
      </c>
    </row>
    <row r="35" spans="2:4" x14ac:dyDescent="0.35">
      <c r="B35" s="374" t="s">
        <v>8250</v>
      </c>
      <c r="C35" s="375">
        <v>50</v>
      </c>
      <c r="D35" s="375">
        <f>C35*8</f>
        <v>400</v>
      </c>
    </row>
    <row r="36" spans="2:4" x14ac:dyDescent="0.35">
      <c r="B36" s="374" t="s">
        <v>538</v>
      </c>
      <c r="C36" s="375">
        <v>2</v>
      </c>
      <c r="D36" s="375">
        <v>10</v>
      </c>
    </row>
    <row r="37" spans="2:4" x14ac:dyDescent="0.35">
      <c r="B37" s="374" t="s">
        <v>8251</v>
      </c>
      <c r="C37" s="375">
        <v>0</v>
      </c>
      <c r="D37" s="375">
        <f>C37*B27</f>
        <v>0</v>
      </c>
    </row>
    <row r="38" spans="2:4" x14ac:dyDescent="0.35">
      <c r="B38" s="374" t="s">
        <v>8252</v>
      </c>
      <c r="C38" s="375">
        <v>0</v>
      </c>
      <c r="D38" s="375">
        <f>C38*4</f>
        <v>0</v>
      </c>
    </row>
    <row r="39" spans="2:4" x14ac:dyDescent="0.35">
      <c r="B39" s="374" t="s">
        <v>3595</v>
      </c>
      <c r="C39" s="417">
        <v>3.5999999999999997E-2</v>
      </c>
      <c r="D39" s="375">
        <f>C27*C39</f>
        <v>0</v>
      </c>
    </row>
    <row r="41" spans="2:4" x14ac:dyDescent="0.35">
      <c r="C41" s="375" t="s">
        <v>509</v>
      </c>
      <c r="D41" s="375">
        <f>SUM(D33:D40)</f>
        <v>414.5</v>
      </c>
    </row>
    <row r="42" spans="2:4" x14ac:dyDescent="0.35">
      <c r="C42" s="375" t="s">
        <v>3914</v>
      </c>
      <c r="D42" s="416">
        <f>C30+D30-D41</f>
        <v>427.75</v>
      </c>
    </row>
  </sheetData>
  <conditionalFormatting sqref="C42:D42">
    <cfRule type="cellIs" dxfId="1" priority="1" operator="lessThan">
      <formula>0</formula>
    </cfRule>
  </conditionalFormatting>
  <pageMargins left="0.25" right="0.25" top="0.75" bottom="0.75" header="0.3" footer="0.3"/>
  <pageSetup paperSize="9" scale="32" orientation="landscape"/>
  <headerFooter alignWithMargins="0">
    <oddHeader>&amp;LPage &amp;P of &amp;N&amp;C&amp;"Arial,Bold"&amp;14 Solihull - Tudor Court&amp;R&amp;"Arial,Bold"&amp;18 &amp;A</oddHeader>
    <oddFooter>&amp;L&amp;F&amp;R&amp;A</oddFooter>
  </headerFooter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>
    <tabColor rgb="FFFFFF00"/>
    <pageSetUpPr fitToPage="1"/>
  </sheetPr>
  <dimension ref="A2:T42"/>
  <sheetViews>
    <sheetView workbookViewId="0">
      <selection activeCell="G9" sqref="G9:G11"/>
    </sheetView>
  </sheetViews>
  <sheetFormatPr defaultColWidth="9.1328125" defaultRowHeight="13.5" x14ac:dyDescent="0.35"/>
  <cols>
    <col min="1" max="1" width="5.19921875" style="373" customWidth="1"/>
    <col min="2" max="2" width="10.1328125" style="374" bestFit="1" customWidth="1"/>
    <col min="3" max="3" width="12.46484375" style="375" customWidth="1"/>
    <col min="4" max="4" width="13" style="375" customWidth="1"/>
    <col min="5" max="5" width="10.796875" style="374" customWidth="1"/>
    <col min="6" max="6" width="18.19921875" style="374" customWidth="1"/>
    <col min="7" max="7" width="27.796875" style="374" bestFit="1" customWidth="1"/>
    <col min="8" max="8" width="9.1328125" style="374" customWidth="1"/>
    <col min="9" max="9" width="18.1328125" style="374" customWidth="1"/>
    <col min="10" max="10" width="16.1328125" style="374" bestFit="1" customWidth="1"/>
    <col min="11" max="11" width="8.46484375" style="379" bestFit="1" customWidth="1"/>
    <col min="12" max="12" width="14.46484375" style="379" bestFit="1" customWidth="1"/>
    <col min="13" max="13" width="11" style="374" customWidth="1"/>
    <col min="14" max="14" width="25.796875" style="374" bestFit="1" customWidth="1"/>
    <col min="15" max="15" width="12.1328125" style="374" customWidth="1"/>
    <col min="16" max="16" width="14.1328125" style="374" customWidth="1"/>
    <col min="17" max="17" width="11.46484375" style="374" customWidth="1"/>
    <col min="18" max="18" width="27.19921875" style="374" customWidth="1"/>
    <col min="19" max="19" width="15.86328125" style="374" customWidth="1"/>
    <col min="20" max="20" width="14.86328125" style="374" customWidth="1"/>
    <col min="21" max="21" width="9.1328125" style="374" customWidth="1"/>
    <col min="22" max="16384" width="9.1328125" style="374"/>
  </cols>
  <sheetData>
    <row r="2" spans="1:20" ht="27.75" customHeight="1" x14ac:dyDescent="0.35">
      <c r="G2" s="376"/>
      <c r="I2" s="252" t="s">
        <v>2626</v>
      </c>
      <c r="J2" s="376"/>
      <c r="K2" s="377"/>
      <c r="L2" s="376"/>
      <c r="M2" s="376"/>
    </row>
    <row r="3" spans="1:20" x14ac:dyDescent="0.35">
      <c r="F3" s="378" t="s">
        <v>8051</v>
      </c>
    </row>
    <row r="4" spans="1:20" x14ac:dyDescent="0.35">
      <c r="F4" s="380" t="s">
        <v>8052</v>
      </c>
    </row>
    <row r="5" spans="1:20" x14ac:dyDescent="0.35">
      <c r="F5" s="381" t="s">
        <v>8053</v>
      </c>
    </row>
    <row r="7" spans="1:20" s="392" customFormat="1" ht="38.25" customHeight="1" x14ac:dyDescent="0.35">
      <c r="A7" s="382" t="s">
        <v>4501</v>
      </c>
      <c r="B7" s="383" t="s">
        <v>4504</v>
      </c>
      <c r="C7" s="384" t="s">
        <v>8408</v>
      </c>
      <c r="D7" s="385" t="s">
        <v>129</v>
      </c>
      <c r="E7" s="386" t="s">
        <v>191</v>
      </c>
      <c r="F7" s="386" t="s">
        <v>8054</v>
      </c>
      <c r="G7" s="383" t="s">
        <v>4502</v>
      </c>
      <c r="H7" s="383" t="s">
        <v>4938</v>
      </c>
      <c r="I7" s="383" t="s">
        <v>4939</v>
      </c>
      <c r="J7" s="383" t="s">
        <v>4940</v>
      </c>
      <c r="K7" s="387" t="s">
        <v>4941</v>
      </c>
      <c r="L7" s="388" t="s">
        <v>4942</v>
      </c>
      <c r="M7" s="383" t="s">
        <v>4943</v>
      </c>
      <c r="N7" s="383" t="s">
        <v>4944</v>
      </c>
      <c r="O7" s="383" t="s">
        <v>4945</v>
      </c>
      <c r="P7" s="386" t="s">
        <v>4946</v>
      </c>
      <c r="Q7" s="383" t="s">
        <v>4947</v>
      </c>
      <c r="R7" s="389" t="s">
        <v>4948</v>
      </c>
      <c r="S7" s="390" t="s">
        <v>8409</v>
      </c>
      <c r="T7" s="391" t="s">
        <v>8410</v>
      </c>
    </row>
    <row r="8" spans="1:20" ht="14.65" customHeight="1" x14ac:dyDescent="0.35">
      <c r="A8" s="393" t="s">
        <v>4507</v>
      </c>
      <c r="B8" s="394">
        <v>41001</v>
      </c>
      <c r="C8" s="395"/>
      <c r="D8" s="395"/>
      <c r="E8" s="394"/>
      <c r="F8" s="394"/>
      <c r="G8" s="396"/>
      <c r="H8" s="397"/>
      <c r="I8" s="397"/>
      <c r="J8" s="397"/>
      <c r="K8" s="398"/>
      <c r="L8" s="399"/>
      <c r="M8" s="397"/>
      <c r="N8" s="397"/>
      <c r="O8" s="397"/>
      <c r="P8" s="397"/>
      <c r="Q8" s="397"/>
      <c r="R8" s="397"/>
      <c r="S8" s="397"/>
      <c r="T8" s="400"/>
    </row>
    <row r="9" spans="1:20" ht="18" customHeight="1" x14ac:dyDescent="0.4">
      <c r="A9" s="401">
        <v>1</v>
      </c>
      <c r="B9" s="404">
        <v>43049</v>
      </c>
      <c r="C9" s="527">
        <v>0</v>
      </c>
      <c r="D9" s="527">
        <v>427.5</v>
      </c>
      <c r="E9" s="299" t="s">
        <v>175</v>
      </c>
      <c r="F9" s="300" t="s">
        <v>1031</v>
      </c>
      <c r="G9" s="530" t="s">
        <v>4203</v>
      </c>
      <c r="H9" s="528" t="s">
        <v>4664</v>
      </c>
      <c r="I9" s="528" t="s">
        <v>4145</v>
      </c>
      <c r="J9" s="528" t="s">
        <v>4204</v>
      </c>
      <c r="K9" s="529" t="s">
        <v>6512</v>
      </c>
      <c r="L9" s="529" t="s">
        <v>8318</v>
      </c>
      <c r="M9" s="528" t="s">
        <v>8319</v>
      </c>
      <c r="N9" s="528" t="s">
        <v>8320</v>
      </c>
      <c r="O9" s="528" t="s">
        <v>4365</v>
      </c>
      <c r="P9" s="528" t="s">
        <v>8321</v>
      </c>
      <c r="Q9" s="528"/>
      <c r="R9" s="528"/>
      <c r="S9" s="402"/>
    </row>
    <row r="10" spans="1:20" ht="18" customHeight="1" x14ac:dyDescent="0.4">
      <c r="A10" s="401">
        <v>2</v>
      </c>
      <c r="B10" s="404">
        <v>43077</v>
      </c>
      <c r="C10" s="527">
        <v>0</v>
      </c>
      <c r="D10" s="528">
        <v>475</v>
      </c>
      <c r="E10" s="299" t="s">
        <v>175</v>
      </c>
      <c r="F10" s="299" t="s">
        <v>8422</v>
      </c>
      <c r="G10" s="532" t="s">
        <v>4964</v>
      </c>
      <c r="H10" s="552" t="s">
        <v>4664</v>
      </c>
      <c r="I10" s="552" t="s">
        <v>4145</v>
      </c>
      <c r="J10" s="552" t="s">
        <v>4449</v>
      </c>
      <c r="K10" s="553" t="s">
        <v>4889</v>
      </c>
      <c r="L10" s="553" t="s">
        <v>5682</v>
      </c>
      <c r="M10" s="299" t="s">
        <v>5683</v>
      </c>
      <c r="N10" s="528" t="s">
        <v>5684</v>
      </c>
      <c r="O10" s="528" t="s">
        <v>4370</v>
      </c>
      <c r="P10" s="528"/>
      <c r="Q10" s="528"/>
      <c r="S10" s="402"/>
    </row>
    <row r="11" spans="1:20" ht="18" customHeight="1" x14ac:dyDescent="0.35">
      <c r="A11" s="401">
        <v>3</v>
      </c>
      <c r="B11" s="404">
        <v>43135</v>
      </c>
      <c r="C11" s="533">
        <v>0</v>
      </c>
      <c r="D11" s="528">
        <v>495</v>
      </c>
      <c r="E11" s="299" t="s">
        <v>175</v>
      </c>
      <c r="F11" s="300" t="s">
        <v>8423</v>
      </c>
      <c r="G11" s="545" t="s">
        <v>5630</v>
      </c>
      <c r="H11" s="528" t="s">
        <v>4664</v>
      </c>
      <c r="I11" s="528" t="s">
        <v>4058</v>
      </c>
      <c r="J11" s="528" t="s">
        <v>4089</v>
      </c>
      <c r="K11" s="529" t="s">
        <v>5631</v>
      </c>
      <c r="L11" s="529" t="s">
        <v>4619</v>
      </c>
      <c r="M11" s="528" t="s">
        <v>5632</v>
      </c>
      <c r="N11" s="528" t="s">
        <v>5633</v>
      </c>
      <c r="O11" s="528" t="s">
        <v>5634</v>
      </c>
      <c r="P11" s="528"/>
      <c r="Q11" s="528"/>
      <c r="R11" s="528"/>
      <c r="S11" s="402"/>
    </row>
    <row r="12" spans="1:20" ht="18" customHeight="1" x14ac:dyDescent="0.35">
      <c r="A12" s="401">
        <v>4</v>
      </c>
      <c r="C12" s="374"/>
      <c r="D12" s="374"/>
      <c r="K12" s="374"/>
      <c r="L12" s="374"/>
      <c r="R12" s="528"/>
      <c r="S12" s="402"/>
      <c r="T12" s="403"/>
    </row>
    <row r="13" spans="1:20" ht="18" customHeight="1" x14ac:dyDescent="0.4">
      <c r="A13" s="401">
        <v>5</v>
      </c>
      <c r="B13" s="404"/>
      <c r="C13" s="531"/>
      <c r="D13" s="531"/>
      <c r="E13" s="531"/>
      <c r="F13" s="529"/>
      <c r="G13" s="530"/>
      <c r="H13" s="528"/>
      <c r="I13" s="528"/>
      <c r="J13" s="528"/>
      <c r="K13" s="528"/>
      <c r="L13" s="528"/>
      <c r="M13" s="528"/>
      <c r="N13" s="528"/>
      <c r="O13" s="528"/>
      <c r="P13" s="528"/>
      <c r="Q13" s="528"/>
      <c r="R13" s="528"/>
      <c r="S13" s="402"/>
    </row>
    <row r="14" spans="1:20" ht="18" customHeight="1" x14ac:dyDescent="0.4">
      <c r="A14" s="401">
        <v>6</v>
      </c>
      <c r="B14" s="404"/>
      <c r="C14" s="528"/>
      <c r="D14" s="528"/>
      <c r="E14" s="528"/>
      <c r="F14" s="529"/>
      <c r="G14" s="530"/>
      <c r="H14" s="528"/>
      <c r="I14" s="528"/>
      <c r="J14" s="528"/>
      <c r="K14" s="529"/>
      <c r="L14" s="529"/>
      <c r="M14" s="528"/>
      <c r="N14" s="528"/>
      <c r="O14" s="528"/>
      <c r="P14" s="528"/>
      <c r="Q14" s="528"/>
      <c r="R14" s="528"/>
      <c r="S14" s="402"/>
    </row>
    <row r="15" spans="1:20" ht="18" customHeight="1" x14ac:dyDescent="0.35">
      <c r="A15" s="401">
        <v>7</v>
      </c>
      <c r="B15" s="404">
        <v>43025</v>
      </c>
      <c r="C15" s="527">
        <v>200</v>
      </c>
      <c r="D15" s="528">
        <v>275</v>
      </c>
      <c r="E15" s="299" t="s">
        <v>1311</v>
      </c>
      <c r="F15" s="300" t="s">
        <v>1311</v>
      </c>
      <c r="G15" s="545" t="s">
        <v>8424</v>
      </c>
      <c r="H15" s="299" t="s">
        <v>4664</v>
      </c>
      <c r="I15" s="299" t="s">
        <v>6232</v>
      </c>
      <c r="J15" s="299" t="s">
        <v>8425</v>
      </c>
      <c r="K15" s="528"/>
      <c r="L15" s="300" t="s">
        <v>8426</v>
      </c>
      <c r="M15" s="528"/>
      <c r="N15" s="528"/>
      <c r="O15" s="528"/>
      <c r="P15" s="528"/>
      <c r="Q15" s="531"/>
      <c r="R15" s="528"/>
      <c r="S15" s="402"/>
    </row>
    <row r="16" spans="1:20" ht="18" customHeight="1" x14ac:dyDescent="0.4">
      <c r="A16" s="401">
        <v>8</v>
      </c>
      <c r="B16" s="528"/>
      <c r="C16" s="528"/>
      <c r="D16" s="528"/>
      <c r="E16" s="528"/>
      <c r="F16" s="528"/>
      <c r="G16" s="530"/>
      <c r="H16" s="528"/>
      <c r="I16" s="528"/>
      <c r="J16" s="528"/>
      <c r="K16" s="529"/>
      <c r="L16" s="529"/>
      <c r="M16" s="528"/>
      <c r="N16" s="528"/>
      <c r="O16" s="528"/>
      <c r="P16" s="528"/>
      <c r="Q16" s="528"/>
      <c r="R16" s="528"/>
      <c r="S16" s="402"/>
    </row>
    <row r="17" spans="1:20" ht="18" customHeight="1" x14ac:dyDescent="0.35">
      <c r="A17" s="401">
        <v>9</v>
      </c>
      <c r="B17" s="528"/>
      <c r="C17" s="528"/>
      <c r="D17" s="528"/>
      <c r="E17" s="528"/>
      <c r="F17" s="528"/>
      <c r="G17" s="534"/>
      <c r="H17" s="528"/>
      <c r="I17" s="528"/>
      <c r="J17" s="528"/>
      <c r="K17" s="535"/>
      <c r="L17" s="535"/>
      <c r="M17" s="528"/>
      <c r="N17" s="528"/>
      <c r="O17" s="528"/>
      <c r="P17" s="528"/>
      <c r="Q17" s="528"/>
      <c r="R17" s="528"/>
      <c r="S17" s="402"/>
    </row>
    <row r="18" spans="1:20" ht="18" customHeight="1" x14ac:dyDescent="0.35">
      <c r="A18" s="401">
        <v>10</v>
      </c>
      <c r="B18" s="528"/>
      <c r="C18" s="531"/>
      <c r="D18" s="531"/>
      <c r="E18" s="531"/>
      <c r="F18" s="531"/>
      <c r="G18" s="531"/>
      <c r="H18" s="531"/>
      <c r="I18" s="531"/>
      <c r="J18" s="531"/>
      <c r="K18" s="531"/>
      <c r="L18" s="531"/>
      <c r="M18" s="531"/>
      <c r="N18" s="531"/>
      <c r="O18" s="531"/>
      <c r="P18" s="531"/>
      <c r="Q18" s="528"/>
      <c r="R18" s="528"/>
      <c r="S18" s="402"/>
    </row>
    <row r="19" spans="1:20" ht="18" customHeight="1" thickBot="1" x14ac:dyDescent="0.45">
      <c r="A19" s="401"/>
      <c r="B19" s="404"/>
      <c r="C19" s="528"/>
      <c r="D19" s="528"/>
      <c r="E19" s="528"/>
      <c r="F19" s="529"/>
      <c r="G19" s="530"/>
      <c r="H19" s="528"/>
      <c r="I19" s="528"/>
      <c r="J19" s="528"/>
      <c r="K19" s="528"/>
      <c r="L19" s="528"/>
      <c r="M19" s="528"/>
      <c r="N19" s="528"/>
      <c r="O19" s="528"/>
      <c r="P19" s="528"/>
      <c r="Q19" s="528"/>
      <c r="R19" s="528"/>
      <c r="S19" s="402"/>
    </row>
    <row r="20" spans="1:20" ht="18" customHeight="1" thickBot="1" x14ac:dyDescent="0.45">
      <c r="A20" s="401"/>
      <c r="B20" s="528"/>
      <c r="C20" s="527"/>
      <c r="D20" s="527"/>
      <c r="E20" s="528"/>
      <c r="F20" s="528"/>
      <c r="G20" s="530"/>
      <c r="H20" s="528"/>
      <c r="I20" s="528"/>
      <c r="J20" s="528"/>
      <c r="K20" s="529"/>
      <c r="L20" s="529"/>
      <c r="M20" s="528"/>
      <c r="N20" s="536"/>
      <c r="O20" s="537"/>
      <c r="P20" s="538"/>
      <c r="Q20" s="538"/>
      <c r="R20" s="538"/>
      <c r="S20" s="406"/>
      <c r="T20" s="407"/>
    </row>
    <row r="21" spans="1:20" ht="18" customHeight="1" x14ac:dyDescent="0.35">
      <c r="A21" s="401"/>
      <c r="B21" s="531"/>
      <c r="C21" s="531"/>
      <c r="D21" s="531"/>
      <c r="E21" s="531"/>
      <c r="F21" s="531"/>
      <c r="G21" s="531"/>
      <c r="H21" s="531"/>
      <c r="I21" s="531"/>
      <c r="J21" s="531"/>
      <c r="K21" s="531"/>
      <c r="L21" s="531"/>
      <c r="M21" s="531"/>
      <c r="N21" s="531"/>
      <c r="O21" s="531"/>
      <c r="P21" s="531"/>
      <c r="Q21" s="531"/>
      <c r="R21" s="531"/>
    </row>
    <row r="22" spans="1:20" ht="18" customHeight="1" x14ac:dyDescent="0.35">
      <c r="A22" s="401"/>
      <c r="B22" s="539"/>
      <c r="C22" s="527"/>
      <c r="D22" s="527"/>
      <c r="E22" s="528"/>
      <c r="F22" s="528"/>
      <c r="G22" s="528"/>
      <c r="H22" s="528"/>
      <c r="I22" s="528"/>
      <c r="J22" s="528"/>
      <c r="K22" s="535"/>
      <c r="L22" s="528"/>
      <c r="M22" s="528"/>
      <c r="N22" s="528"/>
      <c r="O22" s="528"/>
      <c r="P22" s="528"/>
      <c r="Q22" s="528"/>
      <c r="R22" s="528"/>
      <c r="S22" s="402"/>
    </row>
    <row r="23" spans="1:20" ht="18" customHeight="1" x14ac:dyDescent="0.35">
      <c r="A23" s="401"/>
      <c r="B23" s="408"/>
      <c r="C23" s="409"/>
      <c r="D23" s="409"/>
      <c r="E23" s="410"/>
      <c r="F23" s="410"/>
      <c r="G23" s="402"/>
      <c r="H23" s="402"/>
      <c r="I23" s="402"/>
      <c r="J23" s="402"/>
      <c r="K23" s="405"/>
      <c r="L23" s="402"/>
      <c r="M23" s="402"/>
      <c r="N23" s="402"/>
      <c r="O23" s="402"/>
      <c r="P23" s="402"/>
      <c r="Q23" s="402"/>
      <c r="R23" s="402"/>
      <c r="S23" s="402"/>
    </row>
    <row r="24" spans="1:20" ht="18" customHeight="1" x14ac:dyDescent="0.35">
      <c r="A24" s="401"/>
      <c r="B24" s="408"/>
      <c r="C24" s="409"/>
      <c r="D24" s="409"/>
      <c r="E24" s="410"/>
      <c r="F24" s="410"/>
      <c r="G24" s="402"/>
      <c r="H24" s="402"/>
      <c r="I24" s="402"/>
      <c r="J24" s="402"/>
      <c r="K24" s="405"/>
      <c r="L24" s="402"/>
      <c r="M24" s="402"/>
      <c r="N24" s="402"/>
      <c r="O24" s="402"/>
      <c r="P24" s="402"/>
      <c r="Q24" s="402"/>
      <c r="R24" s="402"/>
      <c r="S24" s="402"/>
    </row>
    <row r="25" spans="1:20" ht="14.65" customHeight="1" x14ac:dyDescent="0.35">
      <c r="A25" s="411"/>
      <c r="B25" s="402"/>
      <c r="C25" s="412"/>
      <c r="D25" s="412"/>
      <c r="E25" s="402"/>
      <c r="F25" s="402"/>
      <c r="G25" s="402"/>
      <c r="H25" s="402"/>
      <c r="I25" s="402"/>
      <c r="J25" s="402"/>
      <c r="K25" s="405"/>
      <c r="L25" s="405"/>
      <c r="M25" s="402"/>
      <c r="N25" s="402"/>
      <c r="O25" s="402"/>
      <c r="P25" s="402"/>
      <c r="Q25" s="402"/>
      <c r="R25" s="402"/>
      <c r="S25" s="402"/>
    </row>
    <row r="26" spans="1:20" x14ac:dyDescent="0.35">
      <c r="B26" s="413" t="s">
        <v>8246</v>
      </c>
      <c r="C26" s="414" t="s">
        <v>3755</v>
      </c>
      <c r="D26" s="414" t="s">
        <v>8247</v>
      </c>
      <c r="E26" s="413" t="s">
        <v>1039</v>
      </c>
    </row>
    <row r="27" spans="1:20" x14ac:dyDescent="0.35">
      <c r="B27" s="415">
        <f>COUNTIF(B9:B18,"&gt;0")</f>
        <v>4</v>
      </c>
      <c r="C27" s="416">
        <f>SUM(C9:C26)</f>
        <v>200</v>
      </c>
      <c r="D27" s="375">
        <f>SUM(D9:D22)</f>
        <v>1672.5</v>
      </c>
      <c r="E27" s="374">
        <f>SUM(C27+D27)/B27</f>
        <v>468.125</v>
      </c>
    </row>
    <row r="30" spans="1:20" x14ac:dyDescent="0.35">
      <c r="C30" s="416">
        <f>SUM(C9:C24)</f>
        <v>200</v>
      </c>
      <c r="D30" s="416">
        <f>SUM(D9:D24)</f>
        <v>1672.5</v>
      </c>
      <c r="E30" s="374">
        <f>D30+C30</f>
        <v>1872.5</v>
      </c>
    </row>
    <row r="33" spans="2:4" x14ac:dyDescent="0.35">
      <c r="B33" s="374" t="s">
        <v>8248</v>
      </c>
      <c r="C33" s="375">
        <v>1.5</v>
      </c>
      <c r="D33" s="375">
        <f>C33*B27</f>
        <v>6</v>
      </c>
    </row>
    <row r="34" spans="2:4" x14ac:dyDescent="0.35">
      <c r="B34" s="374" t="s">
        <v>8249</v>
      </c>
      <c r="C34" s="375">
        <v>0</v>
      </c>
      <c r="D34" s="375">
        <f>C34*4</f>
        <v>0</v>
      </c>
    </row>
    <row r="35" spans="2:4" x14ac:dyDescent="0.35">
      <c r="B35" s="374" t="s">
        <v>8250</v>
      </c>
      <c r="C35" s="375">
        <v>50</v>
      </c>
      <c r="D35" s="375">
        <f>C35*8</f>
        <v>400</v>
      </c>
    </row>
    <row r="36" spans="2:4" x14ac:dyDescent="0.35">
      <c r="B36" s="374" t="s">
        <v>538</v>
      </c>
      <c r="C36" s="375">
        <v>2</v>
      </c>
      <c r="D36" s="375">
        <v>10</v>
      </c>
    </row>
    <row r="37" spans="2:4" x14ac:dyDescent="0.35">
      <c r="B37" s="374" t="s">
        <v>8251</v>
      </c>
      <c r="C37" s="375">
        <v>0</v>
      </c>
      <c r="D37" s="375">
        <f>C37*B27</f>
        <v>0</v>
      </c>
    </row>
    <row r="38" spans="2:4" x14ac:dyDescent="0.35">
      <c r="B38" s="374" t="s">
        <v>8252</v>
      </c>
      <c r="C38" s="375">
        <v>0</v>
      </c>
      <c r="D38" s="375">
        <f>C38*4</f>
        <v>0</v>
      </c>
    </row>
    <row r="39" spans="2:4" x14ac:dyDescent="0.35">
      <c r="B39" s="374" t="s">
        <v>3595</v>
      </c>
      <c r="C39" s="417">
        <v>3.5999999999999997E-2</v>
      </c>
      <c r="D39" s="375">
        <f>C27*C39</f>
        <v>7.1999999999999993</v>
      </c>
    </row>
    <row r="41" spans="2:4" x14ac:dyDescent="0.35">
      <c r="C41" s="375" t="s">
        <v>509</v>
      </c>
      <c r="D41" s="375">
        <f>SUM(D33:D40)</f>
        <v>423.2</v>
      </c>
    </row>
    <row r="42" spans="2:4" x14ac:dyDescent="0.35">
      <c r="C42" s="375" t="s">
        <v>3914</v>
      </c>
      <c r="D42" s="416">
        <f>C30+D30-D41</f>
        <v>1449.3</v>
      </c>
    </row>
  </sheetData>
  <conditionalFormatting sqref="C42:D42">
    <cfRule type="cellIs" dxfId="0" priority="1" operator="lessThan">
      <formula>0</formula>
    </cfRule>
  </conditionalFormatting>
  <hyperlinks>
    <hyperlink ref="G11" r:id="rId1" xr:uid="{00000000-0004-0000-2700-000000000000}"/>
    <hyperlink ref="G15" r:id="rId2" xr:uid="{00000000-0004-0000-2700-000001000000}"/>
  </hyperlinks>
  <pageMargins left="0.25" right="0.25" top="0.75" bottom="0.75" header="0.3" footer="0.3"/>
  <pageSetup paperSize="9" scale="32" orientation="landscape"/>
  <headerFooter alignWithMargins="0">
    <oddHeader>&amp;LPage &amp;P of &amp;N&amp;C&amp;"Arial,Bold"&amp;14 Solihull - Tudor Court&amp;R&amp;"Arial,Bold"&amp;18 &amp;A</oddHeader>
    <oddFooter>&amp;L&amp;F&amp;R&amp;A</oddFoot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A1:C246"/>
  <sheetViews>
    <sheetView workbookViewId="0"/>
  </sheetViews>
  <sheetFormatPr defaultRowHeight="12.75" x14ac:dyDescent="0.35"/>
  <sheetData>
    <row r="1" spans="1:3" x14ac:dyDescent="0.35">
      <c r="A1" t="s">
        <v>8427</v>
      </c>
      <c r="B1" t="s">
        <v>8428</v>
      </c>
      <c r="C1" t="s">
        <v>8429</v>
      </c>
    </row>
    <row r="2" spans="1:3" x14ac:dyDescent="0.35">
      <c r="A2" t="s">
        <v>941</v>
      </c>
      <c r="B2" t="s">
        <v>205</v>
      </c>
      <c r="C2" t="s">
        <v>206</v>
      </c>
    </row>
    <row r="3" spans="1:3" x14ac:dyDescent="0.35">
      <c r="A3" t="s">
        <v>257</v>
      </c>
      <c r="B3" t="s">
        <v>205</v>
      </c>
      <c r="C3" t="s">
        <v>206</v>
      </c>
    </row>
    <row r="4" spans="1:3" x14ac:dyDescent="0.35">
      <c r="A4" t="s">
        <v>1067</v>
      </c>
      <c r="B4" t="s">
        <v>205</v>
      </c>
      <c r="C4" t="s">
        <v>206</v>
      </c>
    </row>
    <row r="5" spans="1:3" x14ac:dyDescent="0.35">
      <c r="A5" t="s">
        <v>1123</v>
      </c>
      <c r="B5" t="s">
        <v>268</v>
      </c>
      <c r="C5" t="s">
        <v>269</v>
      </c>
    </row>
    <row r="6" spans="1:3" x14ac:dyDescent="0.35">
      <c r="A6" t="s">
        <v>864</v>
      </c>
      <c r="B6" t="s">
        <v>205</v>
      </c>
      <c r="C6" t="s">
        <v>206</v>
      </c>
    </row>
    <row r="7" spans="1:3" x14ac:dyDescent="0.35">
      <c r="A7" t="s">
        <v>857</v>
      </c>
      <c r="B7" t="s">
        <v>342</v>
      </c>
      <c r="C7" t="s">
        <v>269</v>
      </c>
    </row>
    <row r="8" spans="1:3" x14ac:dyDescent="0.35">
      <c r="A8" t="s">
        <v>204</v>
      </c>
      <c r="B8" t="s">
        <v>205</v>
      </c>
      <c r="C8" t="s">
        <v>206</v>
      </c>
    </row>
    <row r="9" spans="1:3" x14ac:dyDescent="0.35">
      <c r="A9" t="s">
        <v>652</v>
      </c>
      <c r="B9" t="s">
        <v>201</v>
      </c>
      <c r="C9" t="s">
        <v>202</v>
      </c>
    </row>
    <row r="10" spans="1:3" x14ac:dyDescent="0.35">
      <c r="A10" t="s">
        <v>976</v>
      </c>
      <c r="B10" t="s">
        <v>205</v>
      </c>
      <c r="C10" t="s">
        <v>206</v>
      </c>
    </row>
    <row r="11" spans="1:3" x14ac:dyDescent="0.35">
      <c r="A11" t="s">
        <v>621</v>
      </c>
      <c r="B11" t="s">
        <v>205</v>
      </c>
      <c r="C11" t="s">
        <v>206</v>
      </c>
    </row>
    <row r="12" spans="1:3" x14ac:dyDescent="0.35">
      <c r="A12" t="s">
        <v>1263</v>
      </c>
      <c r="B12" t="s">
        <v>205</v>
      </c>
      <c r="C12" t="s">
        <v>206</v>
      </c>
    </row>
    <row r="13" spans="1:3" x14ac:dyDescent="0.35">
      <c r="A13" t="s">
        <v>1147</v>
      </c>
      <c r="B13" t="s">
        <v>205</v>
      </c>
      <c r="C13" t="s">
        <v>206</v>
      </c>
    </row>
    <row r="14" spans="1:3" x14ac:dyDescent="0.35">
      <c r="A14" t="s">
        <v>1205</v>
      </c>
      <c r="B14" t="s">
        <v>205</v>
      </c>
      <c r="C14" t="s">
        <v>206</v>
      </c>
    </row>
    <row r="15" spans="1:3" x14ac:dyDescent="0.35">
      <c r="A15" t="s">
        <v>360</v>
      </c>
      <c r="B15" t="s">
        <v>268</v>
      </c>
      <c r="C15" t="s">
        <v>269</v>
      </c>
    </row>
    <row r="16" spans="1:3" x14ac:dyDescent="0.35">
      <c r="A16" t="s">
        <v>1177</v>
      </c>
      <c r="B16" t="s">
        <v>205</v>
      </c>
      <c r="C16" t="s">
        <v>206</v>
      </c>
    </row>
    <row r="17" spans="1:3" x14ac:dyDescent="0.35">
      <c r="A17" t="s">
        <v>1184</v>
      </c>
      <c r="B17" t="s">
        <v>605</v>
      </c>
      <c r="C17" t="s">
        <v>226</v>
      </c>
    </row>
    <row r="18" spans="1:3" x14ac:dyDescent="0.35">
      <c r="A18" t="s">
        <v>935</v>
      </c>
      <c r="B18" t="s">
        <v>380</v>
      </c>
      <c r="C18" t="s">
        <v>226</v>
      </c>
    </row>
    <row r="19" spans="1:3" x14ac:dyDescent="0.35">
      <c r="A19" t="s">
        <v>1166</v>
      </c>
      <c r="B19" t="s">
        <v>834</v>
      </c>
      <c r="C19" t="s">
        <v>226</v>
      </c>
    </row>
    <row r="20" spans="1:3" x14ac:dyDescent="0.35">
      <c r="A20" t="s">
        <v>1231</v>
      </c>
      <c r="B20" t="s">
        <v>265</v>
      </c>
      <c r="C20" t="s">
        <v>206</v>
      </c>
    </row>
    <row r="21" spans="1:3" x14ac:dyDescent="0.35">
      <c r="A21" t="s">
        <v>1146</v>
      </c>
      <c r="B21" t="s">
        <v>265</v>
      </c>
      <c r="C21" t="s">
        <v>206</v>
      </c>
    </row>
    <row r="22" spans="1:3" x14ac:dyDescent="0.35">
      <c r="A22" t="s">
        <v>1150</v>
      </c>
      <c r="B22" t="s">
        <v>265</v>
      </c>
      <c r="C22" t="s">
        <v>206</v>
      </c>
    </row>
    <row r="23" spans="1:3" x14ac:dyDescent="0.35">
      <c r="A23" t="s">
        <v>1060</v>
      </c>
      <c r="B23" t="s">
        <v>268</v>
      </c>
      <c r="C23" t="s">
        <v>269</v>
      </c>
    </row>
    <row r="24" spans="1:3" x14ac:dyDescent="0.35">
      <c r="A24" t="s">
        <v>301</v>
      </c>
      <c r="B24" t="s">
        <v>265</v>
      </c>
      <c r="C24" t="s">
        <v>206</v>
      </c>
    </row>
    <row r="25" spans="1:3" x14ac:dyDescent="0.35">
      <c r="A25" t="s">
        <v>1092</v>
      </c>
      <c r="B25" t="s">
        <v>265</v>
      </c>
      <c r="C25" t="s">
        <v>206</v>
      </c>
    </row>
    <row r="26" spans="1:3" x14ac:dyDescent="0.35">
      <c r="A26" t="s">
        <v>1021</v>
      </c>
      <c r="B26" t="s">
        <v>265</v>
      </c>
      <c r="C26" t="s">
        <v>206</v>
      </c>
    </row>
    <row r="27" spans="1:3" x14ac:dyDescent="0.35">
      <c r="A27" t="s">
        <v>1170</v>
      </c>
      <c r="B27" t="s">
        <v>265</v>
      </c>
      <c r="C27" t="s">
        <v>206</v>
      </c>
    </row>
    <row r="28" spans="1:3" x14ac:dyDescent="0.35">
      <c r="A28" t="s">
        <v>699</v>
      </c>
      <c r="B28" t="s">
        <v>201</v>
      </c>
      <c r="C28" t="s">
        <v>202</v>
      </c>
    </row>
    <row r="29" spans="1:3" x14ac:dyDescent="0.35">
      <c r="A29" t="s">
        <v>1054</v>
      </c>
      <c r="B29" t="s">
        <v>265</v>
      </c>
      <c r="C29" t="s">
        <v>206</v>
      </c>
    </row>
    <row r="30" spans="1:3" x14ac:dyDescent="0.35">
      <c r="A30" t="s">
        <v>855</v>
      </c>
      <c r="B30" t="s">
        <v>657</v>
      </c>
      <c r="C30" t="s">
        <v>197</v>
      </c>
    </row>
    <row r="31" spans="1:3" x14ac:dyDescent="0.35">
      <c r="A31" t="s">
        <v>1113</v>
      </c>
      <c r="B31" t="s">
        <v>314</v>
      </c>
      <c r="C31" t="s">
        <v>269</v>
      </c>
    </row>
    <row r="32" spans="1:3" x14ac:dyDescent="0.35">
      <c r="A32" t="s">
        <v>880</v>
      </c>
      <c r="B32" t="s">
        <v>314</v>
      </c>
      <c r="C32" t="s">
        <v>269</v>
      </c>
    </row>
    <row r="33" spans="1:3" x14ac:dyDescent="0.35">
      <c r="A33" t="s">
        <v>1169</v>
      </c>
      <c r="B33" t="s">
        <v>314</v>
      </c>
      <c r="C33" t="s">
        <v>269</v>
      </c>
    </row>
    <row r="34" spans="1:3" x14ac:dyDescent="0.35">
      <c r="A34" t="s">
        <v>1076</v>
      </c>
      <c r="B34" t="s">
        <v>314</v>
      </c>
      <c r="C34" t="s">
        <v>269</v>
      </c>
    </row>
    <row r="35" spans="1:3" x14ac:dyDescent="0.35">
      <c r="A35" t="s">
        <v>313</v>
      </c>
      <c r="B35" t="s">
        <v>314</v>
      </c>
      <c r="C35" t="s">
        <v>269</v>
      </c>
    </row>
    <row r="36" spans="1:3" x14ac:dyDescent="0.35">
      <c r="A36" t="s">
        <v>1161</v>
      </c>
      <c r="B36" t="s">
        <v>774</v>
      </c>
      <c r="C36" t="s">
        <v>206</v>
      </c>
    </row>
    <row r="37" spans="1:3" x14ac:dyDescent="0.35">
      <c r="A37" t="s">
        <v>995</v>
      </c>
      <c r="B37" t="s">
        <v>774</v>
      </c>
      <c r="C37" t="s">
        <v>206</v>
      </c>
    </row>
    <row r="38" spans="1:3" x14ac:dyDescent="0.35">
      <c r="A38" t="s">
        <v>1209</v>
      </c>
      <c r="B38" t="s">
        <v>774</v>
      </c>
      <c r="C38" t="s">
        <v>206</v>
      </c>
    </row>
    <row r="39" spans="1:3" x14ac:dyDescent="0.35">
      <c r="A39" t="s">
        <v>1062</v>
      </c>
      <c r="B39" t="s">
        <v>774</v>
      </c>
      <c r="C39" t="s">
        <v>206</v>
      </c>
    </row>
    <row r="40" spans="1:3" x14ac:dyDescent="0.35">
      <c r="A40" t="s">
        <v>1103</v>
      </c>
      <c r="B40" t="s">
        <v>774</v>
      </c>
      <c r="C40" t="s">
        <v>206</v>
      </c>
    </row>
    <row r="41" spans="1:3" x14ac:dyDescent="0.35">
      <c r="A41" t="s">
        <v>1023</v>
      </c>
      <c r="B41" t="s">
        <v>774</v>
      </c>
      <c r="C41" t="s">
        <v>206</v>
      </c>
    </row>
    <row r="42" spans="1:3" x14ac:dyDescent="0.35">
      <c r="A42" t="s">
        <v>773</v>
      </c>
      <c r="B42" t="s">
        <v>774</v>
      </c>
      <c r="C42" t="s">
        <v>206</v>
      </c>
    </row>
    <row r="43" spans="1:3" x14ac:dyDescent="0.35">
      <c r="A43" t="s">
        <v>328</v>
      </c>
      <c r="B43" t="s">
        <v>314</v>
      </c>
      <c r="C43" t="s">
        <v>269</v>
      </c>
    </row>
    <row r="44" spans="1:3" x14ac:dyDescent="0.35">
      <c r="A44" t="s">
        <v>1099</v>
      </c>
      <c r="B44" t="s">
        <v>774</v>
      </c>
      <c r="C44" t="s">
        <v>206</v>
      </c>
    </row>
    <row r="45" spans="1:3" x14ac:dyDescent="0.35">
      <c r="A45" t="s">
        <v>654</v>
      </c>
      <c r="B45" t="s">
        <v>342</v>
      </c>
      <c r="C45" t="s">
        <v>269</v>
      </c>
    </row>
    <row r="46" spans="1:3" x14ac:dyDescent="0.35">
      <c r="A46" t="s">
        <v>878</v>
      </c>
      <c r="B46" t="s">
        <v>320</v>
      </c>
      <c r="C46" t="s">
        <v>304</v>
      </c>
    </row>
    <row r="47" spans="1:3" x14ac:dyDescent="0.35">
      <c r="A47" t="s">
        <v>1168</v>
      </c>
      <c r="B47" t="s">
        <v>774</v>
      </c>
      <c r="C47" t="s">
        <v>206</v>
      </c>
    </row>
    <row r="48" spans="1:3" x14ac:dyDescent="0.35">
      <c r="A48" t="s">
        <v>1133</v>
      </c>
      <c r="B48" t="s">
        <v>774</v>
      </c>
      <c r="C48" t="s">
        <v>206</v>
      </c>
    </row>
    <row r="49" spans="1:3" x14ac:dyDescent="0.35">
      <c r="A49" t="s">
        <v>1071</v>
      </c>
      <c r="B49" t="s">
        <v>657</v>
      </c>
      <c r="C49" t="s">
        <v>197</v>
      </c>
    </row>
    <row r="50" spans="1:3" x14ac:dyDescent="0.35">
      <c r="A50" t="s">
        <v>1025</v>
      </c>
      <c r="B50" t="s">
        <v>657</v>
      </c>
      <c r="C50" t="s">
        <v>197</v>
      </c>
    </row>
    <row r="51" spans="1:3" x14ac:dyDescent="0.35">
      <c r="A51" t="s">
        <v>341</v>
      </c>
      <c r="B51" t="s">
        <v>342</v>
      </c>
      <c r="C51" t="s">
        <v>269</v>
      </c>
    </row>
    <row r="52" spans="1:3" x14ac:dyDescent="0.35">
      <c r="A52" t="s">
        <v>662</v>
      </c>
      <c r="B52" t="s">
        <v>314</v>
      </c>
      <c r="C52" t="s">
        <v>269</v>
      </c>
    </row>
    <row r="53" spans="1:3" x14ac:dyDescent="0.35">
      <c r="A53" t="s">
        <v>1002</v>
      </c>
      <c r="B53" t="s">
        <v>342</v>
      </c>
      <c r="C53" t="s">
        <v>269</v>
      </c>
    </row>
    <row r="54" spans="1:3" x14ac:dyDescent="0.35">
      <c r="A54" t="s">
        <v>1101</v>
      </c>
      <c r="B54" t="s">
        <v>605</v>
      </c>
      <c r="C54" t="s">
        <v>226</v>
      </c>
    </row>
    <row r="55" spans="1:3" x14ac:dyDescent="0.35">
      <c r="A55" t="s">
        <v>8430</v>
      </c>
      <c r="B55" t="s">
        <v>605</v>
      </c>
      <c r="C55" t="s">
        <v>226</v>
      </c>
    </row>
    <row r="56" spans="1:3" x14ac:dyDescent="0.35">
      <c r="A56" t="s">
        <v>604</v>
      </c>
      <c r="B56" t="s">
        <v>605</v>
      </c>
      <c r="C56" t="s">
        <v>226</v>
      </c>
    </row>
    <row r="57" spans="1:3" x14ac:dyDescent="0.35">
      <c r="A57" t="s">
        <v>777</v>
      </c>
      <c r="B57" t="s">
        <v>201</v>
      </c>
      <c r="C57" t="s">
        <v>202</v>
      </c>
    </row>
    <row r="58" spans="1:3" x14ac:dyDescent="0.35">
      <c r="A58" t="s">
        <v>779</v>
      </c>
      <c r="B58" t="s">
        <v>201</v>
      </c>
      <c r="C58" t="s">
        <v>202</v>
      </c>
    </row>
    <row r="59" spans="1:3" x14ac:dyDescent="0.35">
      <c r="A59" t="s">
        <v>200</v>
      </c>
      <c r="B59" t="s">
        <v>201</v>
      </c>
      <c r="C59" t="s">
        <v>202</v>
      </c>
    </row>
    <row r="60" spans="1:3" x14ac:dyDescent="0.35">
      <c r="A60" t="s">
        <v>749</v>
      </c>
      <c r="B60" t="s">
        <v>201</v>
      </c>
      <c r="C60" t="s">
        <v>202</v>
      </c>
    </row>
    <row r="61" spans="1:3" x14ac:dyDescent="0.35">
      <c r="A61" t="s">
        <v>308</v>
      </c>
      <c r="B61" t="s">
        <v>201</v>
      </c>
      <c r="C61" t="s">
        <v>202</v>
      </c>
    </row>
    <row r="62" spans="1:3" x14ac:dyDescent="0.35">
      <c r="A62" t="s">
        <v>624</v>
      </c>
      <c r="B62" t="s">
        <v>201</v>
      </c>
      <c r="C62" t="s">
        <v>202</v>
      </c>
    </row>
    <row r="63" spans="1:3" x14ac:dyDescent="0.35">
      <c r="A63" t="s">
        <v>939</v>
      </c>
      <c r="B63" t="s">
        <v>320</v>
      </c>
      <c r="C63" t="s">
        <v>304</v>
      </c>
    </row>
    <row r="64" spans="1:3" x14ac:dyDescent="0.35">
      <c r="A64" t="s">
        <v>372</v>
      </c>
      <c r="B64" t="s">
        <v>373</v>
      </c>
      <c r="C64" t="s">
        <v>222</v>
      </c>
    </row>
    <row r="65" spans="1:3" x14ac:dyDescent="0.35">
      <c r="A65" t="s">
        <v>297</v>
      </c>
      <c r="B65" t="s">
        <v>201</v>
      </c>
      <c r="C65" t="s">
        <v>202</v>
      </c>
    </row>
    <row r="66" spans="1:3" x14ac:dyDescent="0.35">
      <c r="A66" t="s">
        <v>1134</v>
      </c>
      <c r="B66" t="s">
        <v>294</v>
      </c>
      <c r="C66" t="s">
        <v>295</v>
      </c>
    </row>
    <row r="67" spans="1:3" x14ac:dyDescent="0.35">
      <c r="A67" t="s">
        <v>742</v>
      </c>
      <c r="B67" t="s">
        <v>353</v>
      </c>
      <c r="C67" t="s">
        <v>354</v>
      </c>
    </row>
    <row r="68" spans="1:3" x14ac:dyDescent="0.35">
      <c r="A68" t="s">
        <v>1217</v>
      </c>
      <c r="B68" t="s">
        <v>244</v>
      </c>
      <c r="C68" t="s">
        <v>226</v>
      </c>
    </row>
    <row r="69" spans="1:3" x14ac:dyDescent="0.35">
      <c r="A69" t="s">
        <v>89</v>
      </c>
      <c r="B69" t="s">
        <v>333</v>
      </c>
      <c r="C69" t="s">
        <v>286</v>
      </c>
    </row>
    <row r="70" spans="1:3" x14ac:dyDescent="0.35">
      <c r="A70" t="s">
        <v>791</v>
      </c>
      <c r="B70" t="s">
        <v>320</v>
      </c>
      <c r="C70" t="s">
        <v>304</v>
      </c>
    </row>
    <row r="71" spans="1:3" x14ac:dyDescent="0.35">
      <c r="A71" t="s">
        <v>337</v>
      </c>
      <c r="B71" t="s">
        <v>320</v>
      </c>
      <c r="C71" t="s">
        <v>304</v>
      </c>
    </row>
    <row r="72" spans="1:3" x14ac:dyDescent="0.35">
      <c r="A72" t="s">
        <v>1065</v>
      </c>
      <c r="B72" t="s">
        <v>320</v>
      </c>
      <c r="C72" t="s">
        <v>304</v>
      </c>
    </row>
    <row r="73" spans="1:3" x14ac:dyDescent="0.35">
      <c r="A73" t="s">
        <v>8431</v>
      </c>
      <c r="B73" t="s">
        <v>231</v>
      </c>
      <c r="C73" t="s">
        <v>232</v>
      </c>
    </row>
    <row r="74" spans="1:3" x14ac:dyDescent="0.35">
      <c r="A74" t="s">
        <v>8432</v>
      </c>
      <c r="B74" t="s">
        <v>378</v>
      </c>
      <c r="C74" t="s">
        <v>226</v>
      </c>
    </row>
    <row r="75" spans="1:3" x14ac:dyDescent="0.35">
      <c r="A75" t="s">
        <v>1219</v>
      </c>
      <c r="B75" t="s">
        <v>236</v>
      </c>
      <c r="C75" t="s">
        <v>232</v>
      </c>
    </row>
    <row r="76" spans="1:3" x14ac:dyDescent="0.35">
      <c r="A76" t="s">
        <v>177</v>
      </c>
      <c r="B76" t="s">
        <v>210</v>
      </c>
      <c r="C76" t="s">
        <v>211</v>
      </c>
    </row>
    <row r="77" spans="1:3" x14ac:dyDescent="0.35">
      <c r="A77" t="s">
        <v>955</v>
      </c>
      <c r="B77" t="s">
        <v>617</v>
      </c>
      <c r="C77" t="s">
        <v>232</v>
      </c>
    </row>
    <row r="78" spans="1:3" x14ac:dyDescent="0.35">
      <c r="A78" t="s">
        <v>719</v>
      </c>
      <c r="B78" t="s">
        <v>617</v>
      </c>
      <c r="C78" t="s">
        <v>232</v>
      </c>
    </row>
    <row r="79" spans="1:3" x14ac:dyDescent="0.35">
      <c r="A79" t="s">
        <v>717</v>
      </c>
      <c r="B79" t="s">
        <v>617</v>
      </c>
      <c r="C79" t="s">
        <v>232</v>
      </c>
    </row>
    <row r="80" spans="1:3" x14ac:dyDescent="0.35">
      <c r="A80" t="s">
        <v>8433</v>
      </c>
      <c r="B80" t="s">
        <v>617</v>
      </c>
      <c r="C80" t="s">
        <v>232</v>
      </c>
    </row>
    <row r="81" spans="1:3" x14ac:dyDescent="0.35">
      <c r="A81" t="s">
        <v>636</v>
      </c>
      <c r="B81" t="s">
        <v>617</v>
      </c>
      <c r="C81" t="s">
        <v>232</v>
      </c>
    </row>
    <row r="82" spans="1:3" x14ac:dyDescent="0.35">
      <c r="A82" t="s">
        <v>8434</v>
      </c>
      <c r="B82" t="s">
        <v>617</v>
      </c>
      <c r="C82" t="s">
        <v>232</v>
      </c>
    </row>
    <row r="83" spans="1:3" x14ac:dyDescent="0.35">
      <c r="A83" t="s">
        <v>616</v>
      </c>
      <c r="B83" t="s">
        <v>617</v>
      </c>
      <c r="C83" t="s">
        <v>232</v>
      </c>
    </row>
    <row r="84" spans="1:3" x14ac:dyDescent="0.35">
      <c r="A84" t="s">
        <v>656</v>
      </c>
      <c r="B84" t="s">
        <v>657</v>
      </c>
      <c r="C84" t="s">
        <v>197</v>
      </c>
    </row>
    <row r="85" spans="1:3" x14ac:dyDescent="0.35">
      <c r="A85" t="s">
        <v>1180</v>
      </c>
      <c r="B85" t="s">
        <v>657</v>
      </c>
      <c r="C85" t="s">
        <v>197</v>
      </c>
    </row>
    <row r="86" spans="1:3" x14ac:dyDescent="0.35">
      <c r="A86" t="s">
        <v>319</v>
      </c>
      <c r="B86" t="s">
        <v>320</v>
      </c>
      <c r="C86" t="s">
        <v>304</v>
      </c>
    </row>
    <row r="87" spans="1:3" x14ac:dyDescent="0.35">
      <c r="A87" t="s">
        <v>303</v>
      </c>
      <c r="B87" t="s">
        <v>254</v>
      </c>
    </row>
    <row r="88" spans="1:3" x14ac:dyDescent="0.35">
      <c r="A88" t="s">
        <v>1087</v>
      </c>
      <c r="B88" t="s">
        <v>231</v>
      </c>
      <c r="C88" t="s">
        <v>232</v>
      </c>
    </row>
    <row r="89" spans="1:3" x14ac:dyDescent="0.35">
      <c r="A89" t="s">
        <v>230</v>
      </c>
      <c r="B89" t="s">
        <v>231</v>
      </c>
      <c r="C89" t="s">
        <v>232</v>
      </c>
    </row>
    <row r="90" spans="1:3" x14ac:dyDescent="0.35">
      <c r="A90" t="s">
        <v>1228</v>
      </c>
      <c r="B90" t="s">
        <v>378</v>
      </c>
      <c r="C90" t="s">
        <v>226</v>
      </c>
    </row>
    <row r="91" spans="1:3" x14ac:dyDescent="0.35">
      <c r="A91" t="s">
        <v>8435</v>
      </c>
      <c r="B91" t="s">
        <v>380</v>
      </c>
      <c r="C91" t="s">
        <v>226</v>
      </c>
    </row>
    <row r="92" spans="1:3" x14ac:dyDescent="0.35">
      <c r="A92" t="s">
        <v>253</v>
      </c>
      <c r="B92" t="s">
        <v>299</v>
      </c>
      <c r="C92" t="s">
        <v>255</v>
      </c>
    </row>
    <row r="93" spans="1:3" x14ac:dyDescent="0.35">
      <c r="A93" t="s">
        <v>195</v>
      </c>
      <c r="B93" t="s">
        <v>196</v>
      </c>
      <c r="C93" t="s">
        <v>197</v>
      </c>
    </row>
    <row r="94" spans="1:3" x14ac:dyDescent="0.35">
      <c r="A94" t="s">
        <v>722</v>
      </c>
      <c r="B94" t="s">
        <v>657</v>
      </c>
      <c r="C94" t="s">
        <v>197</v>
      </c>
    </row>
    <row r="95" spans="1:3" x14ac:dyDescent="0.35">
      <c r="A95" t="s">
        <v>580</v>
      </c>
      <c r="B95" t="s">
        <v>196</v>
      </c>
      <c r="C95" t="s">
        <v>197</v>
      </c>
    </row>
    <row r="96" spans="1:3" x14ac:dyDescent="0.35">
      <c r="A96" t="s">
        <v>332</v>
      </c>
      <c r="B96" t="s">
        <v>333</v>
      </c>
      <c r="C96" t="s">
        <v>286</v>
      </c>
    </row>
    <row r="97" spans="1:3" x14ac:dyDescent="0.35">
      <c r="A97" t="s">
        <v>1234</v>
      </c>
      <c r="B97" t="s">
        <v>285</v>
      </c>
      <c r="C97" t="s">
        <v>286</v>
      </c>
    </row>
    <row r="98" spans="1:3" x14ac:dyDescent="0.35">
      <c r="A98" t="s">
        <v>472</v>
      </c>
      <c r="B98" t="s">
        <v>380</v>
      </c>
      <c r="C98" t="s">
        <v>226</v>
      </c>
    </row>
    <row r="99" spans="1:3" x14ac:dyDescent="0.35">
      <c r="A99" t="s">
        <v>1202</v>
      </c>
      <c r="B99" t="s">
        <v>1203</v>
      </c>
      <c r="C99" t="s">
        <v>226</v>
      </c>
    </row>
    <row r="100" spans="1:3" x14ac:dyDescent="0.35">
      <c r="A100" t="s">
        <v>1271</v>
      </c>
      <c r="B100" t="s">
        <v>1107</v>
      </c>
      <c r="C100" t="s">
        <v>226</v>
      </c>
    </row>
    <row r="101" spans="1:3" x14ac:dyDescent="0.35">
      <c r="A101" t="s">
        <v>993</v>
      </c>
      <c r="B101" t="s">
        <v>299</v>
      </c>
      <c r="C101" t="s">
        <v>255</v>
      </c>
    </row>
    <row r="102" spans="1:3" x14ac:dyDescent="0.35">
      <c r="A102" t="s">
        <v>1052</v>
      </c>
      <c r="B102" t="s">
        <v>299</v>
      </c>
      <c r="C102" t="s">
        <v>255</v>
      </c>
    </row>
    <row r="103" spans="1:3" x14ac:dyDescent="0.35">
      <c r="A103" t="s">
        <v>1270</v>
      </c>
      <c r="B103" t="s">
        <v>244</v>
      </c>
      <c r="C103" t="s">
        <v>226</v>
      </c>
    </row>
    <row r="104" spans="1:3" x14ac:dyDescent="0.35">
      <c r="A104" t="s">
        <v>271</v>
      </c>
      <c r="B104" t="s">
        <v>221</v>
      </c>
      <c r="C104" t="s">
        <v>222</v>
      </c>
    </row>
    <row r="105" spans="1:3" x14ac:dyDescent="0.35">
      <c r="A105" t="s">
        <v>228</v>
      </c>
      <c r="B105" t="s">
        <v>210</v>
      </c>
      <c r="C105" t="s">
        <v>211</v>
      </c>
    </row>
    <row r="106" spans="1:3" x14ac:dyDescent="0.35">
      <c r="A106" t="s">
        <v>734</v>
      </c>
      <c r="B106" t="s">
        <v>210</v>
      </c>
      <c r="C106" t="s">
        <v>211</v>
      </c>
    </row>
    <row r="107" spans="1:3" x14ac:dyDescent="0.35">
      <c r="A107" t="s">
        <v>344</v>
      </c>
      <c r="B107" t="s">
        <v>210</v>
      </c>
      <c r="C107" t="s">
        <v>211</v>
      </c>
    </row>
    <row r="108" spans="1:3" x14ac:dyDescent="0.35">
      <c r="A108" t="s">
        <v>609</v>
      </c>
      <c r="B108" t="s">
        <v>210</v>
      </c>
      <c r="C108" t="s">
        <v>211</v>
      </c>
    </row>
    <row r="109" spans="1:3" x14ac:dyDescent="0.35">
      <c r="A109" t="s">
        <v>862</v>
      </c>
      <c r="B109" t="s">
        <v>201</v>
      </c>
      <c r="C109" t="s">
        <v>202</v>
      </c>
    </row>
    <row r="110" spans="1:3" x14ac:dyDescent="0.35">
      <c r="A110" t="s">
        <v>495</v>
      </c>
      <c r="B110" t="s">
        <v>1226</v>
      </c>
      <c r="C110" t="s">
        <v>222</v>
      </c>
    </row>
    <row r="111" spans="1:3" x14ac:dyDescent="0.35">
      <c r="A111" t="s">
        <v>969</v>
      </c>
      <c r="B111" t="s">
        <v>201</v>
      </c>
      <c r="C111" t="s">
        <v>202</v>
      </c>
    </row>
    <row r="112" spans="1:3" x14ac:dyDescent="0.35">
      <c r="A112" t="s">
        <v>1004</v>
      </c>
      <c r="B112" t="s">
        <v>201</v>
      </c>
      <c r="C112" t="s">
        <v>202</v>
      </c>
    </row>
    <row r="113" spans="1:3" x14ac:dyDescent="0.35">
      <c r="A113" t="s">
        <v>866</v>
      </c>
      <c r="B113" t="s">
        <v>201</v>
      </c>
      <c r="C113" t="s">
        <v>202</v>
      </c>
    </row>
    <row r="114" spans="1:3" x14ac:dyDescent="0.35">
      <c r="A114" t="s">
        <v>697</v>
      </c>
      <c r="B114" t="s">
        <v>201</v>
      </c>
      <c r="C114" t="s">
        <v>202</v>
      </c>
    </row>
    <row r="115" spans="1:3" x14ac:dyDescent="0.35">
      <c r="A115" t="s">
        <v>8436</v>
      </c>
      <c r="B115" t="s">
        <v>244</v>
      </c>
      <c r="C115" t="s">
        <v>226</v>
      </c>
    </row>
    <row r="116" spans="1:3" x14ac:dyDescent="0.35">
      <c r="A116" t="s">
        <v>681</v>
      </c>
      <c r="B116" t="s">
        <v>244</v>
      </c>
      <c r="C116" t="s">
        <v>226</v>
      </c>
    </row>
    <row r="117" spans="1:3" x14ac:dyDescent="0.35">
      <c r="A117" t="s">
        <v>413</v>
      </c>
      <c r="B117" t="s">
        <v>201</v>
      </c>
      <c r="C117" t="s">
        <v>202</v>
      </c>
    </row>
    <row r="118" spans="1:3" x14ac:dyDescent="0.35">
      <c r="A118" t="s">
        <v>1111</v>
      </c>
      <c r="B118" t="s">
        <v>758</v>
      </c>
      <c r="C118" t="s">
        <v>222</v>
      </c>
    </row>
    <row r="119" spans="1:3" x14ac:dyDescent="0.35">
      <c r="A119" t="s">
        <v>1020</v>
      </c>
      <c r="B119" t="s">
        <v>758</v>
      </c>
      <c r="C119" t="s">
        <v>222</v>
      </c>
    </row>
    <row r="120" spans="1:3" x14ac:dyDescent="0.35">
      <c r="A120" t="s">
        <v>757</v>
      </c>
      <c r="B120" t="s">
        <v>758</v>
      </c>
      <c r="C120" t="s">
        <v>222</v>
      </c>
    </row>
    <row r="121" spans="1:3" x14ac:dyDescent="0.35">
      <c r="A121" t="s">
        <v>264</v>
      </c>
      <c r="B121" t="s">
        <v>265</v>
      </c>
      <c r="C121" t="s">
        <v>206</v>
      </c>
    </row>
    <row r="122" spans="1:3" x14ac:dyDescent="0.35">
      <c r="A122" t="s">
        <v>224</v>
      </c>
      <c r="B122" t="s">
        <v>225</v>
      </c>
      <c r="C122" t="s">
        <v>226</v>
      </c>
    </row>
    <row r="123" spans="1:3" x14ac:dyDescent="0.35">
      <c r="A123" t="s">
        <v>8437</v>
      </c>
      <c r="B123" t="s">
        <v>225</v>
      </c>
      <c r="C123" t="s">
        <v>226</v>
      </c>
    </row>
    <row r="124" spans="1:3" x14ac:dyDescent="0.35">
      <c r="A124" t="s">
        <v>886</v>
      </c>
      <c r="B124" t="s">
        <v>225</v>
      </c>
      <c r="C124" t="s">
        <v>226</v>
      </c>
    </row>
    <row r="125" spans="1:3" x14ac:dyDescent="0.35">
      <c r="A125" t="s">
        <v>1016</v>
      </c>
      <c r="B125" t="s">
        <v>280</v>
      </c>
      <c r="C125" t="s">
        <v>226</v>
      </c>
    </row>
    <row r="126" spans="1:3" x14ac:dyDescent="0.35">
      <c r="A126" t="s">
        <v>8438</v>
      </c>
      <c r="B126" t="s">
        <v>280</v>
      </c>
      <c r="C126" t="s">
        <v>226</v>
      </c>
    </row>
    <row r="127" spans="1:3" x14ac:dyDescent="0.35">
      <c r="A127" t="s">
        <v>801</v>
      </c>
      <c r="B127" t="s">
        <v>280</v>
      </c>
      <c r="C127" t="s">
        <v>226</v>
      </c>
    </row>
    <row r="128" spans="1:3" x14ac:dyDescent="0.35">
      <c r="A128" t="s">
        <v>279</v>
      </c>
      <c r="B128" t="s">
        <v>280</v>
      </c>
      <c r="C128" t="s">
        <v>226</v>
      </c>
    </row>
    <row r="129" spans="1:3" x14ac:dyDescent="0.35">
      <c r="A129" t="s">
        <v>1236</v>
      </c>
      <c r="B129" t="s">
        <v>1237</v>
      </c>
      <c r="C129" t="s">
        <v>197</v>
      </c>
    </row>
    <row r="130" spans="1:3" x14ac:dyDescent="0.35">
      <c r="A130" t="s">
        <v>209</v>
      </c>
      <c r="B130" t="s">
        <v>210</v>
      </c>
      <c r="C130" t="s">
        <v>211</v>
      </c>
    </row>
    <row r="131" spans="1:3" x14ac:dyDescent="0.35">
      <c r="A131" t="s">
        <v>1171</v>
      </c>
      <c r="B131" t="s">
        <v>1172</v>
      </c>
      <c r="C131" t="s">
        <v>222</v>
      </c>
    </row>
    <row r="132" spans="1:3" x14ac:dyDescent="0.35">
      <c r="A132" t="s">
        <v>339</v>
      </c>
      <c r="B132" t="s">
        <v>254</v>
      </c>
    </row>
    <row r="133" spans="1:3" x14ac:dyDescent="0.35">
      <c r="A133" t="s">
        <v>468</v>
      </c>
      <c r="B133" t="s">
        <v>221</v>
      </c>
      <c r="C133" t="s">
        <v>222</v>
      </c>
    </row>
    <row r="134" spans="1:3" x14ac:dyDescent="0.35">
      <c r="A134" t="s">
        <v>781</v>
      </c>
      <c r="B134" t="s">
        <v>758</v>
      </c>
      <c r="C134" t="s">
        <v>222</v>
      </c>
    </row>
    <row r="135" spans="1:3" x14ac:dyDescent="0.35">
      <c r="A135" t="s">
        <v>219</v>
      </c>
      <c r="B135" t="s">
        <v>221</v>
      </c>
      <c r="C135" t="s">
        <v>222</v>
      </c>
    </row>
    <row r="136" spans="1:3" x14ac:dyDescent="0.35">
      <c r="A136" t="s">
        <v>1260</v>
      </c>
      <c r="B136" t="s">
        <v>325</v>
      </c>
      <c r="C136" t="s">
        <v>226</v>
      </c>
    </row>
    <row r="137" spans="1:3" x14ac:dyDescent="0.35">
      <c r="A137" t="s">
        <v>785</v>
      </c>
      <c r="B137" t="s">
        <v>325</v>
      </c>
      <c r="C137" t="s">
        <v>226</v>
      </c>
    </row>
    <row r="138" spans="1:3" x14ac:dyDescent="0.35">
      <c r="A138" t="s">
        <v>809</v>
      </c>
      <c r="B138" t="s">
        <v>739</v>
      </c>
      <c r="C138" t="s">
        <v>226</v>
      </c>
    </row>
    <row r="139" spans="1:3" x14ac:dyDescent="0.35">
      <c r="A139" t="s">
        <v>998</v>
      </c>
      <c r="B139" t="s">
        <v>254</v>
      </c>
    </row>
    <row r="140" spans="1:3" x14ac:dyDescent="0.35">
      <c r="A140" t="s">
        <v>1132</v>
      </c>
      <c r="B140" t="s">
        <v>254</v>
      </c>
    </row>
    <row r="141" spans="1:3" x14ac:dyDescent="0.35">
      <c r="A141" t="s">
        <v>8439</v>
      </c>
      <c r="B141" t="s">
        <v>317</v>
      </c>
      <c r="C141" t="s">
        <v>226</v>
      </c>
    </row>
    <row r="142" spans="1:3" x14ac:dyDescent="0.35">
      <c r="A142" t="s">
        <v>1083</v>
      </c>
      <c r="B142" t="s">
        <v>333</v>
      </c>
      <c r="C142" t="s">
        <v>286</v>
      </c>
    </row>
    <row r="143" spans="1:3" x14ac:dyDescent="0.35">
      <c r="A143" t="s">
        <v>316</v>
      </c>
      <c r="B143" t="s">
        <v>317</v>
      </c>
      <c r="C143" t="s">
        <v>226</v>
      </c>
    </row>
    <row r="144" spans="1:3" x14ac:dyDescent="0.35">
      <c r="A144" t="s">
        <v>578</v>
      </c>
      <c r="B144" t="s">
        <v>317</v>
      </c>
      <c r="C144" t="s">
        <v>226</v>
      </c>
    </row>
    <row r="145" spans="1:3" x14ac:dyDescent="0.35">
      <c r="A145" t="s">
        <v>1212</v>
      </c>
      <c r="B145" t="s">
        <v>317</v>
      </c>
      <c r="C145" t="s">
        <v>226</v>
      </c>
    </row>
    <row r="146" spans="1:3" x14ac:dyDescent="0.35">
      <c r="A146" t="s">
        <v>1032</v>
      </c>
      <c r="B146" t="s">
        <v>353</v>
      </c>
      <c r="C146" t="s">
        <v>354</v>
      </c>
    </row>
    <row r="147" spans="1:3" x14ac:dyDescent="0.35">
      <c r="A147" t="s">
        <v>8440</v>
      </c>
      <c r="B147" t="s">
        <v>282</v>
      </c>
      <c r="C147" t="s">
        <v>226</v>
      </c>
    </row>
    <row r="148" spans="1:3" x14ac:dyDescent="0.35">
      <c r="A148" t="s">
        <v>783</v>
      </c>
      <c r="B148" t="s">
        <v>317</v>
      </c>
      <c r="C148" t="s">
        <v>226</v>
      </c>
    </row>
    <row r="149" spans="1:3" x14ac:dyDescent="0.35">
      <c r="A149" t="s">
        <v>1267</v>
      </c>
      <c r="B149" t="s">
        <v>215</v>
      </c>
      <c r="C149" t="s">
        <v>216</v>
      </c>
    </row>
    <row r="150" spans="1:3" x14ac:dyDescent="0.35">
      <c r="A150" t="s">
        <v>1201</v>
      </c>
      <c r="B150" t="s">
        <v>879</v>
      </c>
      <c r="C150" t="s">
        <v>222</v>
      </c>
    </row>
    <row r="151" spans="1:3" x14ac:dyDescent="0.35">
      <c r="A151" t="s">
        <v>463</v>
      </c>
      <c r="B151" t="s">
        <v>879</v>
      </c>
      <c r="C151" t="s">
        <v>222</v>
      </c>
    </row>
    <row r="152" spans="1:3" x14ac:dyDescent="0.35">
      <c r="A152" t="s">
        <v>249</v>
      </c>
      <c r="B152" t="s">
        <v>250</v>
      </c>
      <c r="C152" t="s">
        <v>222</v>
      </c>
    </row>
    <row r="153" spans="1:3" x14ac:dyDescent="0.35">
      <c r="A153" t="s">
        <v>281</v>
      </c>
      <c r="B153" t="s">
        <v>282</v>
      </c>
      <c r="C153" t="s">
        <v>226</v>
      </c>
    </row>
    <row r="154" spans="1:3" x14ac:dyDescent="0.35">
      <c r="A154" t="s">
        <v>695</v>
      </c>
      <c r="B154" t="s">
        <v>282</v>
      </c>
      <c r="C154" t="s">
        <v>226</v>
      </c>
    </row>
    <row r="155" spans="1:3" x14ac:dyDescent="0.35">
      <c r="A155" t="s">
        <v>8441</v>
      </c>
      <c r="B155" t="s">
        <v>282</v>
      </c>
      <c r="C155" t="s">
        <v>226</v>
      </c>
    </row>
    <row r="156" spans="1:3" x14ac:dyDescent="0.35">
      <c r="A156" t="s">
        <v>762</v>
      </c>
      <c r="B156" t="s">
        <v>282</v>
      </c>
      <c r="C156" t="s">
        <v>226</v>
      </c>
    </row>
    <row r="157" spans="1:3" x14ac:dyDescent="0.35">
      <c r="A157" t="s">
        <v>214</v>
      </c>
      <c r="B157" t="s">
        <v>215</v>
      </c>
      <c r="C157" t="s">
        <v>216</v>
      </c>
    </row>
    <row r="158" spans="1:3" x14ac:dyDescent="0.35">
      <c r="A158" t="s">
        <v>291</v>
      </c>
      <c r="B158" t="s">
        <v>215</v>
      </c>
      <c r="C158" t="s">
        <v>216</v>
      </c>
    </row>
    <row r="159" spans="1:3" x14ac:dyDescent="0.35">
      <c r="A159" t="s">
        <v>8442</v>
      </c>
      <c r="B159" t="s">
        <v>378</v>
      </c>
      <c r="C159" t="s">
        <v>226</v>
      </c>
    </row>
    <row r="160" spans="1:3" x14ac:dyDescent="0.35">
      <c r="A160" t="s">
        <v>788</v>
      </c>
      <c r="B160" t="s">
        <v>378</v>
      </c>
      <c r="C160" t="s">
        <v>226</v>
      </c>
    </row>
    <row r="161" spans="1:3" x14ac:dyDescent="0.35">
      <c r="A161" t="s">
        <v>8443</v>
      </c>
      <c r="B161" t="s">
        <v>317</v>
      </c>
      <c r="C161" t="s">
        <v>226</v>
      </c>
    </row>
    <row r="162" spans="1:3" x14ac:dyDescent="0.35">
      <c r="A162" t="s">
        <v>729</v>
      </c>
      <c r="B162" t="s">
        <v>317</v>
      </c>
      <c r="C162" t="s">
        <v>226</v>
      </c>
    </row>
    <row r="163" spans="1:3" x14ac:dyDescent="0.35">
      <c r="A163" t="s">
        <v>693</v>
      </c>
      <c r="B163" t="s">
        <v>605</v>
      </c>
      <c r="C163" t="s">
        <v>226</v>
      </c>
    </row>
    <row r="164" spans="1:3" x14ac:dyDescent="0.35">
      <c r="A164" t="s">
        <v>1114</v>
      </c>
      <c r="B164" t="s">
        <v>605</v>
      </c>
      <c r="C164" t="s">
        <v>226</v>
      </c>
    </row>
    <row r="165" spans="1:3" x14ac:dyDescent="0.35">
      <c r="A165" t="s">
        <v>923</v>
      </c>
      <c r="B165" t="s">
        <v>294</v>
      </c>
      <c r="C165" t="s">
        <v>295</v>
      </c>
    </row>
    <row r="166" spans="1:3" x14ac:dyDescent="0.35">
      <c r="A166" t="s">
        <v>957</v>
      </c>
      <c r="B166" t="s">
        <v>678</v>
      </c>
      <c r="C166" t="s">
        <v>679</v>
      </c>
    </row>
    <row r="167" spans="1:3" x14ac:dyDescent="0.35">
      <c r="A167" t="s">
        <v>292</v>
      </c>
      <c r="B167" t="s">
        <v>294</v>
      </c>
      <c r="C167" t="s">
        <v>295</v>
      </c>
    </row>
    <row r="168" spans="1:3" x14ac:dyDescent="0.35">
      <c r="A168" t="s">
        <v>293</v>
      </c>
      <c r="B168" t="s">
        <v>294</v>
      </c>
      <c r="C168" t="s">
        <v>295</v>
      </c>
    </row>
    <row r="169" spans="1:3" x14ac:dyDescent="0.35">
      <c r="A169" t="s">
        <v>504</v>
      </c>
      <c r="B169" t="s">
        <v>1164</v>
      </c>
      <c r="C169" t="s">
        <v>222</v>
      </c>
    </row>
    <row r="170" spans="1:3" x14ac:dyDescent="0.35">
      <c r="A170" t="s">
        <v>1127</v>
      </c>
      <c r="B170" t="s">
        <v>758</v>
      </c>
      <c r="C170" t="s">
        <v>222</v>
      </c>
    </row>
    <row r="171" spans="1:3" x14ac:dyDescent="0.35">
      <c r="A171" t="s">
        <v>1075</v>
      </c>
      <c r="B171" t="s">
        <v>320</v>
      </c>
      <c r="C171" t="s">
        <v>304</v>
      </c>
    </row>
    <row r="172" spans="1:3" x14ac:dyDescent="0.35">
      <c r="A172" t="s">
        <v>1010</v>
      </c>
      <c r="B172" t="s">
        <v>1001</v>
      </c>
      <c r="C172" t="s">
        <v>222</v>
      </c>
    </row>
    <row r="173" spans="1:3" x14ac:dyDescent="0.35">
      <c r="A173" t="s">
        <v>1000</v>
      </c>
      <c r="B173" t="s">
        <v>1001</v>
      </c>
      <c r="C173" t="s">
        <v>222</v>
      </c>
    </row>
    <row r="174" spans="1:3" x14ac:dyDescent="0.35">
      <c r="A174" t="s">
        <v>1028</v>
      </c>
      <c r="B174" t="s">
        <v>320</v>
      </c>
      <c r="C174" t="s">
        <v>304</v>
      </c>
    </row>
    <row r="175" spans="1:3" x14ac:dyDescent="0.35">
      <c r="A175" t="s">
        <v>409</v>
      </c>
      <c r="B175" t="s">
        <v>299</v>
      </c>
      <c r="C175" t="s">
        <v>255</v>
      </c>
    </row>
    <row r="176" spans="1:3" x14ac:dyDescent="0.35">
      <c r="A176" t="s">
        <v>981</v>
      </c>
      <c r="B176" t="s">
        <v>236</v>
      </c>
      <c r="C176" t="s">
        <v>232</v>
      </c>
    </row>
    <row r="177" spans="1:3" x14ac:dyDescent="0.35">
      <c r="A177" t="s">
        <v>235</v>
      </c>
      <c r="B177" t="s">
        <v>236</v>
      </c>
      <c r="C177" t="s">
        <v>232</v>
      </c>
    </row>
    <row r="178" spans="1:3" x14ac:dyDescent="0.35">
      <c r="A178" t="s">
        <v>1116</v>
      </c>
      <c r="B178" t="s">
        <v>236</v>
      </c>
      <c r="C178" t="s">
        <v>232</v>
      </c>
    </row>
    <row r="179" spans="1:3" x14ac:dyDescent="0.35">
      <c r="A179" t="s">
        <v>793</v>
      </c>
      <c r="B179" t="s">
        <v>236</v>
      </c>
      <c r="C179" t="s">
        <v>232</v>
      </c>
    </row>
    <row r="180" spans="1:3" x14ac:dyDescent="0.35">
      <c r="A180" t="s">
        <v>8444</v>
      </c>
      <c r="B180" t="s">
        <v>739</v>
      </c>
      <c r="C180" t="s">
        <v>226</v>
      </c>
    </row>
    <row r="181" spans="1:3" x14ac:dyDescent="0.35">
      <c r="A181" t="s">
        <v>738</v>
      </c>
      <c r="B181" t="s">
        <v>739</v>
      </c>
      <c r="C181" t="s">
        <v>226</v>
      </c>
    </row>
    <row r="182" spans="1:3" x14ac:dyDescent="0.35">
      <c r="A182" t="s">
        <v>8445</v>
      </c>
      <c r="B182" t="s">
        <v>236</v>
      </c>
      <c r="C182" t="s">
        <v>232</v>
      </c>
    </row>
    <row r="183" spans="1:3" x14ac:dyDescent="0.35">
      <c r="A183" t="s">
        <v>613</v>
      </c>
      <c r="B183" t="s">
        <v>236</v>
      </c>
      <c r="C183" t="s">
        <v>232</v>
      </c>
    </row>
    <row r="184" spans="1:3" x14ac:dyDescent="0.35">
      <c r="A184" t="s">
        <v>382</v>
      </c>
      <c r="B184" t="s">
        <v>254</v>
      </c>
    </row>
    <row r="185" spans="1:3" x14ac:dyDescent="0.35">
      <c r="A185" t="s">
        <v>666</v>
      </c>
      <c r="B185" t="s">
        <v>215</v>
      </c>
      <c r="C185" t="s">
        <v>216</v>
      </c>
    </row>
    <row r="186" spans="1:3" x14ac:dyDescent="0.35">
      <c r="A186" t="s">
        <v>349</v>
      </c>
      <c r="B186" t="s">
        <v>320</v>
      </c>
      <c r="C186" t="s">
        <v>304</v>
      </c>
    </row>
    <row r="187" spans="1:3" x14ac:dyDescent="0.35">
      <c r="A187" t="s">
        <v>820</v>
      </c>
      <c r="B187" t="s">
        <v>205</v>
      </c>
      <c r="C187" t="s">
        <v>206</v>
      </c>
    </row>
    <row r="188" spans="1:3" x14ac:dyDescent="0.35">
      <c r="A188" t="s">
        <v>817</v>
      </c>
      <c r="B188" t="s">
        <v>265</v>
      </c>
      <c r="C188" t="s">
        <v>206</v>
      </c>
    </row>
    <row r="189" spans="1:3" x14ac:dyDescent="0.35">
      <c r="A189" t="s">
        <v>677</v>
      </c>
      <c r="B189" t="s">
        <v>678</v>
      </c>
      <c r="C189" t="s">
        <v>679</v>
      </c>
    </row>
    <row r="190" spans="1:3" x14ac:dyDescent="0.35">
      <c r="A190" t="s">
        <v>1078</v>
      </c>
      <c r="B190" t="s">
        <v>353</v>
      </c>
      <c r="C190" t="s">
        <v>354</v>
      </c>
    </row>
    <row r="191" spans="1:3" x14ac:dyDescent="0.35">
      <c r="A191" t="s">
        <v>352</v>
      </c>
      <c r="B191" t="s">
        <v>353</v>
      </c>
      <c r="C191" t="s">
        <v>354</v>
      </c>
    </row>
    <row r="192" spans="1:3" x14ac:dyDescent="0.35">
      <c r="A192" t="s">
        <v>1254</v>
      </c>
      <c r="B192" t="s">
        <v>285</v>
      </c>
      <c r="C192" t="s">
        <v>286</v>
      </c>
    </row>
    <row r="193" spans="1:3" x14ac:dyDescent="0.35">
      <c r="A193" t="s">
        <v>501</v>
      </c>
      <c r="B193" t="s">
        <v>1269</v>
      </c>
      <c r="C193" t="s">
        <v>226</v>
      </c>
    </row>
    <row r="194" spans="1:3" x14ac:dyDescent="0.35">
      <c r="A194" t="s">
        <v>937</v>
      </c>
      <c r="B194" t="s">
        <v>320</v>
      </c>
      <c r="C194" t="s">
        <v>304</v>
      </c>
    </row>
    <row r="195" spans="1:3" x14ac:dyDescent="0.35">
      <c r="A195" t="s">
        <v>414</v>
      </c>
      <c r="B195" t="s">
        <v>285</v>
      </c>
      <c r="C195" t="s">
        <v>286</v>
      </c>
    </row>
    <row r="196" spans="1:3" x14ac:dyDescent="0.35">
      <c r="A196" t="s">
        <v>1026</v>
      </c>
      <c r="B196" t="s">
        <v>285</v>
      </c>
      <c r="C196" t="s">
        <v>286</v>
      </c>
    </row>
    <row r="197" spans="1:3" x14ac:dyDescent="0.35">
      <c r="A197" t="s">
        <v>873</v>
      </c>
      <c r="B197" t="s">
        <v>333</v>
      </c>
      <c r="C197" t="s">
        <v>286</v>
      </c>
    </row>
    <row r="198" spans="1:3" x14ac:dyDescent="0.35">
      <c r="A198" t="s">
        <v>572</v>
      </c>
      <c r="B198" t="s">
        <v>285</v>
      </c>
      <c r="C198" t="s">
        <v>286</v>
      </c>
    </row>
    <row r="199" spans="1:3" x14ac:dyDescent="0.35">
      <c r="A199" t="s">
        <v>284</v>
      </c>
      <c r="B199" t="s">
        <v>285</v>
      </c>
      <c r="C199" t="s">
        <v>286</v>
      </c>
    </row>
    <row r="200" spans="1:3" x14ac:dyDescent="0.35">
      <c r="A200" t="s">
        <v>875</v>
      </c>
      <c r="B200" t="s">
        <v>320</v>
      </c>
      <c r="C200" t="s">
        <v>304</v>
      </c>
    </row>
    <row r="201" spans="1:3" x14ac:dyDescent="0.35">
      <c r="A201" t="s">
        <v>747</v>
      </c>
      <c r="B201" t="s">
        <v>678</v>
      </c>
      <c r="C201" t="s">
        <v>679</v>
      </c>
    </row>
    <row r="202" spans="1:3" x14ac:dyDescent="0.35">
      <c r="A202" t="s">
        <v>1058</v>
      </c>
      <c r="B202" t="s">
        <v>678</v>
      </c>
      <c r="C202" t="s">
        <v>679</v>
      </c>
    </row>
    <row r="203" spans="1:3" x14ac:dyDescent="0.35">
      <c r="A203" t="s">
        <v>1012</v>
      </c>
      <c r="B203" t="s">
        <v>678</v>
      </c>
      <c r="C203" t="s">
        <v>679</v>
      </c>
    </row>
    <row r="204" spans="1:3" x14ac:dyDescent="0.35">
      <c r="A204" t="s">
        <v>1198</v>
      </c>
      <c r="B204" t="s">
        <v>333</v>
      </c>
      <c r="C204" t="s">
        <v>286</v>
      </c>
    </row>
    <row r="205" spans="1:3" x14ac:dyDescent="0.35">
      <c r="A205" t="s">
        <v>1151</v>
      </c>
      <c r="B205" t="s">
        <v>333</v>
      </c>
      <c r="C205" t="s">
        <v>286</v>
      </c>
    </row>
    <row r="206" spans="1:3" x14ac:dyDescent="0.35">
      <c r="A206" t="s">
        <v>1096</v>
      </c>
      <c r="B206" t="s">
        <v>320</v>
      </c>
      <c r="C206" t="s">
        <v>304</v>
      </c>
    </row>
    <row r="207" spans="1:3" x14ac:dyDescent="0.35">
      <c r="A207" t="s">
        <v>1125</v>
      </c>
      <c r="B207" t="s">
        <v>274</v>
      </c>
      <c r="C207" t="s">
        <v>232</v>
      </c>
    </row>
    <row r="208" spans="1:3" x14ac:dyDescent="0.35">
      <c r="A208" t="s">
        <v>753</v>
      </c>
      <c r="B208" t="s">
        <v>725</v>
      </c>
      <c r="C208" t="s">
        <v>726</v>
      </c>
    </row>
    <row r="209" spans="1:3" x14ac:dyDescent="0.35">
      <c r="A209" t="s">
        <v>1249</v>
      </c>
      <c r="B209" t="s">
        <v>725</v>
      </c>
      <c r="C209" t="s">
        <v>726</v>
      </c>
    </row>
    <row r="210" spans="1:3" x14ac:dyDescent="0.35">
      <c r="A210" t="s">
        <v>1008</v>
      </c>
      <c r="B210" t="s">
        <v>834</v>
      </c>
      <c r="C210" t="s">
        <v>226</v>
      </c>
    </row>
    <row r="211" spans="1:3" x14ac:dyDescent="0.35">
      <c r="A211" t="s">
        <v>8446</v>
      </c>
      <c r="B211" t="s">
        <v>834</v>
      </c>
      <c r="C211" t="s">
        <v>226</v>
      </c>
    </row>
    <row r="212" spans="1:3" x14ac:dyDescent="0.35">
      <c r="A212" t="s">
        <v>833</v>
      </c>
      <c r="B212" t="s">
        <v>834</v>
      </c>
      <c r="C212" t="s">
        <v>226</v>
      </c>
    </row>
    <row r="213" spans="1:3" x14ac:dyDescent="0.35">
      <c r="A213" t="s">
        <v>288</v>
      </c>
      <c r="B213" t="s">
        <v>289</v>
      </c>
      <c r="C213" t="s">
        <v>222</v>
      </c>
    </row>
    <row r="214" spans="1:3" x14ac:dyDescent="0.35">
      <c r="A214" t="s">
        <v>91</v>
      </c>
      <c r="B214" t="s">
        <v>299</v>
      </c>
      <c r="C214" t="s">
        <v>255</v>
      </c>
    </row>
    <row r="215" spans="1:3" x14ac:dyDescent="0.35">
      <c r="A215" t="s">
        <v>1106</v>
      </c>
      <c r="B215" t="s">
        <v>1107</v>
      </c>
      <c r="C215" t="s">
        <v>226</v>
      </c>
    </row>
    <row r="216" spans="1:3" x14ac:dyDescent="0.35">
      <c r="A216" t="s">
        <v>8447</v>
      </c>
      <c r="B216" t="s">
        <v>380</v>
      </c>
      <c r="C216" t="s">
        <v>226</v>
      </c>
    </row>
    <row r="217" spans="1:3" x14ac:dyDescent="0.35">
      <c r="A217" t="s">
        <v>674</v>
      </c>
      <c r="B217" t="s">
        <v>380</v>
      </c>
      <c r="C217" t="s">
        <v>226</v>
      </c>
    </row>
    <row r="218" spans="1:3" x14ac:dyDescent="0.35">
      <c r="A218" t="s">
        <v>8448</v>
      </c>
      <c r="B218" t="s">
        <v>274</v>
      </c>
      <c r="C218" t="s">
        <v>232</v>
      </c>
    </row>
    <row r="219" spans="1:3" x14ac:dyDescent="0.35">
      <c r="A219" t="s">
        <v>664</v>
      </c>
      <c r="B219" t="s">
        <v>274</v>
      </c>
      <c r="C219" t="s">
        <v>232</v>
      </c>
    </row>
    <row r="220" spans="1:3" x14ac:dyDescent="0.35">
      <c r="A220" t="s">
        <v>1069</v>
      </c>
      <c r="B220" t="s">
        <v>333</v>
      </c>
      <c r="C220" t="s">
        <v>286</v>
      </c>
    </row>
    <row r="221" spans="1:3" x14ac:dyDescent="0.35">
      <c r="A221" t="s">
        <v>1121</v>
      </c>
      <c r="B221" t="s">
        <v>285</v>
      </c>
      <c r="C221" t="s">
        <v>286</v>
      </c>
    </row>
    <row r="222" spans="1:3" x14ac:dyDescent="0.35">
      <c r="A222" t="s">
        <v>1229</v>
      </c>
      <c r="B222" t="s">
        <v>244</v>
      </c>
      <c r="C222" t="s">
        <v>226</v>
      </c>
    </row>
    <row r="223" spans="1:3" x14ac:dyDescent="0.35">
      <c r="A223" t="s">
        <v>997</v>
      </c>
      <c r="B223" t="s">
        <v>244</v>
      </c>
      <c r="C223" t="s">
        <v>226</v>
      </c>
    </row>
    <row r="224" spans="1:3" x14ac:dyDescent="0.35">
      <c r="A224" t="s">
        <v>243</v>
      </c>
      <c r="B224" t="s">
        <v>244</v>
      </c>
      <c r="C224" t="s">
        <v>226</v>
      </c>
    </row>
    <row r="225" spans="1:3" x14ac:dyDescent="0.35">
      <c r="A225" t="s">
        <v>963</v>
      </c>
      <c r="B225" t="s">
        <v>244</v>
      </c>
      <c r="C225" t="s">
        <v>226</v>
      </c>
    </row>
    <row r="226" spans="1:3" x14ac:dyDescent="0.35">
      <c r="A226" t="s">
        <v>744</v>
      </c>
      <c r="B226" t="s">
        <v>244</v>
      </c>
      <c r="C226" t="s">
        <v>226</v>
      </c>
    </row>
    <row r="227" spans="1:3" x14ac:dyDescent="0.35">
      <c r="A227" t="s">
        <v>161</v>
      </c>
      <c r="B227" t="s">
        <v>1107</v>
      </c>
      <c r="C227" t="s">
        <v>226</v>
      </c>
    </row>
    <row r="228" spans="1:3" x14ac:dyDescent="0.35">
      <c r="A228" t="s">
        <v>8449</v>
      </c>
      <c r="B228" t="s">
        <v>250</v>
      </c>
      <c r="C228" t="s">
        <v>222</v>
      </c>
    </row>
    <row r="229" spans="1:3" x14ac:dyDescent="0.35">
      <c r="A229" t="s">
        <v>979</v>
      </c>
      <c r="B229" t="s">
        <v>265</v>
      </c>
      <c r="C229" t="s">
        <v>206</v>
      </c>
    </row>
    <row r="230" spans="1:3" x14ac:dyDescent="0.35">
      <c r="A230" t="s">
        <v>273</v>
      </c>
      <c r="B230" t="s">
        <v>274</v>
      </c>
      <c r="C230" t="s">
        <v>232</v>
      </c>
    </row>
    <row r="231" spans="1:3" x14ac:dyDescent="0.35">
      <c r="A231" t="s">
        <v>362</v>
      </c>
      <c r="B231" t="s">
        <v>325</v>
      </c>
      <c r="C231" t="s">
        <v>226</v>
      </c>
    </row>
    <row r="232" spans="1:3" x14ac:dyDescent="0.35">
      <c r="A232" t="s">
        <v>324</v>
      </c>
      <c r="B232" t="s">
        <v>325</v>
      </c>
      <c r="C232" t="s">
        <v>226</v>
      </c>
    </row>
    <row r="233" spans="1:3" x14ac:dyDescent="0.35">
      <c r="A233" t="s">
        <v>1085</v>
      </c>
      <c r="B233" t="s">
        <v>325</v>
      </c>
      <c r="C233" t="s">
        <v>226</v>
      </c>
    </row>
    <row r="234" spans="1:3" x14ac:dyDescent="0.35">
      <c r="A234" t="s">
        <v>711</v>
      </c>
      <c r="B234" t="s">
        <v>274</v>
      </c>
      <c r="C234" t="s">
        <v>232</v>
      </c>
    </row>
    <row r="235" spans="1:3" x14ac:dyDescent="0.35">
      <c r="A235" t="s">
        <v>576</v>
      </c>
      <c r="B235" t="s">
        <v>274</v>
      </c>
      <c r="C235" t="s">
        <v>232</v>
      </c>
    </row>
    <row r="236" spans="1:3" x14ac:dyDescent="0.35">
      <c r="A236" t="s">
        <v>357</v>
      </c>
      <c r="B236" t="s">
        <v>358</v>
      </c>
      <c r="C236" t="s">
        <v>222</v>
      </c>
    </row>
    <row r="237" spans="1:3" x14ac:dyDescent="0.35">
      <c r="A237" t="s">
        <v>267</v>
      </c>
      <c r="B237" t="s">
        <v>268</v>
      </c>
      <c r="C237" t="s">
        <v>269</v>
      </c>
    </row>
    <row r="238" spans="1:3" x14ac:dyDescent="0.35">
      <c r="A238" t="s">
        <v>1265</v>
      </c>
      <c r="B238" t="s">
        <v>268</v>
      </c>
      <c r="C238" t="s">
        <v>269</v>
      </c>
    </row>
    <row r="239" spans="1:3" x14ac:dyDescent="0.35">
      <c r="A239" t="s">
        <v>1056</v>
      </c>
      <c r="B239" t="s">
        <v>314</v>
      </c>
      <c r="C239" t="s">
        <v>269</v>
      </c>
    </row>
    <row r="240" spans="1:3" x14ac:dyDescent="0.35">
      <c r="A240" t="s">
        <v>859</v>
      </c>
      <c r="B240" t="s">
        <v>268</v>
      </c>
      <c r="C240" t="s">
        <v>269</v>
      </c>
    </row>
    <row r="241" spans="1:3" x14ac:dyDescent="0.35">
      <c r="A241" t="s">
        <v>403</v>
      </c>
      <c r="B241" t="s">
        <v>342</v>
      </c>
      <c r="C241" t="s">
        <v>269</v>
      </c>
    </row>
    <row r="242" spans="1:3" x14ac:dyDescent="0.35">
      <c r="A242" t="s">
        <v>8450</v>
      </c>
      <c r="B242" t="s">
        <v>342</v>
      </c>
      <c r="C242" t="s">
        <v>269</v>
      </c>
    </row>
    <row r="243" spans="1:3" x14ac:dyDescent="0.35">
      <c r="A243" t="s">
        <v>795</v>
      </c>
      <c r="B243" t="s">
        <v>201</v>
      </c>
      <c r="C243" t="s">
        <v>202</v>
      </c>
    </row>
    <row r="244" spans="1:3" x14ac:dyDescent="0.35">
      <c r="A244" t="s">
        <v>574</v>
      </c>
      <c r="B244" t="s">
        <v>201</v>
      </c>
      <c r="C244" t="s">
        <v>202</v>
      </c>
    </row>
    <row r="245" spans="1:3" x14ac:dyDescent="0.35">
      <c r="A245" t="s">
        <v>724</v>
      </c>
      <c r="B245" t="s">
        <v>725</v>
      </c>
      <c r="C245" t="s">
        <v>726</v>
      </c>
    </row>
    <row r="246" spans="1:3" x14ac:dyDescent="0.35">
      <c r="A246" t="s">
        <v>659</v>
      </c>
      <c r="B246" t="s">
        <v>274</v>
      </c>
      <c r="C246" t="s">
        <v>232</v>
      </c>
    </row>
  </sheetData>
  <pageMargins left="0.75" right="0.75" top="1" bottom="1" header="0.5" footer="0.5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A100"/>
  <sheetViews>
    <sheetView workbookViewId="0"/>
  </sheetViews>
  <sheetFormatPr defaultRowHeight="12.75" x14ac:dyDescent="0.35"/>
  <sheetData>
    <row r="1" spans="1:1" x14ac:dyDescent="0.35">
      <c r="A1" t="s">
        <v>8428</v>
      </c>
    </row>
    <row r="2" spans="1:1" x14ac:dyDescent="0.35">
      <c r="A2" t="s">
        <v>8451</v>
      </c>
    </row>
    <row r="3" spans="1:1" x14ac:dyDescent="0.35">
      <c r="A3" t="s">
        <v>8452</v>
      </c>
    </row>
    <row r="4" spans="1:1" x14ac:dyDescent="0.35">
      <c r="A4" t="s">
        <v>8453</v>
      </c>
    </row>
    <row r="5" spans="1:1" x14ac:dyDescent="0.35">
      <c r="A5" t="s">
        <v>8454</v>
      </c>
    </row>
    <row r="6" spans="1:1" x14ac:dyDescent="0.35">
      <c r="A6" t="s">
        <v>8455</v>
      </c>
    </row>
    <row r="7" spans="1:1" x14ac:dyDescent="0.35">
      <c r="A7" t="s">
        <v>314</v>
      </c>
    </row>
    <row r="8" spans="1:1" x14ac:dyDescent="0.35">
      <c r="A8" t="s">
        <v>774</v>
      </c>
    </row>
    <row r="9" spans="1:1" x14ac:dyDescent="0.35">
      <c r="A9" t="s">
        <v>342</v>
      </c>
    </row>
    <row r="10" spans="1:1" x14ac:dyDescent="0.35">
      <c r="A10" t="s">
        <v>205</v>
      </c>
    </row>
    <row r="11" spans="1:1" x14ac:dyDescent="0.35">
      <c r="A11" t="s">
        <v>268</v>
      </c>
    </row>
    <row r="12" spans="1:1" x14ac:dyDescent="0.35">
      <c r="A12" t="s">
        <v>265</v>
      </c>
    </row>
    <row r="13" spans="1:1" x14ac:dyDescent="0.35">
      <c r="A13" t="s">
        <v>8456</v>
      </c>
    </row>
    <row r="14" spans="1:1" x14ac:dyDescent="0.35">
      <c r="A14" t="s">
        <v>8457</v>
      </c>
    </row>
    <row r="15" spans="1:1" x14ac:dyDescent="0.35">
      <c r="A15" t="s">
        <v>8458</v>
      </c>
    </row>
    <row r="16" spans="1:1" x14ac:dyDescent="0.35">
      <c r="A16" t="s">
        <v>8459</v>
      </c>
    </row>
    <row r="17" spans="1:1" x14ac:dyDescent="0.35">
      <c r="A17" t="s">
        <v>8460</v>
      </c>
    </row>
    <row r="18" spans="1:1" x14ac:dyDescent="0.35">
      <c r="A18" t="s">
        <v>657</v>
      </c>
    </row>
    <row r="19" spans="1:1" x14ac:dyDescent="0.35">
      <c r="A19" t="s">
        <v>8461</v>
      </c>
    </row>
    <row r="20" spans="1:1" x14ac:dyDescent="0.35">
      <c r="A20" t="s">
        <v>373</v>
      </c>
    </row>
    <row r="21" spans="1:1" x14ac:dyDescent="0.35">
      <c r="A21" t="s">
        <v>201</v>
      </c>
    </row>
    <row r="22" spans="1:1" x14ac:dyDescent="0.35">
      <c r="A22" t="s">
        <v>8462</v>
      </c>
    </row>
    <row r="23" spans="1:1" x14ac:dyDescent="0.35">
      <c r="A23" t="s">
        <v>8463</v>
      </c>
    </row>
    <row r="24" spans="1:1" x14ac:dyDescent="0.35">
      <c r="A24" t="s">
        <v>617</v>
      </c>
    </row>
    <row r="25" spans="1:1" x14ac:dyDescent="0.35">
      <c r="A25" t="s">
        <v>231</v>
      </c>
    </row>
    <row r="26" spans="1:1" x14ac:dyDescent="0.35">
      <c r="A26" t="s">
        <v>378</v>
      </c>
    </row>
    <row r="27" spans="1:1" x14ac:dyDescent="0.35">
      <c r="A27" t="s">
        <v>8464</v>
      </c>
    </row>
    <row r="28" spans="1:1" x14ac:dyDescent="0.35">
      <c r="A28" t="s">
        <v>196</v>
      </c>
    </row>
    <row r="29" spans="1:1" x14ac:dyDescent="0.35">
      <c r="A29" t="s">
        <v>8465</v>
      </c>
    </row>
    <row r="30" spans="1:1" x14ac:dyDescent="0.35">
      <c r="A30" t="s">
        <v>8466</v>
      </c>
    </row>
    <row r="31" spans="1:1" x14ac:dyDescent="0.35">
      <c r="A31" t="s">
        <v>8467</v>
      </c>
    </row>
    <row r="32" spans="1:1" x14ac:dyDescent="0.35">
      <c r="A32" t="s">
        <v>1203</v>
      </c>
    </row>
    <row r="33" spans="1:1" x14ac:dyDescent="0.35">
      <c r="A33" t="s">
        <v>320</v>
      </c>
    </row>
    <row r="34" spans="1:1" x14ac:dyDescent="0.35">
      <c r="A34" t="s">
        <v>299</v>
      </c>
    </row>
    <row r="35" spans="1:1" x14ac:dyDescent="0.35">
      <c r="A35" t="s">
        <v>254</v>
      </c>
    </row>
    <row r="36" spans="1:1" x14ac:dyDescent="0.35">
      <c r="A36" t="s">
        <v>8468</v>
      </c>
    </row>
    <row r="37" spans="1:1" x14ac:dyDescent="0.35">
      <c r="A37" t="s">
        <v>1226</v>
      </c>
    </row>
    <row r="38" spans="1:1" x14ac:dyDescent="0.35">
      <c r="A38" t="s">
        <v>8469</v>
      </c>
    </row>
    <row r="39" spans="1:1" x14ac:dyDescent="0.35">
      <c r="A39" t="s">
        <v>225</v>
      </c>
    </row>
    <row r="40" spans="1:1" x14ac:dyDescent="0.35">
      <c r="A40" t="s">
        <v>8470</v>
      </c>
    </row>
    <row r="41" spans="1:1" x14ac:dyDescent="0.35">
      <c r="A41" t="s">
        <v>8471</v>
      </c>
    </row>
    <row r="42" spans="1:1" x14ac:dyDescent="0.35">
      <c r="A42" t="s">
        <v>8472</v>
      </c>
    </row>
    <row r="43" spans="1:1" x14ac:dyDescent="0.35">
      <c r="A43" t="s">
        <v>8473</v>
      </c>
    </row>
    <row r="44" spans="1:1" x14ac:dyDescent="0.35">
      <c r="A44" t="s">
        <v>8474</v>
      </c>
    </row>
    <row r="45" spans="1:1" x14ac:dyDescent="0.35">
      <c r="A45" t="s">
        <v>1172</v>
      </c>
    </row>
    <row r="46" spans="1:1" x14ac:dyDescent="0.35">
      <c r="A46" t="s">
        <v>1237</v>
      </c>
    </row>
    <row r="47" spans="1:1" x14ac:dyDescent="0.35">
      <c r="A47" t="s">
        <v>210</v>
      </c>
    </row>
    <row r="48" spans="1:1" x14ac:dyDescent="0.35">
      <c r="A48" t="s">
        <v>8475</v>
      </c>
    </row>
    <row r="49" spans="1:1" x14ac:dyDescent="0.35">
      <c r="A49" t="s">
        <v>8476</v>
      </c>
    </row>
    <row r="50" spans="1:1" x14ac:dyDescent="0.35">
      <c r="A50" t="s">
        <v>8477</v>
      </c>
    </row>
    <row r="51" spans="1:1" x14ac:dyDescent="0.35">
      <c r="A51" t="s">
        <v>879</v>
      </c>
    </row>
    <row r="52" spans="1:1" x14ac:dyDescent="0.35">
      <c r="A52" t="s">
        <v>282</v>
      </c>
    </row>
    <row r="53" spans="1:1" x14ac:dyDescent="0.35">
      <c r="A53" t="s">
        <v>221</v>
      </c>
    </row>
    <row r="54" spans="1:1" x14ac:dyDescent="0.35">
      <c r="A54" t="s">
        <v>289</v>
      </c>
    </row>
    <row r="55" spans="1:1" x14ac:dyDescent="0.35">
      <c r="A55" t="s">
        <v>8478</v>
      </c>
    </row>
    <row r="56" spans="1:1" x14ac:dyDescent="0.35">
      <c r="A56" t="s">
        <v>1164</v>
      </c>
    </row>
    <row r="57" spans="1:1" x14ac:dyDescent="0.35">
      <c r="A57" t="s">
        <v>358</v>
      </c>
    </row>
    <row r="58" spans="1:1" x14ac:dyDescent="0.35">
      <c r="A58" t="s">
        <v>215</v>
      </c>
    </row>
    <row r="59" spans="1:1" x14ac:dyDescent="0.35">
      <c r="A59" t="s">
        <v>317</v>
      </c>
    </row>
    <row r="60" spans="1:1" x14ac:dyDescent="0.35">
      <c r="A60" t="s">
        <v>605</v>
      </c>
    </row>
    <row r="61" spans="1:1" x14ac:dyDescent="0.35">
      <c r="A61" t="s">
        <v>294</v>
      </c>
    </row>
    <row r="62" spans="1:1" x14ac:dyDescent="0.35">
      <c r="A62" t="s">
        <v>8479</v>
      </c>
    </row>
    <row r="63" spans="1:1" x14ac:dyDescent="0.35">
      <c r="A63" t="s">
        <v>8480</v>
      </c>
    </row>
    <row r="64" spans="1:1" x14ac:dyDescent="0.35">
      <c r="A64" t="s">
        <v>8481</v>
      </c>
    </row>
    <row r="65" spans="1:1" x14ac:dyDescent="0.35">
      <c r="A65" t="s">
        <v>8482</v>
      </c>
    </row>
    <row r="66" spans="1:1" x14ac:dyDescent="0.35">
      <c r="A66" t="s">
        <v>8483</v>
      </c>
    </row>
    <row r="67" spans="1:1" x14ac:dyDescent="0.35">
      <c r="A67" t="s">
        <v>1001</v>
      </c>
    </row>
    <row r="68" spans="1:1" x14ac:dyDescent="0.35">
      <c r="A68" t="s">
        <v>1107</v>
      </c>
    </row>
    <row r="69" spans="1:1" x14ac:dyDescent="0.35">
      <c r="A69" t="s">
        <v>8484</v>
      </c>
    </row>
    <row r="70" spans="1:1" x14ac:dyDescent="0.35">
      <c r="A70" t="s">
        <v>8485</v>
      </c>
    </row>
    <row r="71" spans="1:1" x14ac:dyDescent="0.35">
      <c r="A71" t="s">
        <v>739</v>
      </c>
    </row>
    <row r="72" spans="1:1" x14ac:dyDescent="0.35">
      <c r="A72" t="s">
        <v>236</v>
      </c>
    </row>
    <row r="73" spans="1:1" x14ac:dyDescent="0.35">
      <c r="A73" t="s">
        <v>8486</v>
      </c>
    </row>
    <row r="74" spans="1:1" x14ac:dyDescent="0.35">
      <c r="A74" t="s">
        <v>8487</v>
      </c>
    </row>
    <row r="75" spans="1:1" x14ac:dyDescent="0.35">
      <c r="A75" t="s">
        <v>8488</v>
      </c>
    </row>
    <row r="76" spans="1:1" x14ac:dyDescent="0.35">
      <c r="A76" t="s">
        <v>8489</v>
      </c>
    </row>
    <row r="77" spans="1:1" x14ac:dyDescent="0.35">
      <c r="A77" t="s">
        <v>380</v>
      </c>
    </row>
    <row r="78" spans="1:1" x14ac:dyDescent="0.35">
      <c r="A78" t="s">
        <v>353</v>
      </c>
    </row>
    <row r="79" spans="1:1" x14ac:dyDescent="0.35">
      <c r="A79" t="s">
        <v>1269</v>
      </c>
    </row>
    <row r="80" spans="1:1" x14ac:dyDescent="0.35">
      <c r="A80" t="s">
        <v>285</v>
      </c>
    </row>
    <row r="81" spans="1:1" x14ac:dyDescent="0.35">
      <c r="A81" t="s">
        <v>8490</v>
      </c>
    </row>
    <row r="82" spans="1:1" x14ac:dyDescent="0.35">
      <c r="A82" t="s">
        <v>8491</v>
      </c>
    </row>
    <row r="83" spans="1:1" x14ac:dyDescent="0.35">
      <c r="A83" t="s">
        <v>8492</v>
      </c>
    </row>
    <row r="84" spans="1:1" x14ac:dyDescent="0.35">
      <c r="A84" t="s">
        <v>8493</v>
      </c>
    </row>
    <row r="85" spans="1:1" x14ac:dyDescent="0.35">
      <c r="A85" t="s">
        <v>678</v>
      </c>
    </row>
    <row r="86" spans="1:1" x14ac:dyDescent="0.35">
      <c r="A86" t="s">
        <v>758</v>
      </c>
    </row>
    <row r="87" spans="1:1" x14ac:dyDescent="0.35">
      <c r="A87" t="s">
        <v>333</v>
      </c>
    </row>
    <row r="88" spans="1:1" x14ac:dyDescent="0.35">
      <c r="A88" t="s">
        <v>834</v>
      </c>
    </row>
    <row r="89" spans="1:1" x14ac:dyDescent="0.35">
      <c r="A89" t="s">
        <v>8494</v>
      </c>
    </row>
    <row r="90" spans="1:1" x14ac:dyDescent="0.35">
      <c r="A90" t="s">
        <v>8495</v>
      </c>
    </row>
    <row r="91" spans="1:1" x14ac:dyDescent="0.35">
      <c r="A91" t="s">
        <v>725</v>
      </c>
    </row>
    <row r="92" spans="1:1" x14ac:dyDescent="0.35">
      <c r="A92" t="s">
        <v>8496</v>
      </c>
    </row>
    <row r="93" spans="1:1" x14ac:dyDescent="0.35">
      <c r="A93" t="s">
        <v>280</v>
      </c>
    </row>
    <row r="94" spans="1:1" x14ac:dyDescent="0.35">
      <c r="A94" t="s">
        <v>274</v>
      </c>
    </row>
    <row r="95" spans="1:1" x14ac:dyDescent="0.35">
      <c r="A95" t="s">
        <v>244</v>
      </c>
    </row>
    <row r="96" spans="1:1" x14ac:dyDescent="0.35">
      <c r="A96" t="s">
        <v>8497</v>
      </c>
    </row>
    <row r="97" spans="1:1" x14ac:dyDescent="0.35">
      <c r="A97" t="s">
        <v>220</v>
      </c>
    </row>
    <row r="98" spans="1:1" x14ac:dyDescent="0.35">
      <c r="A98" t="s">
        <v>250</v>
      </c>
    </row>
    <row r="99" spans="1:1" x14ac:dyDescent="0.35">
      <c r="A99" t="s">
        <v>8498</v>
      </c>
    </row>
    <row r="100" spans="1:1" x14ac:dyDescent="0.35">
      <c r="A100" t="s">
        <v>325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2</vt:i4>
      </vt:variant>
    </vt:vector>
  </HeadingPairs>
  <TitlesOfParts>
    <vt:vector size="44" baseType="lpstr">
      <vt:lpstr>Calendar Ruby </vt:lpstr>
      <vt:lpstr>Calendar 2018</vt:lpstr>
      <vt:lpstr>Calendar 2019</vt:lpstr>
      <vt:lpstr>Ireland</vt:lpstr>
      <vt:lpstr>Boot Camp</vt:lpstr>
      <vt:lpstr>Sales 2026</vt:lpstr>
      <vt:lpstr>Sales 2025</vt:lpstr>
      <vt:lpstr>Sales 2024</vt:lpstr>
      <vt:lpstr>Sales 2023</vt:lpstr>
      <vt:lpstr>Sales 2022</vt:lpstr>
      <vt:lpstr>Sales 2021</vt:lpstr>
      <vt:lpstr>Sales 2020</vt:lpstr>
      <vt:lpstr>Sales 2019</vt:lpstr>
      <vt:lpstr>2018 Pivots</vt:lpstr>
      <vt:lpstr>Sales 2018</vt:lpstr>
      <vt:lpstr>2017 Pivots</vt:lpstr>
      <vt:lpstr>Sales 2017</vt:lpstr>
      <vt:lpstr>Jo</vt:lpstr>
      <vt:lpstr>Ruby</vt:lpstr>
      <vt:lpstr>Inc-Exp</vt:lpstr>
      <vt:lpstr>Profitability</vt:lpstr>
      <vt:lpstr>Payments</vt:lpstr>
      <vt:lpstr>Commercial</vt:lpstr>
      <vt:lpstr>Workshop Costs</vt:lpstr>
      <vt:lpstr>xmas list</vt:lpstr>
      <vt:lpstr>Mentoring </vt:lpstr>
      <vt:lpstr>Gift Vouchers</vt:lpstr>
      <vt:lpstr>Poppies</vt:lpstr>
      <vt:lpstr>workshop pivot</vt:lpstr>
      <vt:lpstr>1-2-1's</vt:lpstr>
      <vt:lpstr>Courses-Classes</vt:lpstr>
      <vt:lpstr>Workshops</vt:lpstr>
      <vt:lpstr>JLR Bookings</vt:lpstr>
      <vt:lpstr>Attendance JLR</vt:lpstr>
      <vt:lpstr>Bluebells</vt:lpstr>
      <vt:lpstr>course pivot</vt:lpstr>
      <vt:lpstr>RPS Course</vt:lpstr>
      <vt:lpstr>Master Classes</vt:lpstr>
      <vt:lpstr>Intentions Nov 2018</vt:lpstr>
      <vt:lpstr>Intentions Feb 2018</vt:lpstr>
      <vt:lpstr>ProductMap</vt:lpstr>
      <vt:lpstr>ProductList</vt:lpstr>
      <vt:lpstr>_12._Academy</vt:lpstr>
      <vt:lpstr>'Calendar 2018'!Print_Titles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</dc:creator>
  <cp:lastModifiedBy>Alan Ranger Photography</cp:lastModifiedBy>
  <cp:lastPrinted>2026-05-14T14:48:49Z</cp:lastPrinted>
  <dcterms:created xsi:type="dcterms:W3CDTF">2013-05-23T16:58:39Z</dcterms:created>
  <dcterms:modified xsi:type="dcterms:W3CDTF">2026-06-18T17:10:29Z</dcterms:modified>
</cp:coreProperties>
</file>